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E:\Polder-16\"/>
    </mc:Choice>
  </mc:AlternateContent>
  <xr:revisionPtr revIDLastSave="0" documentId="13_ncr:1_{511EE1A0-8376-47FF-A81C-3FD824673212}" xr6:coauthVersionLast="47" xr6:coauthVersionMax="47" xr10:uidLastSave="{00000000-0000-0000-0000-000000000000}"/>
  <bookViews>
    <workbookView xWindow="-120" yWindow="-120" windowWidth="20730" windowHeight="11160" tabRatio="743" firstSheet="5" activeTab="8" xr2:uid="{00000000-000D-0000-FFFF-FFFF00000000}"/>
  </bookViews>
  <sheets>
    <sheet name="Report" sheetId="20" r:id="rId1"/>
    <sheet name="Design Data" sheetId="13" r:id="rId2"/>
    <sheet name="WL" sheetId="19" r:id="rId3"/>
    <sheet name="Basin (RS)" sheetId="15" r:id="rId4"/>
    <sheet name="Basin (CS)" sheetId="14" r:id="rId5"/>
    <sheet name="Struct2(Barrel)" sheetId="8" r:id="rId6"/>
    <sheet name="Struct3(Barrel Comp)" sheetId="9" r:id="rId7"/>
    <sheet name="Struct4 wing(RS)" sheetId="1" r:id="rId8"/>
    <sheet name="Struct4 wing(CS)" sheetId="2" r:id="rId9"/>
    <sheet name="Struct5-Retwall (RS)" sheetId="11" r:id="rId10"/>
    <sheet name="Struct5-Retwall(CS)" sheetId="12" r:id="rId11"/>
    <sheet name="Exit Gradient" sheetId="16" r:id="rId12"/>
    <sheet name="Fdn Pressure" sheetId="18" r:id="rId1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9" i="11" l="1"/>
  <c r="H99" i="11"/>
  <c r="F99" i="11"/>
  <c r="F35" i="2"/>
  <c r="F33" i="1"/>
  <c r="F36" i="1"/>
  <c r="F35" i="1"/>
  <c r="F22" i="14"/>
  <c r="F21" i="15"/>
  <c r="F10" i="14"/>
  <c r="H8" i="1"/>
  <c r="F33" i="18"/>
  <c r="F32" i="18"/>
  <c r="C31" i="18"/>
  <c r="C30" i="18"/>
  <c r="C29" i="18"/>
  <c r="C28" i="18"/>
  <c r="K11" i="16"/>
  <c r="D61" i="16"/>
  <c r="H6" i="1"/>
  <c r="H6" i="2"/>
  <c r="H7" i="2" s="1"/>
  <c r="D345" i="9"/>
  <c r="D344" i="9"/>
  <c r="D342" i="9"/>
  <c r="D341" i="9"/>
  <c r="D338" i="9"/>
  <c r="D337" i="9"/>
  <c r="E13" i="8"/>
  <c r="E10" i="8"/>
  <c r="F9" i="15"/>
  <c r="F8" i="15"/>
  <c r="E28" i="9"/>
  <c r="F26" i="14"/>
  <c r="F25" i="15"/>
  <c r="F31" i="19"/>
  <c r="E31" i="19"/>
  <c r="D31" i="19"/>
  <c r="F29" i="19"/>
  <c r="E29" i="19"/>
  <c r="D29" i="19"/>
  <c r="F27" i="19"/>
  <c r="E27" i="19"/>
  <c r="D27" i="19"/>
  <c r="E18" i="8" l="1"/>
  <c r="H3" i="15"/>
  <c r="F53" i="8" l="1"/>
  <c r="E118" i="9"/>
  <c r="D116" i="9"/>
  <c r="E47" i="9" l="1"/>
  <c r="G88" i="9"/>
  <c r="J83" i="9"/>
  <c r="E24" i="9"/>
  <c r="E339" i="14" l="1"/>
  <c r="E329" i="15" l="1"/>
  <c r="J48" i="18" l="1"/>
  <c r="G48" i="18"/>
  <c r="D48" i="18"/>
  <c r="J46" i="18"/>
  <c r="G46" i="18"/>
  <c r="D46" i="18"/>
  <c r="F19" i="14" l="1"/>
  <c r="F18" i="14"/>
  <c r="I4" i="8" l="1"/>
  <c r="J58" i="15"/>
  <c r="J58" i="14"/>
  <c r="H349" i="15" l="1"/>
  <c r="H348" i="15"/>
  <c r="I339" i="14" l="1"/>
  <c r="I3" i="18" l="1"/>
  <c r="G69" i="18" l="1"/>
  <c r="D75" i="18" l="1"/>
  <c r="F72" i="18" l="1"/>
  <c r="D76" i="18" l="1"/>
  <c r="F3" i="8"/>
  <c r="B4" i="14"/>
  <c r="M30" i="18"/>
  <c r="K67" i="16"/>
  <c r="H67" i="16"/>
  <c r="D99" i="1"/>
  <c r="B97" i="1"/>
  <c r="B5" i="15" l="1"/>
  <c r="G5" i="16"/>
  <c r="J4" i="12"/>
  <c r="H5" i="11"/>
  <c r="J4" i="2"/>
  <c r="J3" i="1"/>
  <c r="K309" i="15"/>
  <c r="J315" i="14"/>
  <c r="R241" i="15" l="1"/>
  <c r="R247" i="14"/>
  <c r="J99" i="1" l="1"/>
  <c r="J97" i="2"/>
  <c r="H100" i="2"/>
  <c r="O64" i="2" l="1"/>
  <c r="C3" i="18" l="1"/>
  <c r="D1" i="18"/>
  <c r="F21" i="12"/>
  <c r="H535" i="11"/>
  <c r="F22" i="11"/>
  <c r="F21" i="11"/>
  <c r="F13" i="12" l="1"/>
  <c r="F13" i="11"/>
  <c r="H45" i="2"/>
  <c r="H48" i="1"/>
  <c r="H102" i="1" l="1"/>
  <c r="O68" i="1"/>
  <c r="K79" i="1" s="1"/>
  <c r="N150" i="1"/>
  <c r="M150" i="1"/>
  <c r="C101" i="1"/>
  <c r="C32" i="1"/>
  <c r="F26" i="8"/>
  <c r="G17" i="16" l="1"/>
  <c r="D2" i="1" l="1"/>
  <c r="I3" i="14"/>
  <c r="C3" i="14"/>
  <c r="B6" i="14"/>
  <c r="F14" i="15"/>
  <c r="E36" i="15" s="1"/>
  <c r="F13" i="15"/>
  <c r="E36" i="8" s="1"/>
  <c r="F12" i="15"/>
  <c r="F11" i="15"/>
  <c r="G18" i="16"/>
  <c r="F15" i="15" l="1"/>
  <c r="B3" i="15"/>
  <c r="D2" i="18" l="1"/>
  <c r="C3" i="16"/>
  <c r="C4" i="16"/>
  <c r="D80" i="18"/>
  <c r="F18" i="11" l="1"/>
  <c r="D1" i="2"/>
  <c r="D3" i="8"/>
  <c r="D3" i="11" s="1"/>
  <c r="J32" i="8"/>
  <c r="J31" i="8"/>
  <c r="F33" i="14"/>
  <c r="I19" i="14" l="1"/>
  <c r="I17" i="14"/>
  <c r="G31" i="14"/>
  <c r="B29" i="14"/>
  <c r="B28" i="14"/>
  <c r="H136" i="15" l="1"/>
  <c r="I153" i="15"/>
  <c r="I206" i="15"/>
  <c r="H2" i="18" l="1"/>
  <c r="F4" i="16"/>
  <c r="I4" i="1"/>
  <c r="I3" i="2"/>
  <c r="I3" i="8"/>
  <c r="I307" i="15"/>
  <c r="H3" i="9"/>
  <c r="G127" i="15" l="1"/>
  <c r="H231" i="15"/>
  <c r="D204" i="16"/>
  <c r="J61" i="16"/>
  <c r="J13" i="16"/>
  <c r="I13" i="16"/>
  <c r="K70" i="16" s="1"/>
  <c r="H13" i="16"/>
  <c r="J11" i="16"/>
  <c r="I11" i="16"/>
  <c r="C70" i="16" s="1"/>
  <c r="F1233" i="9" l="1"/>
  <c r="E176" i="9"/>
  <c r="D100" i="9"/>
  <c r="E99" i="9"/>
  <c r="H593" i="12"/>
  <c r="G593" i="12"/>
  <c r="D593" i="12"/>
  <c r="I592" i="12"/>
  <c r="D592" i="12"/>
  <c r="H565" i="11"/>
  <c r="G565" i="11"/>
  <c r="D565" i="11"/>
  <c r="I564" i="11"/>
  <c r="D564" i="11"/>
  <c r="C2" i="16"/>
  <c r="D1" i="12"/>
  <c r="D1" i="11"/>
  <c r="D1" i="1"/>
  <c r="D1" i="9"/>
  <c r="D1" i="8"/>
  <c r="C1" i="14"/>
  <c r="C1" i="15"/>
  <c r="F29" i="16"/>
  <c r="F28" i="16"/>
  <c r="F26" i="16"/>
  <c r="F25" i="16"/>
  <c r="D64" i="16" s="1"/>
  <c r="F22" i="16"/>
  <c r="H64" i="16" s="1"/>
  <c r="J236" i="16"/>
  <c r="J198" i="16"/>
  <c r="I123" i="16"/>
  <c r="K57" i="16"/>
  <c r="C57" i="16"/>
  <c r="F913" i="8"/>
  <c r="F912" i="8"/>
  <c r="D66" i="16" l="1"/>
  <c r="B64" i="16" s="1"/>
  <c r="E82" i="16"/>
  <c r="H234" i="16"/>
  <c r="D253" i="16"/>
  <c r="G253" i="16" s="1"/>
  <c r="G254" i="16" s="1"/>
  <c r="J66" i="16"/>
  <c r="L64" i="16" s="1"/>
  <c r="E115" i="16"/>
  <c r="D248" i="16"/>
  <c r="G248" i="16" s="1"/>
  <c r="G249" i="16" s="1"/>
  <c r="I63" i="16"/>
  <c r="H10" i="1"/>
  <c r="G441" i="12"/>
  <c r="H441" i="12"/>
  <c r="G441" i="11"/>
  <c r="H440" i="11"/>
  <c r="G440" i="11"/>
  <c r="D1011" i="1"/>
  <c r="N59" i="2"/>
  <c r="D1053" i="2" s="1"/>
  <c r="H20" i="2"/>
  <c r="H13" i="1"/>
  <c r="E24" i="18" l="1"/>
  <c r="G90" i="1"/>
  <c r="I925" i="2"/>
  <c r="I1049" i="2" s="1"/>
  <c r="I314" i="14"/>
  <c r="B925" i="2"/>
  <c r="B987" i="2" s="1"/>
  <c r="B457" i="11"/>
  <c r="H522" i="11" s="1"/>
  <c r="B482" i="12"/>
  <c r="G550" i="12" s="1"/>
  <c r="B884" i="1"/>
  <c r="B1007" i="1" s="1"/>
  <c r="F17" i="11"/>
  <c r="F17" i="12"/>
  <c r="E15" i="8"/>
  <c r="E12" i="8"/>
  <c r="I38" i="8" s="1"/>
  <c r="I316" i="14"/>
  <c r="E313" i="15"/>
  <c r="I308" i="15"/>
  <c r="D2" i="14"/>
  <c r="E316" i="14" s="1"/>
  <c r="J255" i="14"/>
  <c r="E255" i="14" s="1"/>
  <c r="J249" i="15"/>
  <c r="E249" i="15" s="1"/>
  <c r="E312" i="15"/>
  <c r="F21" i="16"/>
  <c r="H197" i="16" s="1"/>
  <c r="D2" i="15"/>
  <c r="D308" i="15" s="1"/>
  <c r="F59" i="16" l="1"/>
  <c r="B60" i="16" s="1"/>
  <c r="E321" i="14"/>
  <c r="H11" i="16"/>
  <c r="C945" i="1"/>
  <c r="E63" i="16"/>
  <c r="H96" i="16"/>
  <c r="E45" i="9"/>
  <c r="E75" i="9" s="1"/>
  <c r="I884" i="1"/>
  <c r="I1007" i="1" s="1"/>
  <c r="I3" i="12"/>
  <c r="I482" i="12" s="1"/>
  <c r="I737" i="8"/>
  <c r="G4" i="11"/>
  <c r="I458" i="11" s="1"/>
  <c r="B1049" i="2"/>
  <c r="H10" i="2"/>
  <c r="F33" i="2" s="1"/>
  <c r="L61" i="16" l="1"/>
  <c r="H15" i="2"/>
  <c r="G45" i="12"/>
  <c r="G44" i="12"/>
  <c r="G47" i="11"/>
  <c r="G44" i="11"/>
  <c r="G45" i="11"/>
  <c r="G32" i="11"/>
  <c r="F22" i="12"/>
  <c r="J87" i="11"/>
  <c r="F70" i="12"/>
  <c r="F102" i="12"/>
  <c r="H102" i="12"/>
  <c r="E102" i="12"/>
  <c r="F67" i="11"/>
  <c r="E12" i="9"/>
  <c r="E10" i="9"/>
  <c r="E9" i="9"/>
  <c r="P58" i="1"/>
  <c r="F203" i="9"/>
  <c r="D2" i="8"/>
  <c r="D737" i="8" s="1"/>
  <c r="B885" i="8" s="1"/>
  <c r="D2" i="11"/>
  <c r="F18" i="12"/>
  <c r="F11" i="12"/>
  <c r="F10" i="12"/>
  <c r="F9" i="12"/>
  <c r="F8" i="12"/>
  <c r="F24" i="11"/>
  <c r="F11" i="11"/>
  <c r="F9" i="11"/>
  <c r="F8" i="11"/>
  <c r="I1071" i="2"/>
  <c r="I1068" i="2"/>
  <c r="I1067" i="2"/>
  <c r="F1071" i="2"/>
  <c r="F898" i="2" s="1"/>
  <c r="F1068" i="2"/>
  <c r="F895" i="2" s="1"/>
  <c r="F1067" i="2"/>
  <c r="F894" i="2" s="1"/>
  <c r="P51" i="2"/>
  <c r="H13" i="2"/>
  <c r="F34" i="2" s="1"/>
  <c r="P56" i="1"/>
  <c r="P55" i="1"/>
  <c r="P54" i="1"/>
  <c r="E107" i="9"/>
  <c r="E33" i="9"/>
  <c r="C84" i="9" s="1"/>
  <c r="F27" i="8"/>
  <c r="E37" i="8"/>
  <c r="E44" i="9"/>
  <c r="F119" i="9" s="1"/>
  <c r="E34" i="8"/>
  <c r="F25" i="14"/>
  <c r="F23" i="14"/>
  <c r="P53" i="2" s="1"/>
  <c r="F15" i="14"/>
  <c r="H72" i="14" s="1"/>
  <c r="F14" i="14"/>
  <c r="P50" i="2" s="1"/>
  <c r="F13" i="14"/>
  <c r="F12" i="14"/>
  <c r="P49" i="2" s="1"/>
  <c r="E35" i="8" l="1"/>
  <c r="E43" i="9" s="1"/>
  <c r="C87" i="9" s="1"/>
  <c r="E16" i="8"/>
  <c r="E23" i="18"/>
  <c r="E22" i="18"/>
  <c r="G457" i="11"/>
  <c r="C67" i="11"/>
  <c r="E440" i="11"/>
  <c r="H195" i="11"/>
  <c r="H209" i="11"/>
  <c r="E65" i="8"/>
  <c r="O64" i="1"/>
  <c r="H32" i="1" s="1"/>
  <c r="E25" i="9"/>
  <c r="H82" i="9" s="1"/>
  <c r="H12" i="16"/>
  <c r="F65" i="16" s="1"/>
  <c r="H902" i="2"/>
  <c r="I242" i="16"/>
  <c r="E67" i="16" s="1"/>
  <c r="H901" i="2"/>
  <c r="I243" i="16"/>
  <c r="G118" i="9"/>
  <c r="H638" i="9"/>
  <c r="C91" i="9"/>
  <c r="D41" i="16"/>
  <c r="G37" i="16" s="1"/>
  <c r="I241" i="16"/>
  <c r="C67" i="16" s="1"/>
  <c r="H905" i="2"/>
  <c r="J90" i="12"/>
  <c r="G442" i="12"/>
  <c r="O59" i="2"/>
  <c r="E327" i="15"/>
  <c r="H11" i="1"/>
  <c r="H12" i="1" s="1"/>
  <c r="H19" i="1" s="1"/>
  <c r="J96" i="2"/>
  <c r="H73" i="8"/>
  <c r="F907" i="8" s="1"/>
  <c r="E27" i="9"/>
  <c r="E320" i="14"/>
  <c r="H11" i="2"/>
  <c r="D2" i="9"/>
  <c r="D3" i="1"/>
  <c r="G883" i="1" s="1"/>
  <c r="E2" i="12"/>
  <c r="D2" i="2"/>
  <c r="H924" i="2" s="1"/>
  <c r="J88" i="2"/>
  <c r="F88" i="2"/>
  <c r="J90" i="1"/>
  <c r="F16" i="14"/>
  <c r="B56" i="15"/>
  <c r="E42" i="9"/>
  <c r="D65" i="9" s="1"/>
  <c r="H362" i="14"/>
  <c r="H361" i="14"/>
  <c r="H359" i="14"/>
  <c r="H358" i="14"/>
  <c r="E348" i="14"/>
  <c r="F343" i="14"/>
  <c r="E340" i="14"/>
  <c r="F318" i="14"/>
  <c r="D268" i="14"/>
  <c r="D265" i="14"/>
  <c r="G243" i="14"/>
  <c r="B218" i="14"/>
  <c r="I213" i="14"/>
  <c r="E330" i="14" s="1"/>
  <c r="G207" i="14"/>
  <c r="B190" i="14"/>
  <c r="I160" i="14"/>
  <c r="D166" i="14" s="1"/>
  <c r="H140" i="14"/>
  <c r="D144" i="14" s="1"/>
  <c r="F145" i="14" s="1"/>
  <c r="I110" i="14"/>
  <c r="G93" i="14"/>
  <c r="F75" i="14"/>
  <c r="H73" i="14"/>
  <c r="C73" i="14"/>
  <c r="C72" i="14"/>
  <c r="C55" i="14"/>
  <c r="D53" i="14"/>
  <c r="H52" i="14"/>
  <c r="K49" i="14"/>
  <c r="G37" i="14"/>
  <c r="E36" i="14"/>
  <c r="B35" i="14"/>
  <c r="C34" i="14"/>
  <c r="H346" i="15"/>
  <c r="H345" i="15"/>
  <c r="E336" i="15"/>
  <c r="F333" i="15"/>
  <c r="E330" i="15"/>
  <c r="F310" i="15"/>
  <c r="D262" i="15"/>
  <c r="D259" i="15"/>
  <c r="F236" i="15"/>
  <c r="B211" i="15"/>
  <c r="Q185" i="15"/>
  <c r="B181" i="15"/>
  <c r="D157" i="15"/>
  <c r="D140" i="15"/>
  <c r="F141" i="15" s="1"/>
  <c r="I110" i="15"/>
  <c r="G93" i="15"/>
  <c r="F75" i="15"/>
  <c r="H73" i="15"/>
  <c r="C73" i="15"/>
  <c r="H72" i="15"/>
  <c r="C72" i="15"/>
  <c r="C55" i="15"/>
  <c r="D53" i="15"/>
  <c r="H52" i="15"/>
  <c r="K49" i="15"/>
  <c r="G37" i="15"/>
  <c r="B35" i="15"/>
  <c r="C34" i="15"/>
  <c r="F33" i="15"/>
  <c r="G31" i="15"/>
  <c r="B29" i="15"/>
  <c r="B28" i="15"/>
  <c r="H16" i="2"/>
  <c r="H8" i="2" s="1"/>
  <c r="H72" i="12"/>
  <c r="G33" i="12"/>
  <c r="G38" i="12" s="1"/>
  <c r="G32" i="12"/>
  <c r="G35" i="12" s="1"/>
  <c r="G33" i="11"/>
  <c r="H49" i="2"/>
  <c r="H48" i="2"/>
  <c r="H52" i="1"/>
  <c r="H51" i="1"/>
  <c r="J51" i="1" s="1"/>
  <c r="G47" i="12"/>
  <c r="F276" i="12" s="1"/>
  <c r="H62" i="2"/>
  <c r="H65" i="1"/>
  <c r="G14" i="12"/>
  <c r="H16" i="1"/>
  <c r="H15" i="1"/>
  <c r="F52" i="9"/>
  <c r="G55" i="9" s="1"/>
  <c r="F51" i="9"/>
  <c r="G54" i="9" s="1"/>
  <c r="G62" i="9"/>
  <c r="F877" i="9" s="1"/>
  <c r="F21" i="9"/>
  <c r="I1026" i="1"/>
  <c r="I1025" i="1"/>
  <c r="F1026" i="1"/>
  <c r="F1025" i="1"/>
  <c r="G45" i="8"/>
  <c r="G44" i="8"/>
  <c r="I568" i="12"/>
  <c r="I563" i="12"/>
  <c r="J506" i="12"/>
  <c r="F504" i="12"/>
  <c r="J502" i="12"/>
  <c r="F502" i="12"/>
  <c r="J494" i="12"/>
  <c r="F494" i="12"/>
  <c r="J492" i="12"/>
  <c r="F492" i="12"/>
  <c r="J490" i="12"/>
  <c r="F490" i="12"/>
  <c r="I425" i="12"/>
  <c r="F590" i="12" s="1"/>
  <c r="H566" i="12"/>
  <c r="G566" i="12"/>
  <c r="H569" i="12"/>
  <c r="C406" i="12"/>
  <c r="E404" i="12"/>
  <c r="H567" i="12" s="1"/>
  <c r="C404" i="12"/>
  <c r="G567" i="12" s="1"/>
  <c r="E378" i="12"/>
  <c r="G394" i="12" s="1"/>
  <c r="E377" i="12"/>
  <c r="H365" i="12"/>
  <c r="F589" i="12" s="1"/>
  <c r="H561" i="12"/>
  <c r="D589" i="12"/>
  <c r="H562" i="12"/>
  <c r="C348" i="12"/>
  <c r="G564" i="12" s="1"/>
  <c r="E346" i="12"/>
  <c r="C346" i="12"/>
  <c r="E313" i="12"/>
  <c r="I341" i="12" s="1"/>
  <c r="E312" i="12"/>
  <c r="H220" i="12"/>
  <c r="H557" i="12"/>
  <c r="H216" i="12"/>
  <c r="H211" i="12"/>
  <c r="H556" i="12"/>
  <c r="C200" i="12"/>
  <c r="G556" i="12" s="1"/>
  <c r="H559" i="12"/>
  <c r="G559" i="12"/>
  <c r="H558" i="12"/>
  <c r="G558" i="12"/>
  <c r="H170" i="12"/>
  <c r="I183" i="12" s="1"/>
  <c r="F116" i="12"/>
  <c r="E116" i="12"/>
  <c r="H116" i="12" s="1"/>
  <c r="H115" i="12"/>
  <c r="F115" i="12"/>
  <c r="D115" i="12"/>
  <c r="H114" i="12"/>
  <c r="F114" i="12"/>
  <c r="D114" i="12"/>
  <c r="F113" i="12"/>
  <c r="D113" i="12"/>
  <c r="H113" i="12" s="1"/>
  <c r="F112" i="12"/>
  <c r="D112" i="12"/>
  <c r="H88" i="12"/>
  <c r="F52" i="12"/>
  <c r="F30" i="12"/>
  <c r="H9" i="1" l="1"/>
  <c r="F102" i="1"/>
  <c r="D110" i="9"/>
  <c r="H13" i="8"/>
  <c r="G481" i="12"/>
  <c r="C71" i="12"/>
  <c r="H12" i="2"/>
  <c r="F32" i="2" s="1"/>
  <c r="E1053" i="2"/>
  <c r="O60" i="2"/>
  <c r="N312" i="12"/>
  <c r="N380" i="12"/>
  <c r="E1011" i="1"/>
  <c r="G128" i="14"/>
  <c r="H538" i="9"/>
  <c r="F588" i="12"/>
  <c r="H592" i="12"/>
  <c r="H197" i="12"/>
  <c r="G99" i="9"/>
  <c r="G105" i="12"/>
  <c r="F442" i="12"/>
  <c r="K208" i="16"/>
  <c r="K207" i="16"/>
  <c r="G200" i="15"/>
  <c r="D204" i="15" s="1"/>
  <c r="C180" i="15"/>
  <c r="F737" i="9"/>
  <c r="F852" i="9"/>
  <c r="F535" i="9"/>
  <c r="F637" i="9"/>
  <c r="F114" i="9"/>
  <c r="E90" i="9"/>
  <c r="H1250" i="9"/>
  <c r="H94" i="9"/>
  <c r="I177" i="16"/>
  <c r="C68" i="16"/>
  <c r="F245" i="12"/>
  <c r="F247" i="12" s="1"/>
  <c r="F279" i="12"/>
  <c r="F282" i="12" s="1"/>
  <c r="B79" i="1"/>
  <c r="J312" i="12"/>
  <c r="H357" i="12" s="1"/>
  <c r="E337" i="14"/>
  <c r="F11" i="16" s="1"/>
  <c r="H342" i="15"/>
  <c r="B34" i="16" s="1"/>
  <c r="E264" i="15"/>
  <c r="H343" i="15"/>
  <c r="B35" i="16" s="1"/>
  <c r="F32" i="16" s="1"/>
  <c r="E265" i="15"/>
  <c r="B56" i="14"/>
  <c r="H355" i="14"/>
  <c r="E270" i="14"/>
  <c r="H356" i="14"/>
  <c r="E332" i="15"/>
  <c r="F401" i="12"/>
  <c r="G36" i="12"/>
  <c r="F53" i="12" s="1"/>
  <c r="F54" i="12" s="1"/>
  <c r="G55" i="12" s="1"/>
  <c r="G56" i="12" s="1"/>
  <c r="F116" i="15"/>
  <c r="G235" i="15"/>
  <c r="E322" i="15"/>
  <c r="G90" i="15"/>
  <c r="E92" i="15" s="1"/>
  <c r="I33" i="12"/>
  <c r="G40" i="12"/>
  <c r="F220" i="12" s="1"/>
  <c r="F592" i="12" s="1"/>
  <c r="H205" i="12"/>
  <c r="F241" i="12"/>
  <c r="I32" i="12"/>
  <c r="F24" i="12"/>
  <c r="H196" i="12" s="1"/>
  <c r="C77" i="14"/>
  <c r="G116" i="14"/>
  <c r="C76" i="14"/>
  <c r="C77" i="15"/>
  <c r="C76" i="15"/>
  <c r="C247" i="15" s="1"/>
  <c r="C78" i="15"/>
  <c r="E39" i="15"/>
  <c r="D217" i="15"/>
  <c r="F199" i="15"/>
  <c r="E334" i="14"/>
  <c r="D211" i="14"/>
  <c r="C78" i="14"/>
  <c r="C189" i="14"/>
  <c r="F206" i="14"/>
  <c r="D224" i="14"/>
  <c r="G242" i="14"/>
  <c r="E39" i="14"/>
  <c r="G90" i="14"/>
  <c r="H406" i="12"/>
  <c r="I569" i="12" s="1"/>
  <c r="H200" i="12"/>
  <c r="I556" i="12" s="1"/>
  <c r="G569" i="12"/>
  <c r="H564" i="12"/>
  <c r="H188" i="12"/>
  <c r="I558" i="12" s="1"/>
  <c r="H190" i="12"/>
  <c r="I559" i="12" s="1"/>
  <c r="H404" i="12"/>
  <c r="I567" i="12" s="1"/>
  <c r="G562" i="12"/>
  <c r="H346" i="12"/>
  <c r="H348" i="12"/>
  <c r="G561" i="12"/>
  <c r="H421" i="12"/>
  <c r="I566" i="12" s="1"/>
  <c r="D590" i="12"/>
  <c r="G291" i="12"/>
  <c r="G579" i="12" s="1"/>
  <c r="D588" i="12"/>
  <c r="G256" i="12"/>
  <c r="G578" i="12" s="1"/>
  <c r="G557" i="12"/>
  <c r="I534" i="12"/>
  <c r="H418" i="12"/>
  <c r="H224" i="12"/>
  <c r="H588" i="12" s="1"/>
  <c r="E112" i="12"/>
  <c r="H112" i="12" s="1"/>
  <c r="H141" i="12"/>
  <c r="G331" i="12"/>
  <c r="J377" i="12"/>
  <c r="H417" i="12" s="1"/>
  <c r="H411" i="12"/>
  <c r="H429" i="12"/>
  <c r="H590" i="12" s="1"/>
  <c r="I532" i="12"/>
  <c r="H369" i="12"/>
  <c r="H589" i="12" s="1"/>
  <c r="H362" i="12"/>
  <c r="I561" i="12" s="1"/>
  <c r="H19" i="2" l="1"/>
  <c r="N65" i="1"/>
  <c r="D1012" i="1" s="1"/>
  <c r="F13" i="16" s="1"/>
  <c r="H70" i="16" s="1"/>
  <c r="D102" i="1"/>
  <c r="E84" i="16"/>
  <c r="F31" i="16"/>
  <c r="D76" i="9"/>
  <c r="G699" i="9"/>
  <c r="B70" i="16"/>
  <c r="L70" i="16"/>
  <c r="J313" i="12"/>
  <c r="N311" i="12" s="1"/>
  <c r="N313" i="12" s="1"/>
  <c r="E441" i="12"/>
  <c r="G112" i="12"/>
  <c r="I112" i="12" s="1"/>
  <c r="H241" i="12"/>
  <c r="F244" i="12" s="1"/>
  <c r="D247" i="12" s="1"/>
  <c r="I274" i="15"/>
  <c r="E345" i="15" s="1"/>
  <c r="I277" i="15"/>
  <c r="E346" i="15" s="1"/>
  <c r="I285" i="15"/>
  <c r="E349" i="15" s="1"/>
  <c r="I282" i="15"/>
  <c r="E348" i="15" s="1"/>
  <c r="F245" i="14"/>
  <c r="E344" i="14" s="1"/>
  <c r="I280" i="14"/>
  <c r="E358" i="14" s="1"/>
  <c r="I283" i="14"/>
  <c r="E359" i="14" s="1"/>
  <c r="I291" i="14"/>
  <c r="E362" i="14" s="1"/>
  <c r="I288" i="14"/>
  <c r="E361" i="14" s="1"/>
  <c r="F238" i="15"/>
  <c r="E334" i="15" s="1"/>
  <c r="F365" i="12"/>
  <c r="G365" i="12" s="1"/>
  <c r="H153" i="12"/>
  <c r="G425" i="12"/>
  <c r="H425" i="12" s="1"/>
  <c r="M243" i="12"/>
  <c r="D78" i="12"/>
  <c r="M106" i="15"/>
  <c r="M107" i="15" s="1"/>
  <c r="N107" i="15" s="1"/>
  <c r="N106" i="15"/>
  <c r="M108" i="15"/>
  <c r="I8" i="15"/>
  <c r="I310" i="15" s="1"/>
  <c r="I78" i="15"/>
  <c r="E76" i="15" s="1"/>
  <c r="E115" i="12"/>
  <c r="G115" i="12" s="1"/>
  <c r="I115" i="12" s="1"/>
  <c r="H199" i="12"/>
  <c r="Q204" i="12" s="1"/>
  <c r="M240" i="12"/>
  <c r="M278" i="12"/>
  <c r="M239" i="12"/>
  <c r="E114" i="12"/>
  <c r="G114" i="12" s="1"/>
  <c r="I114" i="12" s="1"/>
  <c r="M280" i="12"/>
  <c r="M241" i="12"/>
  <c r="H210" i="12"/>
  <c r="H213" i="12" s="1"/>
  <c r="F303" i="12" s="1"/>
  <c r="J579" i="12" s="1"/>
  <c r="F25" i="12"/>
  <c r="H276" i="12"/>
  <c r="F27" i="12"/>
  <c r="M242" i="12"/>
  <c r="E113" i="12"/>
  <c r="G113" i="12" s="1"/>
  <c r="I113" i="12" s="1"/>
  <c r="M282" i="12"/>
  <c r="D116" i="12"/>
  <c r="G116" i="12" s="1"/>
  <c r="I116" i="12" s="1"/>
  <c r="M281" i="12"/>
  <c r="H154" i="12"/>
  <c r="M279" i="12"/>
  <c r="I78" i="14"/>
  <c r="E76" i="14" s="1"/>
  <c r="C253" i="14"/>
  <c r="I9" i="14"/>
  <c r="J318" i="14" s="1"/>
  <c r="E320" i="15"/>
  <c r="F334" i="14"/>
  <c r="E328" i="14"/>
  <c r="M106" i="14"/>
  <c r="M107" i="14" s="1"/>
  <c r="N107" i="14" s="1"/>
  <c r="M108" i="14"/>
  <c r="N106" i="14"/>
  <c r="E92" i="14"/>
  <c r="I562" i="12"/>
  <c r="I564" i="12"/>
  <c r="F221" i="12"/>
  <c r="F593" i="12" s="1"/>
  <c r="E588" i="12"/>
  <c r="G220" i="12"/>
  <c r="G592" i="12" s="1"/>
  <c r="H419" i="12"/>
  <c r="F568" i="12" s="1"/>
  <c r="H353" i="12"/>
  <c r="H358" i="12"/>
  <c r="H359" i="12" s="1"/>
  <c r="F563" i="12" s="1"/>
  <c r="I533" i="12"/>
  <c r="F302" i="12"/>
  <c r="H275" i="12"/>
  <c r="H267" i="12"/>
  <c r="I578" i="12" s="1"/>
  <c r="I557" i="12"/>
  <c r="D244" i="12"/>
  <c r="B247" i="12" s="1"/>
  <c r="E1058" i="2" l="1"/>
  <c r="O63" i="2"/>
  <c r="G117" i="16"/>
  <c r="H146" i="16" s="1"/>
  <c r="C72" i="16"/>
  <c r="H167" i="16"/>
  <c r="I180" i="16"/>
  <c r="H99" i="16"/>
  <c r="K72" i="16"/>
  <c r="I182" i="12"/>
  <c r="H187" i="12" s="1"/>
  <c r="P188" i="12" s="1"/>
  <c r="P189" i="12" s="1"/>
  <c r="D442" i="12"/>
  <c r="I442" i="12" s="1"/>
  <c r="D441" i="12"/>
  <c r="I441" i="12" s="1"/>
  <c r="N67" i="1"/>
  <c r="E1054" i="2"/>
  <c r="N60" i="2"/>
  <c r="D1054" i="2" s="1"/>
  <c r="F70" i="16" s="1"/>
  <c r="N108" i="15"/>
  <c r="G91" i="15" s="1"/>
  <c r="G96" i="15" s="1"/>
  <c r="P121" i="15" s="1"/>
  <c r="F366" i="12"/>
  <c r="E589" i="12"/>
  <c r="H155" i="12"/>
  <c r="H165" i="12" s="1"/>
  <c r="H166" i="12" s="1"/>
  <c r="G532" i="12" s="1"/>
  <c r="E590" i="12"/>
  <c r="G426" i="12"/>
  <c r="H30" i="12"/>
  <c r="D81" i="12"/>
  <c r="H268" i="12"/>
  <c r="J578" i="12" s="1"/>
  <c r="S204" i="12"/>
  <c r="S206" i="12" s="1"/>
  <c r="P204" i="12"/>
  <c r="P205" i="12" s="1"/>
  <c r="C502" i="12"/>
  <c r="F556" i="12"/>
  <c r="G117" i="12"/>
  <c r="D144" i="12" s="1"/>
  <c r="H156" i="12"/>
  <c r="H162" i="12" s="1"/>
  <c r="H163" i="12" s="1"/>
  <c r="F532" i="12" s="1"/>
  <c r="O204" i="12"/>
  <c r="O205" i="12" s="1"/>
  <c r="H121" i="12"/>
  <c r="H122" i="12" s="1"/>
  <c r="G514" i="12" s="1"/>
  <c r="I117" i="12"/>
  <c r="L241" i="12"/>
  <c r="R204" i="12"/>
  <c r="R206" i="12" s="1"/>
  <c r="I340" i="12"/>
  <c r="F400" i="12"/>
  <c r="H403" i="12" s="1"/>
  <c r="P392" i="12" s="1"/>
  <c r="N108" i="14"/>
  <c r="G91" i="14" s="1"/>
  <c r="I579" i="12"/>
  <c r="B304" i="12"/>
  <c r="D278" i="12"/>
  <c r="B282" i="12" s="1"/>
  <c r="F278" i="12"/>
  <c r="D282" i="12" s="1"/>
  <c r="Q206" i="12"/>
  <c r="Q205" i="12"/>
  <c r="L238" i="12"/>
  <c r="L240" i="12"/>
  <c r="L242" i="12"/>
  <c r="L239" i="12"/>
  <c r="L243" i="12"/>
  <c r="F1029" i="1" l="1"/>
  <c r="D1015" i="1"/>
  <c r="G96" i="14"/>
  <c r="P120" i="14" s="1"/>
  <c r="E130" i="14" s="1"/>
  <c r="F240" i="15"/>
  <c r="E333" i="15" s="1"/>
  <c r="H133" i="15"/>
  <c r="D135" i="15" s="1"/>
  <c r="D141" i="15" s="1"/>
  <c r="E143" i="15" s="1"/>
  <c r="P190" i="12"/>
  <c r="E532" i="12"/>
  <c r="O188" i="12"/>
  <c r="O189" i="12" s="1"/>
  <c r="O190" i="12" s="1"/>
  <c r="R188" i="12"/>
  <c r="R189" i="12" s="1"/>
  <c r="C490" i="12"/>
  <c r="S188" i="12"/>
  <c r="S190" i="12" s="1"/>
  <c r="Q188" i="12"/>
  <c r="Q189" i="12" s="1"/>
  <c r="I443" i="12"/>
  <c r="F558" i="12"/>
  <c r="H189" i="12"/>
  <c r="G490" i="12" s="1"/>
  <c r="D901" i="2"/>
  <c r="C901" i="2"/>
  <c r="C894" i="2"/>
  <c r="N63" i="2"/>
  <c r="D1057" i="2" s="1"/>
  <c r="E128" i="15"/>
  <c r="E310" i="15"/>
  <c r="F247" i="15"/>
  <c r="F251" i="15" s="1"/>
  <c r="F255" i="15" s="1"/>
  <c r="E340" i="15" s="1"/>
  <c r="B269" i="12"/>
  <c r="R205" i="12"/>
  <c r="P206" i="12"/>
  <c r="D143" i="12"/>
  <c r="Q392" i="12"/>
  <c r="Q394" i="12" s="1"/>
  <c r="H124" i="12"/>
  <c r="G516" i="12" s="1"/>
  <c r="G513" i="12"/>
  <c r="S205" i="12"/>
  <c r="G512" i="12"/>
  <c r="H135" i="12"/>
  <c r="G520" i="12" s="1"/>
  <c r="H223" i="12"/>
  <c r="G588" i="12" s="1"/>
  <c r="O206" i="12"/>
  <c r="H204" i="12"/>
  <c r="H206" i="12" s="1"/>
  <c r="D532" i="12"/>
  <c r="H126" i="12"/>
  <c r="F127" i="12" s="1"/>
  <c r="S392" i="12"/>
  <c r="S394" i="12" s="1"/>
  <c r="O392" i="12"/>
  <c r="O393" i="12" s="1"/>
  <c r="F567" i="12"/>
  <c r="H405" i="12"/>
  <c r="S400" i="12" s="1"/>
  <c r="R392" i="12"/>
  <c r="R393" i="12" s="1"/>
  <c r="H345" i="12"/>
  <c r="H347" i="12"/>
  <c r="C494" i="12"/>
  <c r="E1057" i="2"/>
  <c r="D905" i="2" s="1"/>
  <c r="L279" i="12"/>
  <c r="L280" i="12"/>
  <c r="L281" i="12"/>
  <c r="L277" i="12"/>
  <c r="L278" i="12"/>
  <c r="L282" i="12"/>
  <c r="G168" i="12"/>
  <c r="H169" i="12" s="1"/>
  <c r="P393" i="12"/>
  <c r="P394" i="12" s="1"/>
  <c r="B168" i="12"/>
  <c r="M244" i="12"/>
  <c r="I1029" i="1" l="1"/>
  <c r="K209" i="16" s="1"/>
  <c r="E1016" i="1"/>
  <c r="B241" i="15"/>
  <c r="E318" i="14"/>
  <c r="F253" i="14"/>
  <c r="F257" i="14" s="1"/>
  <c r="E350" i="14" s="1"/>
  <c r="F246" i="14"/>
  <c r="B247" i="14" s="1"/>
  <c r="H137" i="14"/>
  <c r="D139" i="14" s="1"/>
  <c r="D145" i="14" s="1"/>
  <c r="E147" i="14" s="1"/>
  <c r="G154" i="15"/>
  <c r="F157" i="15" s="1"/>
  <c r="M159" i="15" s="1"/>
  <c r="J901" i="2"/>
  <c r="R190" i="12"/>
  <c r="Q190" i="12"/>
  <c r="P197" i="12"/>
  <c r="P199" i="12" s="1"/>
  <c r="S189" i="12"/>
  <c r="S197" i="12"/>
  <c r="S199" i="12" s="1"/>
  <c r="Q197" i="12"/>
  <c r="Q198" i="12" s="1"/>
  <c r="O197" i="12"/>
  <c r="O198" i="12" s="1"/>
  <c r="O199" i="12" s="1"/>
  <c r="R197" i="12"/>
  <c r="R198" i="12" s="1"/>
  <c r="F559" i="12"/>
  <c r="F253" i="15"/>
  <c r="E339" i="15" s="1"/>
  <c r="F140" i="15"/>
  <c r="I141" i="15" s="1"/>
  <c r="E315" i="15"/>
  <c r="E337" i="15"/>
  <c r="H225" i="12"/>
  <c r="B226" i="12" s="1"/>
  <c r="Q393" i="12"/>
  <c r="O207" i="12"/>
  <c r="Q207" i="12" s="1"/>
  <c r="G517" i="12"/>
  <c r="F125" i="12"/>
  <c r="O394" i="12"/>
  <c r="G127" i="12"/>
  <c r="E127" i="12"/>
  <c r="S393" i="12"/>
  <c r="H136" i="12"/>
  <c r="F143" i="12" s="1"/>
  <c r="H143" i="12" s="1"/>
  <c r="J96" i="12" s="1"/>
  <c r="G125" i="12"/>
  <c r="E125" i="12"/>
  <c r="S402" i="12"/>
  <c r="S401" i="12"/>
  <c r="H214" i="12"/>
  <c r="B214" i="12"/>
  <c r="G494" i="12"/>
  <c r="F569" i="12"/>
  <c r="P400" i="12"/>
  <c r="R400" i="12"/>
  <c r="R401" i="12" s="1"/>
  <c r="R394" i="12"/>
  <c r="Q400" i="12"/>
  <c r="O400" i="12"/>
  <c r="O401" i="12" s="1"/>
  <c r="O402" i="12" s="1"/>
  <c r="F562" i="12"/>
  <c r="Q335" i="12"/>
  <c r="P335" i="12"/>
  <c r="O335" i="12"/>
  <c r="O336" i="12" s="1"/>
  <c r="O337" i="12" s="1"/>
  <c r="C492" i="12"/>
  <c r="R335" i="12"/>
  <c r="S335" i="12"/>
  <c r="Q343" i="12"/>
  <c r="R343" i="12"/>
  <c r="F564" i="12"/>
  <c r="G492" i="12"/>
  <c r="P343" i="12"/>
  <c r="O343" i="12"/>
  <c r="S343" i="12"/>
  <c r="F144" i="14"/>
  <c r="I145" i="14" s="1"/>
  <c r="H147" i="14" s="1"/>
  <c r="G162" i="14"/>
  <c r="F166" i="14" s="1"/>
  <c r="M283" i="12"/>
  <c r="O282" i="12" s="1"/>
  <c r="N282" i="12" s="1"/>
  <c r="H532" i="12"/>
  <c r="B171" i="12"/>
  <c r="O240" i="12"/>
  <c r="N240" i="12" s="1"/>
  <c r="O239" i="12"/>
  <c r="N239" i="12" s="1"/>
  <c r="O238" i="12"/>
  <c r="N238" i="12" s="1"/>
  <c r="O243" i="12"/>
  <c r="N243" i="12" s="1"/>
  <c r="O242" i="12"/>
  <c r="N242" i="12" s="1"/>
  <c r="O241" i="12"/>
  <c r="N241" i="12" s="1"/>
  <c r="D42" i="16" l="1"/>
  <c r="G38" i="16" s="1"/>
  <c r="H170" i="16" s="1"/>
  <c r="E323" i="14"/>
  <c r="M161" i="15"/>
  <c r="M162" i="15"/>
  <c r="M158" i="15"/>
  <c r="M160" i="15"/>
  <c r="E343" i="14"/>
  <c r="M157" i="15"/>
  <c r="F259" i="14"/>
  <c r="H263" i="14" s="1"/>
  <c r="E355" i="14" s="1"/>
  <c r="F261" i="14"/>
  <c r="E353" i="14" s="1"/>
  <c r="H143" i="15"/>
  <c r="M137" i="15" s="1"/>
  <c r="O191" i="12"/>
  <c r="Q191" i="12" s="1"/>
  <c r="P198" i="12"/>
  <c r="Q199" i="12"/>
  <c r="S198" i="12"/>
  <c r="R199" i="12"/>
  <c r="H257" i="15"/>
  <c r="E342" i="15" s="1"/>
  <c r="O395" i="12"/>
  <c r="Q395" i="12" s="1"/>
  <c r="I588" i="12"/>
  <c r="G521" i="12"/>
  <c r="F144" i="12"/>
  <c r="H144" i="12" s="1"/>
  <c r="C97" i="12" s="1"/>
  <c r="R402" i="12"/>
  <c r="P212" i="12"/>
  <c r="P213" i="12" s="1"/>
  <c r="P214" i="12" s="1"/>
  <c r="G502" i="12"/>
  <c r="R212" i="12"/>
  <c r="S212" i="12"/>
  <c r="E557" i="12"/>
  <c r="O212" i="12"/>
  <c r="Q212" i="12"/>
  <c r="Q401" i="12"/>
  <c r="Q402" i="12"/>
  <c r="P401" i="12"/>
  <c r="P402" i="12"/>
  <c r="P345" i="12"/>
  <c r="P344" i="12"/>
  <c r="O344" i="12"/>
  <c r="O345" i="12" s="1"/>
  <c r="R344" i="12"/>
  <c r="R345" i="12"/>
  <c r="S345" i="12"/>
  <c r="S344" i="12"/>
  <c r="R336" i="12"/>
  <c r="R337" i="12"/>
  <c r="Q336" i="12"/>
  <c r="Q337" i="12"/>
  <c r="S337" i="12"/>
  <c r="S336" i="12"/>
  <c r="P336" i="12"/>
  <c r="P337" i="12" s="1"/>
  <c r="Q345" i="12"/>
  <c r="Q344" i="12"/>
  <c r="M171" i="14"/>
  <c r="M166" i="14"/>
  <c r="M169" i="14"/>
  <c r="M170" i="14"/>
  <c r="M168" i="14"/>
  <c r="M167" i="14"/>
  <c r="M142" i="14"/>
  <c r="M138" i="14"/>
  <c r="M141" i="14"/>
  <c r="M140" i="14"/>
  <c r="M143" i="14"/>
  <c r="M139" i="14"/>
  <c r="O280" i="12"/>
  <c r="N280" i="12" s="1"/>
  <c r="O281" i="12"/>
  <c r="N281" i="12" s="1"/>
  <c r="O277" i="12"/>
  <c r="N277" i="12" s="1"/>
  <c r="O278" i="12"/>
  <c r="N278" i="12" s="1"/>
  <c r="O279" i="12"/>
  <c r="N279" i="12" s="1"/>
  <c r="O244" i="12"/>
  <c r="E311" i="12"/>
  <c r="I28" i="12"/>
  <c r="G523" i="12"/>
  <c r="E376" i="12"/>
  <c r="K68" i="16" l="1"/>
  <c r="E57" i="18"/>
  <c r="J311" i="12"/>
  <c r="M311" i="12" s="1"/>
  <c r="N163" i="15"/>
  <c r="P161" i="15" s="1"/>
  <c r="O161" i="15" s="1"/>
  <c r="M139" i="15"/>
  <c r="E352" i="14"/>
  <c r="M135" i="15"/>
  <c r="M134" i="15"/>
  <c r="M138" i="15"/>
  <c r="M136" i="15"/>
  <c r="O200" i="12"/>
  <c r="Q200" i="12" s="1"/>
  <c r="D146" i="12"/>
  <c r="O338" i="12"/>
  <c r="Q338" i="12" s="1"/>
  <c r="O403" i="12"/>
  <c r="Q403" i="12" s="1"/>
  <c r="O346" i="12"/>
  <c r="Q346" i="12" s="1"/>
  <c r="J376" i="12"/>
  <c r="M382" i="12" s="1"/>
  <c r="G524" i="12"/>
  <c r="F146" i="12"/>
  <c r="I29" i="12"/>
  <c r="O213" i="12"/>
  <c r="O214" i="12" s="1"/>
  <c r="Q213" i="12"/>
  <c r="Q214" i="12" s="1"/>
  <c r="R213" i="12"/>
  <c r="R214" i="12" s="1"/>
  <c r="S213" i="12"/>
  <c r="S214" i="12" s="1"/>
  <c r="N144" i="14"/>
  <c r="P141" i="14" s="1"/>
  <c r="O141" i="14" s="1"/>
  <c r="N172" i="14"/>
  <c r="P168" i="14" s="1"/>
  <c r="O168" i="14" s="1"/>
  <c r="O283" i="12"/>
  <c r="M292" i="12" s="1"/>
  <c r="L292" i="12" s="1"/>
  <c r="M253" i="12"/>
  <c r="L253" i="12" s="1"/>
  <c r="M252" i="12"/>
  <c r="L252" i="12" s="1"/>
  <c r="M251" i="12"/>
  <c r="L251" i="12" s="1"/>
  <c r="M250" i="12"/>
  <c r="L250" i="12" s="1"/>
  <c r="M249" i="12"/>
  <c r="L249" i="12" s="1"/>
  <c r="M248" i="12"/>
  <c r="L248" i="12" s="1"/>
  <c r="P158" i="15" l="1"/>
  <c r="O158" i="15" s="1"/>
  <c r="I383" i="12"/>
  <c r="G590" i="12" s="1"/>
  <c r="M380" i="12"/>
  <c r="M381" i="12"/>
  <c r="M312" i="12"/>
  <c r="M313" i="12" s="1"/>
  <c r="N315" i="12" s="1"/>
  <c r="I316" i="12" s="1"/>
  <c r="I319" i="12"/>
  <c r="F326" i="12" s="1"/>
  <c r="G533" i="12" s="1"/>
  <c r="P159" i="15"/>
  <c r="O159" i="15" s="1"/>
  <c r="P160" i="15"/>
  <c r="O160" i="15" s="1"/>
  <c r="P157" i="15"/>
  <c r="O157" i="15" s="1"/>
  <c r="N140" i="15"/>
  <c r="P136" i="15" s="1"/>
  <c r="O136" i="15" s="1"/>
  <c r="O215" i="12"/>
  <c r="Q215" i="12" s="1"/>
  <c r="M293" i="12"/>
  <c r="L293" i="12" s="1"/>
  <c r="P142" i="14"/>
  <c r="O142" i="14" s="1"/>
  <c r="P140" i="14"/>
  <c r="O140" i="14" s="1"/>
  <c r="P139" i="14"/>
  <c r="O139" i="14" s="1"/>
  <c r="P138" i="14"/>
  <c r="O138" i="14" s="1"/>
  <c r="P167" i="14"/>
  <c r="O167" i="14" s="1"/>
  <c r="P170" i="14"/>
  <c r="O170" i="14" s="1"/>
  <c r="P169" i="14"/>
  <c r="O169" i="14" s="1"/>
  <c r="P166" i="14"/>
  <c r="O166" i="14" s="1"/>
  <c r="M291" i="12"/>
  <c r="L291" i="12" s="1"/>
  <c r="M289" i="12"/>
  <c r="L289" i="12" s="1"/>
  <c r="M288" i="12"/>
  <c r="L288" i="12" s="1"/>
  <c r="M290" i="12"/>
  <c r="L290" i="12" s="1"/>
  <c r="M254" i="12"/>
  <c r="E534" i="12" l="1"/>
  <c r="P162" i="15"/>
  <c r="N169" i="15" s="1"/>
  <c r="M169" i="15" s="1"/>
  <c r="F390" i="12"/>
  <c r="G534" i="12" s="1"/>
  <c r="G428" i="12"/>
  <c r="B431" i="12" s="1"/>
  <c r="M383" i="12"/>
  <c r="N384" i="12" s="1"/>
  <c r="I381" i="12" s="1"/>
  <c r="D534" i="12" s="1"/>
  <c r="E533" i="12"/>
  <c r="H368" i="12"/>
  <c r="G589" i="12" s="1"/>
  <c r="P137" i="15"/>
  <c r="O137" i="15" s="1"/>
  <c r="P135" i="15"/>
  <c r="O135" i="15" s="1"/>
  <c r="P138" i="15"/>
  <c r="O138" i="15" s="1"/>
  <c r="P134" i="15"/>
  <c r="O134" i="15" s="1"/>
  <c r="D533" i="12"/>
  <c r="H96" i="12"/>
  <c r="H352" i="12"/>
  <c r="B361" i="12" s="1"/>
  <c r="F325" i="12"/>
  <c r="G328" i="12" s="1"/>
  <c r="G330" i="12" s="1"/>
  <c r="P143" i="14"/>
  <c r="N151" i="14" s="1"/>
  <c r="M151" i="14" s="1"/>
  <c r="P171" i="14"/>
  <c r="N176" i="14" s="1"/>
  <c r="M176" i="14" s="1"/>
  <c r="M294" i="12"/>
  <c r="O288" i="12" s="1"/>
  <c r="N288" i="12" s="1"/>
  <c r="O252" i="12"/>
  <c r="N252" i="12" s="1"/>
  <c r="O250" i="12"/>
  <c r="N250" i="12" s="1"/>
  <c r="O253" i="12"/>
  <c r="O251" i="12"/>
  <c r="N251" i="12" s="1"/>
  <c r="O249" i="12"/>
  <c r="N249" i="12" s="1"/>
  <c r="O248" i="12"/>
  <c r="N248" i="12" s="1"/>
  <c r="I590" i="12" l="1"/>
  <c r="N166" i="15"/>
  <c r="M166" i="15" s="1"/>
  <c r="N170" i="15"/>
  <c r="M170" i="15" s="1"/>
  <c r="N168" i="15"/>
  <c r="M168" i="15" s="1"/>
  <c r="N167" i="15"/>
  <c r="M167" i="15" s="1"/>
  <c r="H370" i="12"/>
  <c r="I589" i="12" s="1"/>
  <c r="E97" i="12"/>
  <c r="F389" i="12"/>
  <c r="F534" i="12" s="1"/>
  <c r="H410" i="12"/>
  <c r="H413" i="12" s="1"/>
  <c r="B420" i="12" s="1"/>
  <c r="P139" i="15"/>
  <c r="N146" i="15" s="1"/>
  <c r="M146" i="15" s="1"/>
  <c r="H361" i="12"/>
  <c r="S362" i="12" s="1"/>
  <c r="F533" i="12"/>
  <c r="B328" i="12"/>
  <c r="O289" i="12"/>
  <c r="N289" i="12" s="1"/>
  <c r="O291" i="12"/>
  <c r="N291" i="12" s="1"/>
  <c r="O290" i="12"/>
  <c r="N290" i="12" s="1"/>
  <c r="O292" i="12"/>
  <c r="N292" i="12" s="1"/>
  <c r="O293" i="12"/>
  <c r="N293" i="12" s="1"/>
  <c r="N150" i="14"/>
  <c r="M150" i="14" s="1"/>
  <c r="N149" i="14"/>
  <c r="M149" i="14" s="1"/>
  <c r="N148" i="14"/>
  <c r="M148" i="14" s="1"/>
  <c r="N180" i="14"/>
  <c r="M180" i="14" s="1"/>
  <c r="N178" i="14"/>
  <c r="M178" i="14" s="1"/>
  <c r="N177" i="14"/>
  <c r="M177" i="14" s="1"/>
  <c r="N179" i="14"/>
  <c r="M179" i="14" s="1"/>
  <c r="H533" i="12"/>
  <c r="B332" i="12"/>
  <c r="O254" i="12"/>
  <c r="G248" i="12" s="1"/>
  <c r="B372" i="12" l="1"/>
  <c r="G392" i="12"/>
  <c r="G393" i="12" s="1"/>
  <c r="H534" i="12" s="1"/>
  <c r="N171" i="15"/>
  <c r="P168" i="15" s="1"/>
  <c r="O168" i="15" s="1"/>
  <c r="B392" i="12"/>
  <c r="H420" i="12"/>
  <c r="O421" i="12" s="1"/>
  <c r="O422" i="12" s="1"/>
  <c r="N144" i="15"/>
  <c r="M144" i="15" s="1"/>
  <c r="N145" i="15"/>
  <c r="M145" i="15" s="1"/>
  <c r="N143" i="15"/>
  <c r="M143" i="15" s="1"/>
  <c r="Q362" i="12"/>
  <c r="O362" i="12"/>
  <c r="O363" i="12" s="1"/>
  <c r="O364" i="12" s="1"/>
  <c r="O294" i="12"/>
  <c r="G284" i="12" s="1"/>
  <c r="G290" i="12" s="1"/>
  <c r="P362" i="12"/>
  <c r="P363" i="12" s="1"/>
  <c r="P364" i="12" s="1"/>
  <c r="R362" i="12"/>
  <c r="E561" i="12"/>
  <c r="C504" i="12"/>
  <c r="N181" i="14"/>
  <c r="P178" i="14" s="1"/>
  <c r="O178" i="14" s="1"/>
  <c r="N152" i="14"/>
  <c r="P151" i="14" s="1"/>
  <c r="O151" i="14" s="1"/>
  <c r="S363" i="12"/>
  <c r="S364" i="12" s="1"/>
  <c r="E578" i="12"/>
  <c r="G255" i="12"/>
  <c r="B396" i="12" l="1"/>
  <c r="E566" i="12"/>
  <c r="P166" i="15"/>
  <c r="O166" i="15" s="1"/>
  <c r="P169" i="15"/>
  <c r="O169" i="15" s="1"/>
  <c r="P167" i="15"/>
  <c r="O167" i="15" s="1"/>
  <c r="P170" i="15"/>
  <c r="O170" i="15" s="1"/>
  <c r="G506" i="12"/>
  <c r="Q421" i="12"/>
  <c r="Q422" i="12" s="1"/>
  <c r="Q423" i="12" s="1"/>
  <c r="P421" i="12"/>
  <c r="P422" i="12" s="1"/>
  <c r="P423" i="12" s="1"/>
  <c r="R421" i="12"/>
  <c r="R422" i="12" s="1"/>
  <c r="S421" i="12"/>
  <c r="S422" i="12" s="1"/>
  <c r="N147" i="15"/>
  <c r="P143" i="15" s="1"/>
  <c r="O143" i="15" s="1"/>
  <c r="O423" i="12"/>
  <c r="Q363" i="12"/>
  <c r="Q364" i="12" s="1"/>
  <c r="E579" i="12"/>
  <c r="R363" i="12"/>
  <c r="R364" i="12" s="1"/>
  <c r="P176" i="14"/>
  <c r="O176" i="14" s="1"/>
  <c r="P177" i="14"/>
  <c r="O177" i="14" s="1"/>
  <c r="P180" i="14"/>
  <c r="O180" i="14" s="1"/>
  <c r="P179" i="14"/>
  <c r="O179" i="14" s="1"/>
  <c r="P150" i="14"/>
  <c r="O150" i="14" s="1"/>
  <c r="P148" i="14"/>
  <c r="O148" i="14" s="1"/>
  <c r="P149" i="14"/>
  <c r="O149" i="14" s="1"/>
  <c r="G258" i="12"/>
  <c r="G259" i="12" s="1"/>
  <c r="C263" i="12" s="1"/>
  <c r="B258" i="12"/>
  <c r="F578" i="12"/>
  <c r="G293" i="12"/>
  <c r="G294" i="12" s="1"/>
  <c r="C298" i="12" s="1"/>
  <c r="F579" i="12"/>
  <c r="B293" i="12"/>
  <c r="P171" i="15" l="1"/>
  <c r="H159" i="15" s="1"/>
  <c r="S423" i="12"/>
  <c r="R423" i="12"/>
  <c r="P146" i="15"/>
  <c r="O146" i="15" s="1"/>
  <c r="P145" i="15"/>
  <c r="O145" i="15" s="1"/>
  <c r="P144" i="15"/>
  <c r="O144" i="15" s="1"/>
  <c r="O365" i="12"/>
  <c r="Q365" i="12" s="1"/>
  <c r="P152" i="14"/>
  <c r="H149" i="14" s="1"/>
  <c r="P181" i="14"/>
  <c r="H168" i="14" s="1"/>
  <c r="E325" i="14" s="1"/>
  <c r="H304" i="12"/>
  <c r="H579" i="12" s="1"/>
  <c r="D298" i="12"/>
  <c r="H269" i="12"/>
  <c r="H578" i="12" s="1"/>
  <c r="D263" i="12"/>
  <c r="I535" i="11"/>
  <c r="J481" i="11"/>
  <c r="F479" i="11"/>
  <c r="J477" i="11"/>
  <c r="F477" i="11"/>
  <c r="J469" i="11"/>
  <c r="F469" i="11"/>
  <c r="J467" i="11"/>
  <c r="F467" i="11"/>
  <c r="J465" i="11"/>
  <c r="F465" i="11"/>
  <c r="I426" i="11"/>
  <c r="F562" i="11" s="1"/>
  <c r="H541" i="11"/>
  <c r="C406" i="11"/>
  <c r="G541" i="11" s="1"/>
  <c r="H539" i="11"/>
  <c r="G539" i="11"/>
  <c r="E378" i="11"/>
  <c r="H411" i="11" s="1"/>
  <c r="E377" i="11"/>
  <c r="H365" i="11"/>
  <c r="F561" i="11" s="1"/>
  <c r="G533" i="11"/>
  <c r="H536" i="11"/>
  <c r="G536" i="11"/>
  <c r="E313" i="11"/>
  <c r="I341" i="11" s="1"/>
  <c r="E312" i="11"/>
  <c r="F275" i="11"/>
  <c r="F240" i="11"/>
  <c r="H219" i="11"/>
  <c r="H529" i="11"/>
  <c r="H210" i="11"/>
  <c r="H204" i="11"/>
  <c r="H528" i="11"/>
  <c r="H531" i="11"/>
  <c r="H530" i="11"/>
  <c r="G530" i="11"/>
  <c r="H169" i="11"/>
  <c r="I506" i="11" s="1"/>
  <c r="F113" i="11"/>
  <c r="E113" i="11"/>
  <c r="H113" i="11" s="1"/>
  <c r="H112" i="11"/>
  <c r="F112" i="11"/>
  <c r="D112" i="11"/>
  <c r="H111" i="11"/>
  <c r="F111" i="11"/>
  <c r="D111" i="11"/>
  <c r="F110" i="11"/>
  <c r="D110" i="11"/>
  <c r="F109" i="11"/>
  <c r="D109" i="11"/>
  <c r="H85" i="11"/>
  <c r="H69" i="11"/>
  <c r="F51" i="11"/>
  <c r="G40" i="11"/>
  <c r="G38" i="11"/>
  <c r="G36" i="11"/>
  <c r="G35" i="11"/>
  <c r="I33" i="11"/>
  <c r="I32" i="11"/>
  <c r="F30" i="11"/>
  <c r="F441" i="11" s="1"/>
  <c r="G14" i="11"/>
  <c r="H538" i="11" l="1"/>
  <c r="H540" i="11"/>
  <c r="I540" i="11" s="1"/>
  <c r="N382" i="11"/>
  <c r="P147" i="15"/>
  <c r="H145" i="15" s="1"/>
  <c r="E316" i="15" s="1"/>
  <c r="J318" i="15" s="1"/>
  <c r="O424" i="12"/>
  <c r="Q424" i="12" s="1"/>
  <c r="N317" i="11"/>
  <c r="F560" i="11"/>
  <c r="H564" i="11"/>
  <c r="E317" i="15"/>
  <c r="F244" i="11"/>
  <c r="F246" i="11" s="1"/>
  <c r="F278" i="11"/>
  <c r="F281" i="11" s="1"/>
  <c r="G538" i="11"/>
  <c r="H422" i="11"/>
  <c r="I538" i="11" s="1"/>
  <c r="F401" i="11"/>
  <c r="J313" i="11"/>
  <c r="N316" i="11" s="1"/>
  <c r="D75" i="11"/>
  <c r="J377" i="11"/>
  <c r="H418" i="11" s="1"/>
  <c r="G102" i="11"/>
  <c r="I182" i="11"/>
  <c r="G394" i="11"/>
  <c r="I508" i="11" s="1"/>
  <c r="H172" i="14"/>
  <c r="D179" i="14" s="1"/>
  <c r="E324" i="14"/>
  <c r="B173" i="14"/>
  <c r="H346" i="11"/>
  <c r="H404" i="11"/>
  <c r="I539" i="11" s="1"/>
  <c r="H534" i="11"/>
  <c r="H199" i="11"/>
  <c r="I528" i="11" s="1"/>
  <c r="H406" i="11"/>
  <c r="I541" i="11" s="1"/>
  <c r="E110" i="11"/>
  <c r="G110" i="11" s="1"/>
  <c r="H189" i="11"/>
  <c r="I531" i="11" s="1"/>
  <c r="M242" i="11"/>
  <c r="E112" i="11"/>
  <c r="G112" i="11" s="1"/>
  <c r="I112" i="11" s="1"/>
  <c r="M240" i="11"/>
  <c r="H187" i="11"/>
  <c r="I530" i="11" s="1"/>
  <c r="M241" i="11"/>
  <c r="H215" i="11"/>
  <c r="I529" i="11" s="1"/>
  <c r="F219" i="11"/>
  <c r="F365" i="11"/>
  <c r="E561" i="11" s="1"/>
  <c r="H362" i="11"/>
  <c r="I533" i="11" s="1"/>
  <c r="G426" i="11"/>
  <c r="H426" i="11" s="1"/>
  <c r="D561" i="11"/>
  <c r="H369" i="11"/>
  <c r="H561" i="11" s="1"/>
  <c r="H533" i="11"/>
  <c r="G290" i="11"/>
  <c r="G551" i="11" s="1"/>
  <c r="F27" i="11"/>
  <c r="F52" i="11"/>
  <c r="F53" i="11" s="1"/>
  <c r="G54" i="11" s="1"/>
  <c r="H110" i="11"/>
  <c r="H153" i="11"/>
  <c r="H196" i="11"/>
  <c r="H223" i="11"/>
  <c r="H560" i="11" s="1"/>
  <c r="J312" i="11"/>
  <c r="H357" i="11" s="1"/>
  <c r="G528" i="11"/>
  <c r="G529" i="11"/>
  <c r="G531" i="11"/>
  <c r="G534" i="11"/>
  <c r="F25" i="11"/>
  <c r="E109" i="11"/>
  <c r="E111" i="11"/>
  <c r="G111" i="11" s="1"/>
  <c r="I111" i="11" s="1"/>
  <c r="H152" i="11"/>
  <c r="M238" i="11"/>
  <c r="M239" i="11"/>
  <c r="H240" i="11"/>
  <c r="G255" i="11"/>
  <c r="G550" i="11" s="1"/>
  <c r="H275" i="11"/>
  <c r="M278" i="11"/>
  <c r="M279" i="11"/>
  <c r="M280" i="11"/>
  <c r="H348" i="11"/>
  <c r="D560" i="11"/>
  <c r="D562" i="11"/>
  <c r="D113" i="11"/>
  <c r="G113" i="11" s="1"/>
  <c r="I113" i="11" s="1"/>
  <c r="H140" i="11"/>
  <c r="H212" i="11"/>
  <c r="M277" i="11"/>
  <c r="M281" i="11"/>
  <c r="G331" i="11"/>
  <c r="H430" i="11"/>
  <c r="H562" i="11" s="1"/>
  <c r="J317" i="15" l="1"/>
  <c r="J322" i="15" s="1"/>
  <c r="J320" i="15"/>
  <c r="I341" i="14"/>
  <c r="I343" i="14"/>
  <c r="N318" i="11"/>
  <c r="H163" i="15"/>
  <c r="D169" i="15" s="1"/>
  <c r="H198" i="11"/>
  <c r="O203" i="11" s="1"/>
  <c r="G219" i="11"/>
  <c r="G564" i="11" s="1"/>
  <c r="F564" i="11"/>
  <c r="D440" i="11"/>
  <c r="I440" i="11" s="1"/>
  <c r="D441" i="11"/>
  <c r="I441" i="11" s="1"/>
  <c r="H419" i="11"/>
  <c r="H420" i="11" s="1"/>
  <c r="F540" i="11" s="1"/>
  <c r="I110" i="11"/>
  <c r="H118" i="11"/>
  <c r="H119" i="11" s="1"/>
  <c r="G489" i="11" s="1"/>
  <c r="D78" i="11"/>
  <c r="B181" i="14"/>
  <c r="H179" i="14"/>
  <c r="B180" i="14"/>
  <c r="F366" i="11"/>
  <c r="H30" i="11"/>
  <c r="E562" i="11"/>
  <c r="F301" i="11"/>
  <c r="I551" i="11" s="1"/>
  <c r="G365" i="11"/>
  <c r="F243" i="11"/>
  <c r="D246" i="11" s="1"/>
  <c r="L242" i="11" s="1"/>
  <c r="D243" i="11"/>
  <c r="B246" i="11" s="1"/>
  <c r="H274" i="11"/>
  <c r="F277" i="11" s="1"/>
  <c r="D281" i="11" s="1"/>
  <c r="H266" i="11"/>
  <c r="I550" i="11" s="1"/>
  <c r="G427" i="11"/>
  <c r="F220" i="11"/>
  <c r="F565" i="11" s="1"/>
  <c r="E560" i="11"/>
  <c r="H358" i="11"/>
  <c r="H359" i="11" s="1"/>
  <c r="F535" i="11" s="1"/>
  <c r="I507" i="11"/>
  <c r="H353" i="11"/>
  <c r="H155" i="11"/>
  <c r="H154" i="11"/>
  <c r="H109" i="11"/>
  <c r="G109" i="11"/>
  <c r="I534" i="11"/>
  <c r="I536" i="11"/>
  <c r="F400" i="11"/>
  <c r="I181" i="11"/>
  <c r="I340" i="11"/>
  <c r="G55" i="11"/>
  <c r="F302" i="11"/>
  <c r="J551" i="11" s="1"/>
  <c r="H267" i="11"/>
  <c r="B171" i="15" l="1"/>
  <c r="H169" i="15"/>
  <c r="E216" i="15" s="1"/>
  <c r="M216" i="15" s="1"/>
  <c r="R203" i="11"/>
  <c r="R204" i="11" s="1"/>
  <c r="L239" i="11"/>
  <c r="B170" i="15"/>
  <c r="Q203" i="11"/>
  <c r="Q205" i="11" s="1"/>
  <c r="F528" i="11"/>
  <c r="P203" i="11"/>
  <c r="P204" i="11" s="1"/>
  <c r="P205" i="11" s="1"/>
  <c r="S203" i="11"/>
  <c r="S204" i="11" s="1"/>
  <c r="C477" i="11"/>
  <c r="I442" i="11"/>
  <c r="E327" i="14"/>
  <c r="E223" i="14"/>
  <c r="P224" i="14" s="1"/>
  <c r="H196" i="14"/>
  <c r="E332" i="14" s="1"/>
  <c r="D277" i="11"/>
  <c r="B281" i="11" s="1"/>
  <c r="L241" i="11"/>
  <c r="L237" i="11"/>
  <c r="L240" i="11"/>
  <c r="L238" i="11"/>
  <c r="L280" i="11"/>
  <c r="L276" i="11"/>
  <c r="L278" i="11"/>
  <c r="L279" i="11"/>
  <c r="L277" i="11"/>
  <c r="L281" i="11"/>
  <c r="H403" i="11"/>
  <c r="H405" i="11"/>
  <c r="O204" i="11"/>
  <c r="O205" i="11" s="1"/>
  <c r="B268" i="11"/>
  <c r="J550" i="11"/>
  <c r="H186" i="11"/>
  <c r="H188" i="11"/>
  <c r="I109" i="11"/>
  <c r="I114" i="11" s="1"/>
  <c r="G114" i="11"/>
  <c r="H203" i="11"/>
  <c r="H205" i="11" s="1"/>
  <c r="H161" i="11"/>
  <c r="H162" i="11" s="1"/>
  <c r="D506" i="11"/>
  <c r="H345" i="11"/>
  <c r="H347" i="11"/>
  <c r="E506" i="11"/>
  <c r="H164" i="11"/>
  <c r="B303" i="11"/>
  <c r="I349" i="14" l="1"/>
  <c r="I351" i="14"/>
  <c r="R205" i="11"/>
  <c r="P232" i="15"/>
  <c r="S205" i="11"/>
  <c r="M235" i="15"/>
  <c r="E319" i="15"/>
  <c r="M214" i="15"/>
  <c r="M215" i="15" s="1"/>
  <c r="N215" i="15" s="1"/>
  <c r="O219" i="15"/>
  <c r="O232" i="15"/>
  <c r="O233" i="15" s="1"/>
  <c r="P233" i="15" s="1"/>
  <c r="F188" i="15"/>
  <c r="I260" i="15" s="1"/>
  <c r="E343" i="15" s="1"/>
  <c r="O234" i="15"/>
  <c r="P217" i="15"/>
  <c r="N214" i="15"/>
  <c r="O217" i="15"/>
  <c r="O218" i="15" s="1"/>
  <c r="P218" i="15" s="1"/>
  <c r="N233" i="15"/>
  <c r="M233" i="15"/>
  <c r="M234" i="15" s="1"/>
  <c r="N234" i="15" s="1"/>
  <c r="Q204" i="11"/>
  <c r="M242" i="14"/>
  <c r="N240" i="14"/>
  <c r="O224" i="14"/>
  <c r="O225" i="14" s="1"/>
  <c r="P225" i="14" s="1"/>
  <c r="P226" i="14" s="1"/>
  <c r="M221" i="14"/>
  <c r="M222" i="14" s="1"/>
  <c r="N222" i="14" s="1"/>
  <c r="O241" i="14"/>
  <c r="O239" i="14"/>
  <c r="O240" i="14" s="1"/>
  <c r="P240" i="14" s="1"/>
  <c r="O226" i="14"/>
  <c r="M223" i="14"/>
  <c r="N221" i="14"/>
  <c r="M240" i="14"/>
  <c r="M241" i="14" s="1"/>
  <c r="N241" i="14" s="1"/>
  <c r="P239" i="14"/>
  <c r="F211" i="14"/>
  <c r="H211" i="14" s="1"/>
  <c r="I266" i="14"/>
  <c r="E356" i="14" s="1"/>
  <c r="M243" i="11"/>
  <c r="O242" i="11" s="1"/>
  <c r="N242" i="11" s="1"/>
  <c r="M282" i="11"/>
  <c r="O279" i="11" s="1"/>
  <c r="N279" i="11" s="1"/>
  <c r="H165" i="11"/>
  <c r="G506" i="11" s="1"/>
  <c r="H222" i="11"/>
  <c r="S392" i="11"/>
  <c r="O392" i="11"/>
  <c r="F539" i="11"/>
  <c r="R392" i="11"/>
  <c r="P392" i="11"/>
  <c r="C469" i="11"/>
  <c r="Q392" i="11"/>
  <c r="Q335" i="11"/>
  <c r="P335" i="11"/>
  <c r="F534" i="11"/>
  <c r="R335" i="11"/>
  <c r="C467" i="11"/>
  <c r="S335" i="11"/>
  <c r="O335" i="11"/>
  <c r="D143" i="11"/>
  <c r="D142" i="11"/>
  <c r="G487" i="11"/>
  <c r="H123" i="11"/>
  <c r="G469" i="11"/>
  <c r="R400" i="11"/>
  <c r="Q400" i="11"/>
  <c r="F541" i="11"/>
  <c r="S400" i="11"/>
  <c r="O400" i="11"/>
  <c r="P400" i="11"/>
  <c r="H134" i="11"/>
  <c r="H121" i="11"/>
  <c r="G488" i="11"/>
  <c r="G467" i="11"/>
  <c r="R343" i="11"/>
  <c r="F536" i="11"/>
  <c r="S343" i="11"/>
  <c r="O343" i="11"/>
  <c r="Q343" i="11"/>
  <c r="P343" i="11"/>
  <c r="B213" i="11"/>
  <c r="H213" i="11"/>
  <c r="S187" i="11"/>
  <c r="O187" i="11"/>
  <c r="F530" i="11"/>
  <c r="P187" i="11"/>
  <c r="R187" i="11"/>
  <c r="C465" i="11"/>
  <c r="Q187" i="11"/>
  <c r="F506" i="11"/>
  <c r="G465" i="11"/>
  <c r="P196" i="11"/>
  <c r="O196" i="11"/>
  <c r="F531" i="11"/>
  <c r="Q196" i="11"/>
  <c r="S196" i="11"/>
  <c r="R196" i="11"/>
  <c r="P234" i="15" l="1"/>
  <c r="O206" i="11"/>
  <c r="Q206" i="11" s="1"/>
  <c r="E324" i="15"/>
  <c r="J327" i="15" s="1"/>
  <c r="N235" i="15"/>
  <c r="N216" i="15"/>
  <c r="P219" i="15"/>
  <c r="F204" i="15"/>
  <c r="H204" i="15" s="1"/>
  <c r="B209" i="15" s="1"/>
  <c r="N242" i="14"/>
  <c r="N223" i="14"/>
  <c r="E331" i="14"/>
  <c r="B216" i="14"/>
  <c r="B215" i="14"/>
  <c r="P241" i="14"/>
  <c r="O240" i="11"/>
  <c r="N240" i="11" s="1"/>
  <c r="O241" i="11"/>
  <c r="N241" i="11" s="1"/>
  <c r="O237" i="11"/>
  <c r="N237" i="11" s="1"/>
  <c r="O238" i="11"/>
  <c r="N238" i="11" s="1"/>
  <c r="O239" i="11"/>
  <c r="N239" i="11" s="1"/>
  <c r="O281" i="11"/>
  <c r="N281" i="11" s="1"/>
  <c r="O278" i="11"/>
  <c r="N278" i="11" s="1"/>
  <c r="O277" i="11"/>
  <c r="N277" i="11" s="1"/>
  <c r="O276" i="11"/>
  <c r="N276" i="11" s="1"/>
  <c r="O280" i="11"/>
  <c r="N280" i="11" s="1"/>
  <c r="O344" i="11"/>
  <c r="O345" i="11" s="1"/>
  <c r="Q401" i="11"/>
  <c r="Q402" i="11"/>
  <c r="R337" i="11"/>
  <c r="R336" i="11"/>
  <c r="R198" i="11"/>
  <c r="R197" i="11"/>
  <c r="O197" i="11"/>
  <c r="O198" i="11" s="1"/>
  <c r="R189" i="11"/>
  <c r="R188" i="11"/>
  <c r="S189" i="11"/>
  <c r="S188" i="11"/>
  <c r="Q344" i="11"/>
  <c r="Q345" i="11"/>
  <c r="R345" i="11"/>
  <c r="R344" i="11"/>
  <c r="G495" i="11"/>
  <c r="H135" i="11"/>
  <c r="F124" i="11"/>
  <c r="G124" i="11"/>
  <c r="E124" i="11"/>
  <c r="G492" i="11"/>
  <c r="Q336" i="11"/>
  <c r="Q337" i="11"/>
  <c r="R394" i="11"/>
  <c r="R393" i="11"/>
  <c r="G560" i="11"/>
  <c r="H224" i="11"/>
  <c r="B167" i="11"/>
  <c r="P198" i="11"/>
  <c r="P197" i="11"/>
  <c r="P188" i="11"/>
  <c r="P189" i="11" s="1"/>
  <c r="P401" i="11"/>
  <c r="P402" i="11"/>
  <c r="O188" i="11"/>
  <c r="O189" i="11" s="1"/>
  <c r="P344" i="11"/>
  <c r="P345" i="11"/>
  <c r="F122" i="11"/>
  <c r="E122" i="11"/>
  <c r="G491" i="11"/>
  <c r="G122" i="11"/>
  <c r="S402" i="11"/>
  <c r="S401" i="11"/>
  <c r="S337" i="11"/>
  <c r="S336" i="11"/>
  <c r="P336" i="11"/>
  <c r="P337" i="11" s="1"/>
  <c r="P393" i="11"/>
  <c r="P394" i="11" s="1"/>
  <c r="S394" i="11"/>
  <c r="S393" i="11"/>
  <c r="G167" i="11"/>
  <c r="H168" i="11" s="1"/>
  <c r="S197" i="11"/>
  <c r="S198" i="11"/>
  <c r="G477" i="11"/>
  <c r="Q211" i="11"/>
  <c r="P211" i="11"/>
  <c r="E529" i="11"/>
  <c r="R211" i="11"/>
  <c r="S211" i="11"/>
  <c r="O211" i="11"/>
  <c r="Q393" i="11"/>
  <c r="Q394" i="11"/>
  <c r="Q198" i="11"/>
  <c r="Q197" i="11"/>
  <c r="Q189" i="11"/>
  <c r="Q188" i="11"/>
  <c r="S345" i="11"/>
  <c r="S344" i="11"/>
  <c r="O401" i="11"/>
  <c r="O402" i="11" s="1"/>
  <c r="R401" i="11"/>
  <c r="R402" i="11"/>
  <c r="O336" i="11"/>
  <c r="O337" i="11" s="1"/>
  <c r="O393" i="11"/>
  <c r="O394" i="11" s="1"/>
  <c r="J326" i="15" l="1"/>
  <c r="J329" i="15"/>
  <c r="F227" i="14"/>
  <c r="G228" i="14" s="1"/>
  <c r="F220" i="15"/>
  <c r="G221" i="15" s="1"/>
  <c r="B208" i="15"/>
  <c r="E323" i="15"/>
  <c r="O243" i="11"/>
  <c r="M251" i="11" s="1"/>
  <c r="L251" i="11" s="1"/>
  <c r="O282" i="11"/>
  <c r="M291" i="11" s="1"/>
  <c r="L291" i="11" s="1"/>
  <c r="O403" i="11"/>
  <c r="Q403" i="11" s="1"/>
  <c r="O346" i="11"/>
  <c r="Q346" i="11" s="1"/>
  <c r="O338" i="11"/>
  <c r="Q338" i="11" s="1"/>
  <c r="O190" i="11"/>
  <c r="Q190" i="11" s="1"/>
  <c r="O395" i="11"/>
  <c r="Q395" i="11" s="1"/>
  <c r="O199" i="11"/>
  <c r="Q199" i="11" s="1"/>
  <c r="S212" i="11"/>
  <c r="S213" i="11" s="1"/>
  <c r="G496" i="11"/>
  <c r="F143" i="11"/>
  <c r="H143" i="11" s="1"/>
  <c r="C94" i="11" s="1"/>
  <c r="F142" i="11"/>
  <c r="H142" i="11" s="1"/>
  <c r="J93" i="11" s="1"/>
  <c r="O212" i="11"/>
  <c r="O213" i="11" s="1"/>
  <c r="P212" i="11"/>
  <c r="P213" i="11" s="1"/>
  <c r="H506" i="11"/>
  <c r="B170" i="11"/>
  <c r="I560" i="11"/>
  <c r="B225" i="11"/>
  <c r="Q212" i="11"/>
  <c r="Q213" i="11" s="1"/>
  <c r="R212" i="11"/>
  <c r="R213" i="11" s="1"/>
  <c r="J226" i="14" l="1"/>
  <c r="I338" i="14" s="1"/>
  <c r="G39" i="15"/>
  <c r="E326" i="15"/>
  <c r="J219" i="15"/>
  <c r="J315" i="15" s="1"/>
  <c r="E336" i="14"/>
  <c r="E55" i="18"/>
  <c r="M250" i="11"/>
  <c r="L250" i="11" s="1"/>
  <c r="M249" i="11"/>
  <c r="L249" i="11" s="1"/>
  <c r="M248" i="11"/>
  <c r="L248" i="11" s="1"/>
  <c r="M252" i="11"/>
  <c r="L252" i="11" s="1"/>
  <c r="M247" i="11"/>
  <c r="L247" i="11" s="1"/>
  <c r="M290" i="11"/>
  <c r="L290" i="11" s="1"/>
  <c r="M292" i="11"/>
  <c r="L292" i="11" s="1"/>
  <c r="M289" i="11"/>
  <c r="L289" i="11" s="1"/>
  <c r="M287" i="11"/>
  <c r="L287" i="11" s="1"/>
  <c r="M288" i="11"/>
  <c r="L288" i="11" s="1"/>
  <c r="O214" i="11"/>
  <c r="Q214" i="11" s="1"/>
  <c r="I28" i="11"/>
  <c r="G498" i="11"/>
  <c r="E376" i="11"/>
  <c r="E311" i="11"/>
  <c r="J311" i="11"/>
  <c r="M316" i="11" s="1"/>
  <c r="F145" i="11"/>
  <c r="I29" i="11"/>
  <c r="D145" i="11"/>
  <c r="G499" i="11"/>
  <c r="J376" i="11"/>
  <c r="M382" i="11" s="1"/>
  <c r="G39" i="14" l="1"/>
  <c r="H22" i="2"/>
  <c r="E338" i="14"/>
  <c r="H238" i="14"/>
  <c r="E342" i="14" s="1"/>
  <c r="H22" i="1"/>
  <c r="H24" i="1" s="1"/>
  <c r="C36" i="1" s="1"/>
  <c r="E328" i="15"/>
  <c r="J314" i="15"/>
  <c r="M384" i="11"/>
  <c r="M383" i="11"/>
  <c r="M317" i="11"/>
  <c r="M318" i="11" s="1"/>
  <c r="N320" i="11" s="1"/>
  <c r="I316" i="11" s="1"/>
  <c r="H93" i="11" s="1"/>
  <c r="M253" i="11"/>
  <c r="O250" i="11" s="1"/>
  <c r="N250" i="11" s="1"/>
  <c r="M293" i="11"/>
  <c r="O287" i="11" s="1"/>
  <c r="N287" i="11" s="1"/>
  <c r="I383" i="11"/>
  <c r="E508" i="11" s="1"/>
  <c r="I319" i="11"/>
  <c r="H18" i="2" l="1"/>
  <c r="C35" i="2" s="1"/>
  <c r="H18" i="1"/>
  <c r="P60" i="1"/>
  <c r="M385" i="11"/>
  <c r="N387" i="11" s="1"/>
  <c r="I381" i="11" s="1"/>
  <c r="D508" i="11" s="1"/>
  <c r="O251" i="11"/>
  <c r="N251" i="11" s="1"/>
  <c r="O252" i="11"/>
  <c r="O248" i="11"/>
  <c r="N248" i="11" s="1"/>
  <c r="O247" i="11"/>
  <c r="N247" i="11" s="1"/>
  <c r="O249" i="11"/>
  <c r="N249" i="11" s="1"/>
  <c r="G562" i="11"/>
  <c r="O292" i="11"/>
  <c r="N292" i="11" s="1"/>
  <c r="O289" i="11"/>
  <c r="N289" i="11" s="1"/>
  <c r="O288" i="11"/>
  <c r="N288" i="11" s="1"/>
  <c r="O291" i="11"/>
  <c r="N291" i="11" s="1"/>
  <c r="O290" i="11"/>
  <c r="N290" i="11" s="1"/>
  <c r="G429" i="11"/>
  <c r="B432" i="11" s="1"/>
  <c r="F390" i="11"/>
  <c r="G508" i="11" s="1"/>
  <c r="F325" i="11"/>
  <c r="D507" i="11"/>
  <c r="H352" i="11"/>
  <c r="F326" i="11"/>
  <c r="G507" i="11" s="1"/>
  <c r="H368" i="11"/>
  <c r="E507" i="11"/>
  <c r="N16" i="2" l="1"/>
  <c r="N18" i="2" s="1"/>
  <c r="N64" i="2"/>
  <c r="D1058" i="2" s="1"/>
  <c r="F911" i="8" s="1"/>
  <c r="K27" i="2"/>
  <c r="K28" i="2" s="1"/>
  <c r="J100" i="2"/>
  <c r="K31" i="2"/>
  <c r="K32" i="2" s="1"/>
  <c r="F1070" i="2"/>
  <c r="F897" i="2" s="1"/>
  <c r="N17" i="1"/>
  <c r="N19" i="1" s="1"/>
  <c r="K28" i="1"/>
  <c r="K31" i="1"/>
  <c r="C905" i="2"/>
  <c r="J905" i="2" s="1"/>
  <c r="J102" i="1"/>
  <c r="N68" i="1"/>
  <c r="F389" i="11"/>
  <c r="F508" i="11" s="1"/>
  <c r="H410" i="11"/>
  <c r="H413" i="11" s="1"/>
  <c r="B421" i="11" s="1"/>
  <c r="E94" i="11"/>
  <c r="O253" i="11"/>
  <c r="G247" i="11" s="1"/>
  <c r="E550" i="11" s="1"/>
  <c r="O293" i="11"/>
  <c r="G283" i="11" s="1"/>
  <c r="G289" i="11" s="1"/>
  <c r="I562" i="11"/>
  <c r="B328" i="11"/>
  <c r="G328" i="11"/>
  <c r="G330" i="11" s="1"/>
  <c r="F507" i="11"/>
  <c r="H370" i="11"/>
  <c r="G561" i="11"/>
  <c r="H361" i="11"/>
  <c r="B361" i="11"/>
  <c r="G34" i="2" l="1"/>
  <c r="H97" i="2" s="1"/>
  <c r="E11" i="16"/>
  <c r="G11" i="16" s="1"/>
  <c r="D70" i="16" s="1"/>
  <c r="D51" i="16" s="1"/>
  <c r="D52" i="16" s="1"/>
  <c r="C898" i="2"/>
  <c r="G33" i="2"/>
  <c r="E34" i="1"/>
  <c r="F1027" i="1" s="1"/>
  <c r="K32" i="1"/>
  <c r="E35" i="1"/>
  <c r="F1028" i="1" s="1"/>
  <c r="G34" i="1"/>
  <c r="F99" i="1" s="1"/>
  <c r="K29" i="1"/>
  <c r="G35" i="1"/>
  <c r="I1028" i="1" s="1"/>
  <c r="S65" i="1"/>
  <c r="D1016" i="1"/>
  <c r="G392" i="11"/>
  <c r="G393" i="11" s="1"/>
  <c r="H508" i="11" s="1"/>
  <c r="B392" i="11"/>
  <c r="H421" i="11"/>
  <c r="O421" i="11" s="1"/>
  <c r="O422" i="11" s="1"/>
  <c r="O423" i="11" s="1"/>
  <c r="G254" i="11"/>
  <c r="G257" i="11" s="1"/>
  <c r="G258" i="11" s="1"/>
  <c r="C262" i="11" s="1"/>
  <c r="E551" i="11"/>
  <c r="I561" i="11"/>
  <c r="B372" i="11"/>
  <c r="H507" i="11"/>
  <c r="B332" i="11"/>
  <c r="S362" i="11"/>
  <c r="O362" i="11"/>
  <c r="E533" i="11"/>
  <c r="P362" i="11"/>
  <c r="R362" i="11"/>
  <c r="C479" i="11"/>
  <c r="Q362" i="11"/>
  <c r="F551" i="11"/>
  <c r="B292" i="11"/>
  <c r="G292" i="11"/>
  <c r="G293" i="11" s="1"/>
  <c r="C297" i="11" s="1"/>
  <c r="I1070" i="2" l="1"/>
  <c r="H904" i="2" s="1"/>
  <c r="D205" i="16"/>
  <c r="D242" i="16"/>
  <c r="I99" i="1"/>
  <c r="I1027" i="1"/>
  <c r="D243" i="16"/>
  <c r="D206" i="16"/>
  <c r="E13" i="16"/>
  <c r="G13" i="16" s="1"/>
  <c r="I70" i="16" s="1"/>
  <c r="F910" i="8"/>
  <c r="O65" i="1"/>
  <c r="E1012" i="1" s="1"/>
  <c r="O67" i="1"/>
  <c r="E1015" i="1" s="1"/>
  <c r="B396" i="11"/>
  <c r="R421" i="11"/>
  <c r="R422" i="11" s="1"/>
  <c r="R423" i="11" s="1"/>
  <c r="P421" i="11"/>
  <c r="P422" i="11" s="1"/>
  <c r="P423" i="11" s="1"/>
  <c r="E538" i="11"/>
  <c r="Q421" i="11"/>
  <c r="Q422" i="11" s="1"/>
  <c r="Q423" i="11" s="1"/>
  <c r="S421" i="11"/>
  <c r="S422" i="11" s="1"/>
  <c r="G481" i="11"/>
  <c r="F550" i="11"/>
  <c r="B257" i="11"/>
  <c r="D262" i="11"/>
  <c r="H268" i="11"/>
  <c r="H550" i="11" s="1"/>
  <c r="R363" i="11"/>
  <c r="R364" i="11" s="1"/>
  <c r="S363" i="11"/>
  <c r="S364" i="11" s="1"/>
  <c r="P363" i="11"/>
  <c r="P364" i="11" s="1"/>
  <c r="H303" i="11"/>
  <c r="H551" i="11" s="1"/>
  <c r="D297" i="11"/>
  <c r="O363" i="11"/>
  <c r="O364" i="11" s="1"/>
  <c r="Q363" i="11"/>
  <c r="Q364" i="11" s="1"/>
  <c r="S423" i="11" l="1"/>
  <c r="O424" i="11" s="1"/>
  <c r="Q424" i="11" s="1"/>
  <c r="O365" i="11"/>
  <c r="Q365" i="11" s="1"/>
  <c r="M1526" i="9"/>
  <c r="N1526" i="9" s="1"/>
  <c r="J1526" i="9"/>
  <c r="M1525" i="9"/>
  <c r="N1525" i="9" s="1"/>
  <c r="J1525" i="9"/>
  <c r="M1524" i="9"/>
  <c r="J1524" i="9"/>
  <c r="M1523" i="9"/>
  <c r="J1523" i="9"/>
  <c r="R1512" i="9"/>
  <c r="N1512" i="9"/>
  <c r="F1512" i="9"/>
  <c r="F1511" i="9"/>
  <c r="R1510" i="9"/>
  <c r="N1510" i="9"/>
  <c r="J1510" i="9"/>
  <c r="F1510" i="9"/>
  <c r="N1509" i="9"/>
  <c r="F1509" i="9"/>
  <c r="R1508" i="9"/>
  <c r="N1508" i="9"/>
  <c r="J1508" i="9"/>
  <c r="F1508" i="9"/>
  <c r="R1507" i="9"/>
  <c r="N1507" i="9"/>
  <c r="J1507" i="9"/>
  <c r="F1507" i="9"/>
  <c r="E1490" i="9"/>
  <c r="D1487" i="9"/>
  <c r="E1483" i="9"/>
  <c r="E1481" i="9"/>
  <c r="D1481" i="9"/>
  <c r="E1480" i="9"/>
  <c r="E1479" i="9"/>
  <c r="E1473" i="9"/>
  <c r="G1467" i="9"/>
  <c r="F1467" i="9"/>
  <c r="E1467" i="9"/>
  <c r="G1466" i="9"/>
  <c r="E1466" i="9"/>
  <c r="G1465" i="9"/>
  <c r="F1465" i="9"/>
  <c r="E1465" i="9"/>
  <c r="E1464" i="9"/>
  <c r="F1463" i="9"/>
  <c r="E1463" i="9"/>
  <c r="D1463" i="9"/>
  <c r="F1462" i="9"/>
  <c r="E1462" i="9"/>
  <c r="F1461" i="9"/>
  <c r="E1461" i="9"/>
  <c r="E1456" i="9"/>
  <c r="A1451" i="9"/>
  <c r="A1383" i="9"/>
  <c r="J1345" i="9"/>
  <c r="J1344" i="9"/>
  <c r="J1340" i="9"/>
  <c r="J1339" i="9"/>
  <c r="D1331" i="9"/>
  <c r="I1328" i="9"/>
  <c r="I1325" i="9"/>
  <c r="M1324" i="9"/>
  <c r="I1323" i="9"/>
  <c r="C1322" i="9"/>
  <c r="I1320" i="9"/>
  <c r="M1319" i="9"/>
  <c r="M1322" i="9" s="1"/>
  <c r="M1318" i="9"/>
  <c r="M1321" i="9" s="1"/>
  <c r="I1318" i="9"/>
  <c r="E1314" i="9"/>
  <c r="F1334" i="9" s="1"/>
  <c r="A1300" i="9"/>
  <c r="F1268" i="9"/>
  <c r="C1253" i="9"/>
  <c r="C1252" i="9"/>
  <c r="G1235" i="9"/>
  <c r="H1251" i="9" s="1"/>
  <c r="F1255" i="9" s="1"/>
  <c r="D1207" i="9"/>
  <c r="F1206" i="9"/>
  <c r="F1204" i="9"/>
  <c r="E1204" i="9"/>
  <c r="D1204" i="9"/>
  <c r="H1188" i="9"/>
  <c r="F1186" i="9"/>
  <c r="D1186" i="9"/>
  <c r="F1162" i="9"/>
  <c r="F1161" i="9"/>
  <c r="F1110" i="9"/>
  <c r="C1094" i="9"/>
  <c r="C1093" i="9"/>
  <c r="H1091" i="9"/>
  <c r="G1078" i="9"/>
  <c r="G1075" i="9"/>
  <c r="F1076" i="9" s="1"/>
  <c r="D1033" i="9"/>
  <c r="F1031" i="9"/>
  <c r="D1007" i="9"/>
  <c r="F1005" i="9"/>
  <c r="F1003" i="9"/>
  <c r="E1003" i="9"/>
  <c r="D1003" i="9"/>
  <c r="E985" i="9"/>
  <c r="G983" i="9"/>
  <c r="C983" i="9"/>
  <c r="A970" i="9"/>
  <c r="G950" i="9"/>
  <c r="G946" i="9"/>
  <c r="G917" i="9"/>
  <c r="G913" i="9"/>
  <c r="D895" i="9"/>
  <c r="C895" i="9"/>
  <c r="D894" i="9"/>
  <c r="C894" i="9"/>
  <c r="I893" i="9"/>
  <c r="F900" i="9" s="1"/>
  <c r="G879" i="9"/>
  <c r="E950" i="9" s="1"/>
  <c r="G853" i="9"/>
  <c r="I1445" i="9" s="1"/>
  <c r="D817" i="9"/>
  <c r="F816" i="9"/>
  <c r="F813" i="9"/>
  <c r="E813" i="9"/>
  <c r="D813" i="9"/>
  <c r="G794" i="9"/>
  <c r="G790" i="9"/>
  <c r="C788" i="9"/>
  <c r="A773" i="9"/>
  <c r="E769" i="9"/>
  <c r="F754" i="9"/>
  <c r="H739" i="9"/>
  <c r="I1443" i="9" s="1"/>
  <c r="E727" i="9"/>
  <c r="H711" i="9"/>
  <c r="G708" i="9"/>
  <c r="G704" i="9"/>
  <c r="C702" i="9"/>
  <c r="F672" i="9"/>
  <c r="F654" i="9"/>
  <c r="F679" i="9"/>
  <c r="B608" i="9"/>
  <c r="B607" i="9"/>
  <c r="B606" i="9"/>
  <c r="B605" i="9"/>
  <c r="B604" i="9"/>
  <c r="B603" i="9"/>
  <c r="F599" i="9"/>
  <c r="H613" i="9" s="1"/>
  <c r="F598" i="9"/>
  <c r="G592" i="9"/>
  <c r="E592" i="9"/>
  <c r="E570" i="9"/>
  <c r="F554" i="9"/>
  <c r="D554" i="9"/>
  <c r="E525" i="9"/>
  <c r="I511" i="9"/>
  <c r="G509" i="9"/>
  <c r="G506" i="9"/>
  <c r="C504" i="9"/>
  <c r="F473" i="9"/>
  <c r="F452" i="9"/>
  <c r="F434" i="9"/>
  <c r="G401" i="9"/>
  <c r="G377" i="9"/>
  <c r="D434" i="9" s="1"/>
  <c r="G375" i="9"/>
  <c r="B332" i="9"/>
  <c r="B331" i="9"/>
  <c r="B330" i="9"/>
  <c r="B329" i="9"/>
  <c r="B328" i="9"/>
  <c r="B327" i="9"/>
  <c r="F320" i="9"/>
  <c r="I313" i="9"/>
  <c r="G231" i="9"/>
  <c r="H267" i="9" s="1"/>
  <c r="G229" i="9"/>
  <c r="F202" i="9"/>
  <c r="F197" i="9"/>
  <c r="F811" i="9" s="1"/>
  <c r="E197" i="9"/>
  <c r="E811" i="9" s="1"/>
  <c r="D197" i="9"/>
  <c r="D1002" i="9" s="1"/>
  <c r="F196" i="9"/>
  <c r="F810" i="9" s="1"/>
  <c r="E196" i="9"/>
  <c r="E1001" i="9" s="1"/>
  <c r="D196" i="9"/>
  <c r="D1201" i="9" s="1"/>
  <c r="D174" i="9"/>
  <c r="E173" i="9"/>
  <c r="D158" i="9"/>
  <c r="I158" i="9" s="1"/>
  <c r="H156" i="9"/>
  <c r="G156" i="9"/>
  <c r="F156" i="9"/>
  <c r="E156" i="9"/>
  <c r="H155" i="9"/>
  <c r="F155" i="9"/>
  <c r="E155" i="9"/>
  <c r="D155" i="9"/>
  <c r="H154" i="9"/>
  <c r="G154" i="9"/>
  <c r="E154" i="9"/>
  <c r="D154" i="9"/>
  <c r="H153" i="9"/>
  <c r="F153" i="9"/>
  <c r="E153" i="9"/>
  <c r="H152" i="9"/>
  <c r="G152" i="9"/>
  <c r="E152" i="9"/>
  <c r="H151" i="9"/>
  <c r="E151" i="9"/>
  <c r="H150" i="9"/>
  <c r="E150" i="9"/>
  <c r="H149" i="9"/>
  <c r="E149" i="9"/>
  <c r="H147" i="9"/>
  <c r="H146" i="9"/>
  <c r="F124" i="9"/>
  <c r="D67" i="9"/>
  <c r="D66" i="18" s="1"/>
  <c r="D66" i="9"/>
  <c r="G928" i="9" s="1"/>
  <c r="H928" i="9" s="1"/>
  <c r="H1139" i="9"/>
  <c r="D125" i="9"/>
  <c r="G22" i="9"/>
  <c r="C506" i="9" s="1"/>
  <c r="E733" i="8"/>
  <c r="C733" i="8"/>
  <c r="E732" i="8"/>
  <c r="E731" i="8"/>
  <c r="E730" i="8"/>
  <c r="G719" i="8"/>
  <c r="E719" i="8"/>
  <c r="D719" i="8"/>
  <c r="G718" i="8"/>
  <c r="E718" i="8"/>
  <c r="G717" i="8"/>
  <c r="E717" i="8"/>
  <c r="G716" i="8"/>
  <c r="E716" i="8"/>
  <c r="A708" i="8"/>
  <c r="G694" i="8"/>
  <c r="H694" i="8" s="1"/>
  <c r="C678" i="8"/>
  <c r="C677" i="8"/>
  <c r="G664" i="8"/>
  <c r="I676" i="8" s="1"/>
  <c r="G639" i="8"/>
  <c r="H639" i="8" s="1"/>
  <c r="G609" i="8"/>
  <c r="H599" i="8"/>
  <c r="E860" i="8" s="1"/>
  <c r="H598" i="8"/>
  <c r="E859" i="8" s="1"/>
  <c r="D582" i="8"/>
  <c r="C582" i="8"/>
  <c r="D581" i="8"/>
  <c r="C581" i="8"/>
  <c r="G568" i="8"/>
  <c r="G640" i="8" s="1"/>
  <c r="H640" i="8" s="1"/>
  <c r="G549" i="8"/>
  <c r="E832" i="8" s="1"/>
  <c r="G514" i="8"/>
  <c r="H514" i="8" s="1"/>
  <c r="G499" i="8"/>
  <c r="E501" i="8" s="1"/>
  <c r="D482" i="8"/>
  <c r="C482" i="8"/>
  <c r="D481" i="8"/>
  <c r="C481" i="8"/>
  <c r="I480" i="8"/>
  <c r="G468" i="8"/>
  <c r="G515" i="8" s="1"/>
  <c r="H515" i="8" s="1"/>
  <c r="G443" i="8"/>
  <c r="H443" i="8" s="1"/>
  <c r="G429" i="8"/>
  <c r="E431" i="8" s="1"/>
  <c r="G394" i="8"/>
  <c r="E749" i="8" s="1"/>
  <c r="G361" i="8"/>
  <c r="G359" i="8"/>
  <c r="G358" i="8"/>
  <c r="G351" i="8"/>
  <c r="G350" i="8"/>
  <c r="G353" i="8" s="1"/>
  <c r="I317" i="8"/>
  <c r="H317" i="8"/>
  <c r="G317" i="8"/>
  <c r="F317" i="8"/>
  <c r="I311" i="8"/>
  <c r="H311" i="8"/>
  <c r="G311" i="8"/>
  <c r="F311" i="8"/>
  <c r="E216" i="8"/>
  <c r="D216" i="8"/>
  <c r="K273" i="8" s="1"/>
  <c r="E215" i="8"/>
  <c r="D215" i="8"/>
  <c r="H272" i="8" s="1"/>
  <c r="E214" i="8"/>
  <c r="D214" i="8"/>
  <c r="H271" i="8" s="1"/>
  <c r="E213" i="8"/>
  <c r="D213" i="8"/>
  <c r="F295" i="8" s="1"/>
  <c r="E212" i="8"/>
  <c r="D212" i="8"/>
  <c r="N269" i="8" s="1"/>
  <c r="E211" i="8"/>
  <c r="D211" i="8"/>
  <c r="K268" i="8" s="1"/>
  <c r="E210" i="8"/>
  <c r="D210" i="8"/>
  <c r="H208" i="8" s="1"/>
  <c r="D265" i="8" s="1"/>
  <c r="D209" i="8"/>
  <c r="D208" i="8"/>
  <c r="E207" i="8"/>
  <c r="D207" i="8"/>
  <c r="H206" i="8" s="1"/>
  <c r="D263" i="8" s="1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H144" i="8"/>
  <c r="E145" i="8" s="1"/>
  <c r="C134" i="8"/>
  <c r="H117" i="8"/>
  <c r="E99" i="8"/>
  <c r="C99" i="8"/>
  <c r="H100" i="8" s="1"/>
  <c r="D110" i="8" s="1"/>
  <c r="F92" i="8"/>
  <c r="H79" i="8"/>
  <c r="E189" i="8" s="1"/>
  <c r="H77" i="8"/>
  <c r="E202" i="8" s="1"/>
  <c r="H76" i="8"/>
  <c r="E192" i="8" s="1"/>
  <c r="F192" i="8" s="1"/>
  <c r="H75" i="8"/>
  <c r="E190" i="8" s="1"/>
  <c r="H124" i="8"/>
  <c r="E69" i="8"/>
  <c r="F68" i="8"/>
  <c r="D68" i="8"/>
  <c r="C67" i="8"/>
  <c r="C62" i="8"/>
  <c r="C58" i="8"/>
  <c r="D55" i="8"/>
  <c r="G46" i="8"/>
  <c r="G57" i="9" s="1"/>
  <c r="F530" i="9" s="1"/>
  <c r="H43" i="8"/>
  <c r="H42" i="8"/>
  <c r="F34" i="8"/>
  <c r="E26" i="9"/>
  <c r="J1046" i="2"/>
  <c r="F1046" i="2"/>
  <c r="J1045" i="2"/>
  <c r="F1045" i="2"/>
  <c r="J1044" i="2"/>
  <c r="F1044" i="2"/>
  <c r="J1043" i="2"/>
  <c r="F1043" i="2"/>
  <c r="J1042" i="2"/>
  <c r="F1042" i="2"/>
  <c r="J1039" i="2"/>
  <c r="F1039" i="2"/>
  <c r="J1038" i="2"/>
  <c r="F1038" i="2"/>
  <c r="J1037" i="2"/>
  <c r="F1037" i="2"/>
  <c r="J1036" i="2"/>
  <c r="F1036" i="2"/>
  <c r="J1035" i="2"/>
  <c r="F1035" i="2"/>
  <c r="J1026" i="2"/>
  <c r="F1026" i="2"/>
  <c r="J1025" i="2"/>
  <c r="F1025" i="2"/>
  <c r="J1024" i="2"/>
  <c r="F1024" i="2"/>
  <c r="J1023" i="2"/>
  <c r="F1023" i="2"/>
  <c r="J1022" i="2"/>
  <c r="F1022" i="2"/>
  <c r="J1019" i="2"/>
  <c r="F1019" i="2"/>
  <c r="J1018" i="2"/>
  <c r="F1018" i="2"/>
  <c r="J1017" i="2"/>
  <c r="F1017" i="2"/>
  <c r="J1016" i="2"/>
  <c r="F1016" i="2"/>
  <c r="J1015" i="2"/>
  <c r="F1015" i="2"/>
  <c r="I964" i="2"/>
  <c r="H964" i="2"/>
  <c r="E964" i="2"/>
  <c r="D964" i="2"/>
  <c r="H945" i="2"/>
  <c r="E831" i="2"/>
  <c r="E945" i="2" s="1"/>
  <c r="C831" i="2"/>
  <c r="E825" i="2"/>
  <c r="D984" i="2" s="1"/>
  <c r="F778" i="2"/>
  <c r="I957" i="2"/>
  <c r="H957" i="2"/>
  <c r="E957" i="2"/>
  <c r="C769" i="2"/>
  <c r="D957" i="2" s="1"/>
  <c r="I938" i="2"/>
  <c r="H938" i="2"/>
  <c r="E762" i="2"/>
  <c r="E938" i="2" s="1"/>
  <c r="C762" i="2"/>
  <c r="D938" i="2" s="1"/>
  <c r="F756" i="2"/>
  <c r="D977" i="2" s="1"/>
  <c r="I963" i="2"/>
  <c r="E963" i="2"/>
  <c r="C712" i="2"/>
  <c r="D963" i="2" s="1"/>
  <c r="I944" i="2"/>
  <c r="H944" i="2"/>
  <c r="E703" i="2"/>
  <c r="E944" i="2" s="1"/>
  <c r="C703" i="2"/>
  <c r="F697" i="2"/>
  <c r="D983" i="2" s="1"/>
  <c r="F651" i="2"/>
  <c r="I956" i="2"/>
  <c r="E956" i="2"/>
  <c r="C642" i="2"/>
  <c r="D956" i="2" s="1"/>
  <c r="I937" i="2"/>
  <c r="E635" i="2"/>
  <c r="E937" i="2" s="1"/>
  <c r="C635" i="2"/>
  <c r="D937" i="2" s="1"/>
  <c r="F629" i="2"/>
  <c r="D976" i="2" s="1"/>
  <c r="I962" i="2"/>
  <c r="H962" i="2"/>
  <c r="E962" i="2"/>
  <c r="C584" i="2"/>
  <c r="D962" i="2" s="1"/>
  <c r="I943" i="2"/>
  <c r="H943" i="2"/>
  <c r="E575" i="2"/>
  <c r="C575" i="2"/>
  <c r="D943" i="2" s="1"/>
  <c r="M538" i="2"/>
  <c r="F522" i="2"/>
  <c r="I955" i="2"/>
  <c r="E955" i="2"/>
  <c r="C513" i="2"/>
  <c r="D955" i="2" s="1"/>
  <c r="I936" i="2"/>
  <c r="H936" i="2"/>
  <c r="E506" i="2"/>
  <c r="C506" i="2"/>
  <c r="D936" i="2" s="1"/>
  <c r="I961" i="2"/>
  <c r="H961" i="2"/>
  <c r="E961" i="2"/>
  <c r="C456" i="2"/>
  <c r="I942" i="2"/>
  <c r="H942" i="2"/>
  <c r="E447" i="2"/>
  <c r="E942" i="2" s="1"/>
  <c r="C447" i="2"/>
  <c r="E441" i="2"/>
  <c r="D981" i="2" s="1"/>
  <c r="F395" i="2"/>
  <c r="I954" i="2"/>
  <c r="E954" i="2"/>
  <c r="C387" i="2"/>
  <c r="I935" i="2"/>
  <c r="H935" i="2"/>
  <c r="E380" i="2"/>
  <c r="E935" i="2" s="1"/>
  <c r="C380" i="2"/>
  <c r="G374" i="2"/>
  <c r="D974" i="2" s="1"/>
  <c r="G347" i="2"/>
  <c r="G323" i="2"/>
  <c r="I960" i="2"/>
  <c r="G325" i="2"/>
  <c r="E960" i="2"/>
  <c r="C294" i="2"/>
  <c r="I941" i="2"/>
  <c r="H941" i="2"/>
  <c r="E278" i="2"/>
  <c r="E941" i="2" s="1"/>
  <c r="C278" i="2"/>
  <c r="G271" i="2"/>
  <c r="F275" i="2" s="1"/>
  <c r="G218" i="2"/>
  <c r="C228" i="2" s="1"/>
  <c r="G193" i="2"/>
  <c r="C203" i="2" s="1"/>
  <c r="I178" i="2"/>
  <c r="I953" i="2"/>
  <c r="H953" i="2"/>
  <c r="G167" i="2"/>
  <c r="E162" i="2"/>
  <c r="E953" i="2" s="1"/>
  <c r="C162" i="2"/>
  <c r="D953" i="2" s="1"/>
  <c r="I934" i="2"/>
  <c r="H934" i="2"/>
  <c r="E154" i="2"/>
  <c r="E934" i="2" s="1"/>
  <c r="C154" i="2"/>
  <c r="G142" i="2"/>
  <c r="D973" i="2" s="1"/>
  <c r="C100" i="2"/>
  <c r="D97" i="2"/>
  <c r="E96" i="2"/>
  <c r="B94" i="2"/>
  <c r="B77" i="2"/>
  <c r="H35" i="2"/>
  <c r="G65" i="2"/>
  <c r="H56" i="2"/>
  <c r="H54" i="2"/>
  <c r="H52" i="2"/>
  <c r="H51" i="2"/>
  <c r="J49" i="2"/>
  <c r="J48" i="2"/>
  <c r="H46" i="2"/>
  <c r="G196" i="2" s="1"/>
  <c r="G198" i="2" s="1"/>
  <c r="J44" i="2"/>
  <c r="J43" i="2"/>
  <c r="J42" i="2"/>
  <c r="H36" i="1"/>
  <c r="M550" i="1"/>
  <c r="I46" i="1"/>
  <c r="I45" i="1"/>
  <c r="I44" i="1"/>
  <c r="J52" i="1"/>
  <c r="I923" i="1"/>
  <c r="E923" i="1"/>
  <c r="D923" i="1"/>
  <c r="H916" i="1"/>
  <c r="H904" i="1"/>
  <c r="C838" i="1"/>
  <c r="D904" i="1" s="1"/>
  <c r="C769" i="1"/>
  <c r="I922" i="1"/>
  <c r="H922" i="1"/>
  <c r="E922" i="1"/>
  <c r="C718" i="1"/>
  <c r="D922" i="1" s="1"/>
  <c r="I915" i="1"/>
  <c r="H915" i="1"/>
  <c r="E915" i="1"/>
  <c r="C649" i="1"/>
  <c r="D915" i="1" s="1"/>
  <c r="H903" i="1"/>
  <c r="C709" i="1"/>
  <c r="D903" i="1" s="1"/>
  <c r="C642" i="1"/>
  <c r="D896" i="1" s="1"/>
  <c r="H49" i="1"/>
  <c r="H54" i="1"/>
  <c r="H55" i="1"/>
  <c r="H57" i="1"/>
  <c r="H59" i="1"/>
  <c r="G67" i="1"/>
  <c r="D96" i="1"/>
  <c r="E98" i="1"/>
  <c r="J98" i="1" s="1"/>
  <c r="F149" i="1"/>
  <c r="I156" i="1" s="1"/>
  <c r="C161" i="1"/>
  <c r="D893" i="1" s="1"/>
  <c r="E161" i="1"/>
  <c r="H893" i="1"/>
  <c r="I893" i="1"/>
  <c r="C169" i="1"/>
  <c r="E912" i="1"/>
  <c r="G174" i="1"/>
  <c r="G184" i="1"/>
  <c r="I185" i="1"/>
  <c r="G200" i="1"/>
  <c r="C210" i="1" s="1"/>
  <c r="G225" i="1"/>
  <c r="C235" i="1" s="1"/>
  <c r="F278" i="1"/>
  <c r="F282" i="1" s="1"/>
  <c r="C285" i="1"/>
  <c r="D900" i="1" s="1"/>
  <c r="E285" i="1"/>
  <c r="E900" i="1" s="1"/>
  <c r="I900" i="1"/>
  <c r="C301" i="1"/>
  <c r="D919" i="1" s="1"/>
  <c r="E919" i="1"/>
  <c r="G358" i="1"/>
  <c r="I919" i="1"/>
  <c r="G330" i="1"/>
  <c r="G354" i="1"/>
  <c r="F381" i="1"/>
  <c r="D933" i="1" s="1"/>
  <c r="C387" i="1"/>
  <c r="E387" i="1"/>
  <c r="E894" i="1" s="1"/>
  <c r="I894" i="1"/>
  <c r="C394" i="1"/>
  <c r="D913" i="1" s="1"/>
  <c r="I913" i="1"/>
  <c r="F402" i="1"/>
  <c r="F448" i="1"/>
  <c r="D940" i="1" s="1"/>
  <c r="C454" i="1"/>
  <c r="D901" i="1" s="1"/>
  <c r="E454" i="1"/>
  <c r="E901" i="1" s="1"/>
  <c r="I901" i="1"/>
  <c r="C463" i="1"/>
  <c r="D920" i="1" s="1"/>
  <c r="E920" i="1"/>
  <c r="H920" i="1"/>
  <c r="I920" i="1"/>
  <c r="F507" i="1"/>
  <c r="D934" i="1" s="1"/>
  <c r="C513" i="1"/>
  <c r="D895" i="1" s="1"/>
  <c r="E513" i="1"/>
  <c r="E895" i="1" s="1"/>
  <c r="H895" i="1"/>
  <c r="I895" i="1"/>
  <c r="C520" i="1"/>
  <c r="D914" i="1" s="1"/>
  <c r="E914" i="1"/>
  <c r="H914" i="1"/>
  <c r="F529" i="1"/>
  <c r="F576" i="1"/>
  <c r="D941" i="1" s="1"/>
  <c r="C582" i="1"/>
  <c r="D902" i="1" s="1"/>
  <c r="E582" i="1"/>
  <c r="H902" i="1"/>
  <c r="I902" i="1"/>
  <c r="C591" i="1"/>
  <c r="D921" i="1" s="1"/>
  <c r="E921" i="1"/>
  <c r="H921" i="1"/>
  <c r="I921" i="1"/>
  <c r="F636" i="1"/>
  <c r="D935" i="1" s="1"/>
  <c r="E642" i="1"/>
  <c r="E896" i="1" s="1"/>
  <c r="I896" i="1"/>
  <c r="F658" i="1"/>
  <c r="F703" i="1"/>
  <c r="D942" i="1" s="1"/>
  <c r="E709" i="1"/>
  <c r="E903" i="1" s="1"/>
  <c r="F763" i="1"/>
  <c r="D936" i="1" s="1"/>
  <c r="E769" i="1"/>
  <c r="E897" i="1" s="1"/>
  <c r="H897" i="1"/>
  <c r="C776" i="1"/>
  <c r="D916" i="1" s="1"/>
  <c r="F785" i="1"/>
  <c r="F832" i="1"/>
  <c r="D943" i="1" s="1"/>
  <c r="E838" i="1"/>
  <c r="E904" i="1" s="1"/>
  <c r="I904" i="1"/>
  <c r="F973" i="1"/>
  <c r="J973" i="1"/>
  <c r="F974" i="1"/>
  <c r="J974" i="1"/>
  <c r="F975" i="1"/>
  <c r="J975" i="1"/>
  <c r="F976" i="1"/>
  <c r="J976" i="1"/>
  <c r="F977" i="1"/>
  <c r="J977" i="1"/>
  <c r="F980" i="1"/>
  <c r="J980" i="1"/>
  <c r="F981" i="1"/>
  <c r="J981" i="1"/>
  <c r="F982" i="1"/>
  <c r="J982" i="1"/>
  <c r="F983" i="1"/>
  <c r="J983" i="1"/>
  <c r="F984" i="1"/>
  <c r="J984" i="1"/>
  <c r="F993" i="1"/>
  <c r="J993" i="1"/>
  <c r="F994" i="1"/>
  <c r="J994" i="1"/>
  <c r="F995" i="1"/>
  <c r="J995" i="1"/>
  <c r="F996" i="1"/>
  <c r="J996" i="1"/>
  <c r="F997" i="1"/>
  <c r="J997" i="1"/>
  <c r="F1000" i="1"/>
  <c r="J1000" i="1"/>
  <c r="F1001" i="1"/>
  <c r="J1001" i="1"/>
  <c r="F1002" i="1"/>
  <c r="J1002" i="1"/>
  <c r="F1003" i="1"/>
  <c r="J1003" i="1"/>
  <c r="F1004" i="1"/>
  <c r="J1004" i="1"/>
  <c r="J32" i="1"/>
  <c r="G253" i="1" s="1"/>
  <c r="D958" i="1"/>
  <c r="G297" i="1"/>
  <c r="F1264" i="9"/>
  <c r="F549" i="9"/>
  <c r="F750" i="9"/>
  <c r="F412" i="9"/>
  <c r="F262" i="9"/>
  <c r="F1105" i="9"/>
  <c r="F650" i="9"/>
  <c r="F844" i="1" l="1"/>
  <c r="F851" i="1" s="1"/>
  <c r="N13" i="1"/>
  <c r="J26" i="1" s="1"/>
  <c r="E201" i="8"/>
  <c r="F201" i="8" s="1"/>
  <c r="E204" i="8"/>
  <c r="E206" i="8"/>
  <c r="E208" i="8"/>
  <c r="E205" i="8"/>
  <c r="E209" i="8"/>
  <c r="H790" i="1"/>
  <c r="D115" i="18"/>
  <c r="D118" i="18" s="1"/>
  <c r="J1341" i="9"/>
  <c r="G1489" i="9" s="1"/>
  <c r="I1440" i="9"/>
  <c r="G417" i="9"/>
  <c r="E794" i="9"/>
  <c r="E82" i="9"/>
  <c r="E1201" i="9"/>
  <c r="I1447" i="9"/>
  <c r="I1448" i="9"/>
  <c r="J1346" i="9"/>
  <c r="G1490" i="9" s="1"/>
  <c r="E913" i="9"/>
  <c r="I913" i="9" s="1"/>
  <c r="F1002" i="9"/>
  <c r="F897" i="9"/>
  <c r="D1110" i="9"/>
  <c r="H1110" i="9" s="1"/>
  <c r="I983" i="9"/>
  <c r="D1164" i="9"/>
  <c r="E1166" i="9" s="1"/>
  <c r="J1166" i="9" s="1"/>
  <c r="E1175" i="9" s="1"/>
  <c r="D1202" i="9"/>
  <c r="D1255" i="9"/>
  <c r="G1461" i="9"/>
  <c r="H1461" i="9" s="1"/>
  <c r="I1461" i="9" s="1"/>
  <c r="F1140" i="9"/>
  <c r="G1140" i="9" s="1"/>
  <c r="E1202" i="9"/>
  <c r="D1268" i="9"/>
  <c r="H1268" i="9" s="1"/>
  <c r="D810" i="9"/>
  <c r="D1001" i="9"/>
  <c r="E1002" i="9"/>
  <c r="G423" i="9"/>
  <c r="H423" i="9" s="1"/>
  <c r="F1275" i="9"/>
  <c r="I1439" i="9"/>
  <c r="I1446" i="9"/>
  <c r="D452" i="9"/>
  <c r="H452" i="9" s="1"/>
  <c r="F1291" i="9"/>
  <c r="F1201" i="9"/>
  <c r="G961" i="9"/>
  <c r="E964" i="9" s="1"/>
  <c r="I912" i="1"/>
  <c r="H180" i="1"/>
  <c r="E1038" i="9"/>
  <c r="F1051" i="9" s="1"/>
  <c r="E917" i="9"/>
  <c r="I917" i="9" s="1"/>
  <c r="D473" i="9"/>
  <c r="H473" i="9" s="1"/>
  <c r="F1202" i="9"/>
  <c r="F1001" i="9"/>
  <c r="E810" i="9"/>
  <c r="H434" i="9"/>
  <c r="D811" i="9"/>
  <c r="F1118" i="9"/>
  <c r="H1186" i="9"/>
  <c r="H1189" i="9" s="1"/>
  <c r="E1212" i="9" s="1"/>
  <c r="E1226" i="9" s="1"/>
  <c r="I950" i="9"/>
  <c r="H1092" i="9"/>
  <c r="H1096" i="9" s="1"/>
  <c r="G929" i="9"/>
  <c r="F440" i="9"/>
  <c r="G440" i="9" s="1"/>
  <c r="E194" i="8"/>
  <c r="F194" i="8" s="1"/>
  <c r="E197" i="8"/>
  <c r="F197" i="8" s="1"/>
  <c r="E200" i="8"/>
  <c r="E203" i="8"/>
  <c r="E195" i="8"/>
  <c r="F195" i="8" s="1"/>
  <c r="E199" i="8"/>
  <c r="F199" i="8" s="1"/>
  <c r="E198" i="8"/>
  <c r="F198" i="8" s="1"/>
  <c r="G285" i="2"/>
  <c r="G326" i="2" s="1"/>
  <c r="G350" i="2" s="1"/>
  <c r="G458" i="9"/>
  <c r="H458" i="9" s="1"/>
  <c r="G479" i="9"/>
  <c r="H479" i="9" s="1"/>
  <c r="E946" i="9"/>
  <c r="I946" i="9" s="1"/>
  <c r="I592" i="9"/>
  <c r="F617" i="9" s="1"/>
  <c r="F660" i="9"/>
  <c r="G660" i="9" s="1"/>
  <c r="I246" i="9"/>
  <c r="I149" i="2"/>
  <c r="D980" i="2"/>
  <c r="I1442" i="9"/>
  <c r="D654" i="9"/>
  <c r="H654" i="9" s="1"/>
  <c r="D672" i="9"/>
  <c r="H672" i="9" s="1"/>
  <c r="G679" i="9"/>
  <c r="E682" i="9"/>
  <c r="F289" i="9"/>
  <c r="G289" i="9" s="1"/>
  <c r="I1437" i="9"/>
  <c r="F273" i="9"/>
  <c r="G273" i="9" s="1"/>
  <c r="G510" i="9"/>
  <c r="E38" i="8"/>
  <c r="G444" i="8"/>
  <c r="H444" i="8" s="1"/>
  <c r="D413" i="2"/>
  <c r="D668" i="2"/>
  <c r="E689" i="8"/>
  <c r="D784" i="2"/>
  <c r="H554" i="9"/>
  <c r="E708" i="9"/>
  <c r="E509" i="9"/>
  <c r="E795" i="2"/>
  <c r="H667" i="2"/>
  <c r="I1441" i="9"/>
  <c r="H656" i="2"/>
  <c r="H783" i="2"/>
  <c r="D402" i="2"/>
  <c r="D528" i="2"/>
  <c r="D657" i="2"/>
  <c r="G220" i="2"/>
  <c r="G223" i="2" s="1"/>
  <c r="H527" i="2"/>
  <c r="H538" i="2"/>
  <c r="D522" i="2"/>
  <c r="J522" i="2" s="1"/>
  <c r="G975" i="2" s="1"/>
  <c r="E196" i="8"/>
  <c r="F196" i="8" s="1"/>
  <c r="E193" i="8"/>
  <c r="F193" i="8" s="1"/>
  <c r="E1035" i="9"/>
  <c r="F1048" i="9" s="1"/>
  <c r="H769" i="2"/>
  <c r="F957" i="2" s="1"/>
  <c r="G1117" i="9"/>
  <c r="E1120" i="9" s="1"/>
  <c r="C1122" i="9" s="1"/>
  <c r="H617" i="9"/>
  <c r="H267" i="8"/>
  <c r="E1489" i="9"/>
  <c r="H614" i="9"/>
  <c r="H955" i="2"/>
  <c r="H513" i="2"/>
  <c r="F955" i="2" s="1"/>
  <c r="D651" i="2"/>
  <c r="J651" i="2" s="1"/>
  <c r="G976" i="2" s="1"/>
  <c r="H1290" i="9"/>
  <c r="G1274" i="9"/>
  <c r="F1466" i="9"/>
  <c r="H1466" i="9" s="1"/>
  <c r="I1466" i="9" s="1"/>
  <c r="D1490" i="9"/>
  <c r="F1464" i="9"/>
  <c r="E1488" i="9"/>
  <c r="G173" i="9"/>
  <c r="I173" i="9" s="1"/>
  <c r="D1467" i="9"/>
  <c r="H1467" i="9" s="1"/>
  <c r="I1467" i="9" s="1"/>
  <c r="G229" i="2"/>
  <c r="H387" i="2"/>
  <c r="F954" i="2" s="1"/>
  <c r="G66" i="2"/>
  <c r="G67" i="2" s="1"/>
  <c r="G68" i="2" s="1"/>
  <c r="D395" i="2"/>
  <c r="J395" i="2" s="1"/>
  <c r="G974" i="2" s="1"/>
  <c r="G204" i="2"/>
  <c r="G177" i="2"/>
  <c r="G178" i="2" s="1"/>
  <c r="F179" i="2" s="1"/>
  <c r="G973" i="2" s="1"/>
  <c r="H960" i="2"/>
  <c r="H954" i="2"/>
  <c r="D539" i="2"/>
  <c r="H648" i="2"/>
  <c r="J956" i="2" s="1"/>
  <c r="G351" i="2"/>
  <c r="H294" i="2"/>
  <c r="F960" i="2" s="1"/>
  <c r="H380" i="2"/>
  <c r="F935" i="2" s="1"/>
  <c r="F732" i="9"/>
  <c r="D126" i="9"/>
  <c r="F127" i="9" s="1"/>
  <c r="F873" i="9"/>
  <c r="F1068" i="9"/>
  <c r="F632" i="9"/>
  <c r="F848" i="9"/>
  <c r="F1227" i="9"/>
  <c r="F223" i="9"/>
  <c r="F370" i="9"/>
  <c r="F395" i="9"/>
  <c r="I156" i="9"/>
  <c r="D754" i="9"/>
  <c r="H754" i="9" s="1"/>
  <c r="H1465" i="9"/>
  <c r="I1465" i="9" s="1"/>
  <c r="G149" i="9"/>
  <c r="F1483" i="9"/>
  <c r="E1036" i="9"/>
  <c r="F1049" i="9" s="1"/>
  <c r="E930" i="9"/>
  <c r="C932" i="9" s="1"/>
  <c r="G960" i="9"/>
  <c r="G146" i="9"/>
  <c r="E1142" i="9"/>
  <c r="C1144" i="9" s="1"/>
  <c r="I1139" i="9"/>
  <c r="G147" i="9"/>
  <c r="F1479" i="9"/>
  <c r="E1482" i="9"/>
  <c r="G150" i="9"/>
  <c r="G151" i="9"/>
  <c r="C610" i="9"/>
  <c r="H610" i="9" s="1"/>
  <c r="D613" i="9" s="1"/>
  <c r="H616" i="9"/>
  <c r="E313" i="9"/>
  <c r="C708" i="9"/>
  <c r="C509" i="9"/>
  <c r="C790" i="9"/>
  <c r="C794" i="9"/>
  <c r="C704" i="9"/>
  <c r="H956" i="2"/>
  <c r="H642" i="2"/>
  <c r="F956" i="2" s="1"/>
  <c r="H718" i="2"/>
  <c r="J963" i="2" s="1"/>
  <c r="H712" i="2"/>
  <c r="F963" i="2" s="1"/>
  <c r="H519" i="2"/>
  <c r="D954" i="2"/>
  <c r="H393" i="2"/>
  <c r="H461" i="2"/>
  <c r="J961" i="2" s="1"/>
  <c r="H162" i="2"/>
  <c r="F953" i="2" s="1"/>
  <c r="H963" i="2"/>
  <c r="H775" i="2"/>
  <c r="H584" i="2"/>
  <c r="F962" i="2" s="1"/>
  <c r="D778" i="2"/>
  <c r="J778" i="2" s="1"/>
  <c r="H840" i="2"/>
  <c r="F964" i="2" s="1"/>
  <c r="H304" i="2"/>
  <c r="H173" i="2"/>
  <c r="D960" i="2"/>
  <c r="H181" i="2"/>
  <c r="H590" i="2"/>
  <c r="J962" i="2" s="1"/>
  <c r="H846" i="2"/>
  <c r="J964" i="2" s="1"/>
  <c r="H637" i="2"/>
  <c r="J937" i="2" s="1"/>
  <c r="H456" i="2"/>
  <c r="F961" i="2" s="1"/>
  <c r="H156" i="2"/>
  <c r="J934" i="2" s="1"/>
  <c r="H447" i="2"/>
  <c r="F942" i="2" s="1"/>
  <c r="D961" i="2"/>
  <c r="F837" i="2"/>
  <c r="J35" i="2"/>
  <c r="K77" i="2"/>
  <c r="D1004" i="2"/>
  <c r="H705" i="2"/>
  <c r="J944" i="2" s="1"/>
  <c r="H278" i="2"/>
  <c r="F941" i="2" s="1"/>
  <c r="H382" i="2"/>
  <c r="J935" i="2" s="1"/>
  <c r="H635" i="2"/>
  <c r="F937" i="2" s="1"/>
  <c r="H508" i="2"/>
  <c r="J936" i="2" s="1"/>
  <c r="H154" i="2"/>
  <c r="F934" i="2" s="1"/>
  <c r="H449" i="2"/>
  <c r="J942" i="2" s="1"/>
  <c r="H506" i="2"/>
  <c r="F936" i="2" s="1"/>
  <c r="H831" i="2"/>
  <c r="F945" i="2" s="1"/>
  <c r="H833" i="2"/>
  <c r="J945" i="2" s="1"/>
  <c r="D941" i="2"/>
  <c r="H575" i="2"/>
  <c r="F943" i="2" s="1"/>
  <c r="H703" i="2"/>
  <c r="F944" i="2" s="1"/>
  <c r="H31" i="2"/>
  <c r="N10" i="2" s="1"/>
  <c r="N12" i="2" s="1"/>
  <c r="H280" i="2"/>
  <c r="J941" i="2" s="1"/>
  <c r="H762" i="2"/>
  <c r="F938" i="2" s="1"/>
  <c r="D942" i="2"/>
  <c r="E936" i="2"/>
  <c r="E943" i="2"/>
  <c r="D944" i="2"/>
  <c r="D945" i="2"/>
  <c r="D934" i="2"/>
  <c r="D935" i="2"/>
  <c r="H937" i="2"/>
  <c r="H764" i="2"/>
  <c r="J938" i="2" s="1"/>
  <c r="H577" i="2"/>
  <c r="J943" i="2" s="1"/>
  <c r="I945" i="2"/>
  <c r="E802" i="1"/>
  <c r="G185" i="1"/>
  <c r="H185" i="1" s="1"/>
  <c r="D535" i="1"/>
  <c r="D932" i="1"/>
  <c r="D664" i="1"/>
  <c r="D546" i="1"/>
  <c r="D409" i="1"/>
  <c r="D791" i="1"/>
  <c r="D675" i="1"/>
  <c r="D420" i="1"/>
  <c r="D402" i="1"/>
  <c r="J402" i="1" s="1"/>
  <c r="G933" i="1" s="1"/>
  <c r="G227" i="1"/>
  <c r="G230" i="1" s="1"/>
  <c r="G68" i="1"/>
  <c r="G69" i="1" s="1"/>
  <c r="G70" i="1" s="1"/>
  <c r="H663" i="1"/>
  <c r="D939" i="1"/>
  <c r="G292" i="1"/>
  <c r="G333" i="1" s="1"/>
  <c r="G357" i="1" s="1"/>
  <c r="B359" i="1" s="1"/>
  <c r="H545" i="1"/>
  <c r="G298" i="1"/>
  <c r="H674" i="1"/>
  <c r="G203" i="1"/>
  <c r="G205" i="1" s="1"/>
  <c r="H534" i="1"/>
  <c r="H169" i="1"/>
  <c r="F912" i="1" s="1"/>
  <c r="D785" i="1"/>
  <c r="J785" i="1" s="1"/>
  <c r="G936" i="1" s="1"/>
  <c r="H394" i="1"/>
  <c r="F913" i="1" s="1"/>
  <c r="D529" i="1"/>
  <c r="J529" i="1" s="1"/>
  <c r="G934" i="1" s="1"/>
  <c r="H526" i="1"/>
  <c r="J914" i="1" s="1"/>
  <c r="D912" i="1"/>
  <c r="E913" i="1"/>
  <c r="H776" i="1"/>
  <c r="F916" i="1" s="1"/>
  <c r="H782" i="1"/>
  <c r="D658" i="1"/>
  <c r="J658" i="1" s="1"/>
  <c r="G935" i="1" s="1"/>
  <c r="H400" i="1"/>
  <c r="I916" i="1"/>
  <c r="H468" i="1"/>
  <c r="J920" i="1" s="1"/>
  <c r="H913" i="1"/>
  <c r="H311" i="1"/>
  <c r="J919" i="1" s="1"/>
  <c r="H309" i="1"/>
  <c r="H655" i="1"/>
  <c r="H718" i="1"/>
  <c r="F922" i="1" s="1"/>
  <c r="H649" i="1"/>
  <c r="F915" i="1" s="1"/>
  <c r="H520" i="1"/>
  <c r="F914" i="1" s="1"/>
  <c r="I914" i="1"/>
  <c r="E916" i="1"/>
  <c r="G211" i="1"/>
  <c r="G236" i="1"/>
  <c r="H919" i="1"/>
  <c r="G332" i="1"/>
  <c r="H188" i="1"/>
  <c r="H912" i="1"/>
  <c r="H301" i="1"/>
  <c r="F919" i="1" s="1"/>
  <c r="H463" i="1"/>
  <c r="F920" i="1" s="1"/>
  <c r="H644" i="1"/>
  <c r="J896" i="1" s="1"/>
  <c r="H896" i="1"/>
  <c r="H513" i="1"/>
  <c r="F895" i="1" s="1"/>
  <c r="J36" i="1"/>
  <c r="H853" i="1"/>
  <c r="J923" i="1" s="1"/>
  <c r="H711" i="1"/>
  <c r="J903" i="1" s="1"/>
  <c r="H285" i="1"/>
  <c r="F900" i="1" s="1"/>
  <c r="H724" i="1"/>
  <c r="J922" i="1" s="1"/>
  <c r="H591" i="1"/>
  <c r="F921" i="1" s="1"/>
  <c r="H584" i="1"/>
  <c r="J902" i="1" s="1"/>
  <c r="H387" i="1"/>
  <c r="F894" i="1" s="1"/>
  <c r="H769" i="1"/>
  <c r="F897" i="1" s="1"/>
  <c r="D897" i="1"/>
  <c r="H515" i="1"/>
  <c r="J895" i="1" s="1"/>
  <c r="H838" i="1"/>
  <c r="F904" i="1" s="1"/>
  <c r="D894" i="1"/>
  <c r="H597" i="1"/>
  <c r="J921" i="1" s="1"/>
  <c r="H771" i="1"/>
  <c r="J897" i="1" s="1"/>
  <c r="H161" i="1"/>
  <c r="F893" i="1" s="1"/>
  <c r="H582" i="1"/>
  <c r="F902" i="1" s="1"/>
  <c r="H389" i="1"/>
  <c r="J894" i="1" s="1"/>
  <c r="H163" i="1"/>
  <c r="J893" i="1" s="1"/>
  <c r="I903" i="1"/>
  <c r="H456" i="1"/>
  <c r="J901" i="1" s="1"/>
  <c r="H287" i="1"/>
  <c r="J900" i="1" s="1"/>
  <c r="E893" i="1"/>
  <c r="H847" i="1"/>
  <c r="F923" i="1" s="1"/>
  <c r="I897" i="1"/>
  <c r="H709" i="1"/>
  <c r="F903" i="1" s="1"/>
  <c r="H894" i="1"/>
  <c r="H923" i="1"/>
  <c r="H840" i="1"/>
  <c r="J904" i="1" s="1"/>
  <c r="D962" i="1"/>
  <c r="E902" i="1"/>
  <c r="H901" i="1"/>
  <c r="H900" i="1"/>
  <c r="H642" i="1"/>
  <c r="F896" i="1" s="1"/>
  <c r="H454" i="1"/>
  <c r="F901" i="1" s="1"/>
  <c r="F302" i="8"/>
  <c r="F204" i="8"/>
  <c r="G430" i="8"/>
  <c r="H430" i="8" s="1"/>
  <c r="F364" i="8"/>
  <c r="I408" i="8"/>
  <c r="H268" i="8"/>
  <c r="G695" i="8"/>
  <c r="H695" i="8" s="1"/>
  <c r="E894" i="8"/>
  <c r="F211" i="8"/>
  <c r="F147" i="8"/>
  <c r="H146" i="8" s="1"/>
  <c r="E162" i="8" s="1"/>
  <c r="F56" i="8"/>
  <c r="H215" i="8"/>
  <c r="D272" i="8" s="1"/>
  <c r="F209" i="8"/>
  <c r="N264" i="8"/>
  <c r="K270" i="8"/>
  <c r="G500" i="8"/>
  <c r="H500" i="8" s="1"/>
  <c r="F189" i="8"/>
  <c r="F214" i="8"/>
  <c r="F206" i="8"/>
  <c r="H209" i="8"/>
  <c r="D266" i="8" s="1"/>
  <c r="K269" i="8"/>
  <c r="N270" i="8"/>
  <c r="N272" i="8"/>
  <c r="H273" i="8"/>
  <c r="N273" i="8"/>
  <c r="H216" i="8"/>
  <c r="D273" i="8" s="1"/>
  <c r="H269" i="8"/>
  <c r="E790" i="8"/>
  <c r="K264" i="8"/>
  <c r="F207" i="8"/>
  <c r="H211" i="8"/>
  <c r="D268" i="8" s="1"/>
  <c r="F212" i="8"/>
  <c r="N271" i="8"/>
  <c r="H214" i="8"/>
  <c r="D271" i="8" s="1"/>
  <c r="F215" i="8"/>
  <c r="F17" i="8"/>
  <c r="H123" i="8"/>
  <c r="H429" i="8"/>
  <c r="K272" i="8"/>
  <c r="K271" i="8"/>
  <c r="E445" i="8"/>
  <c r="C447" i="8" s="1"/>
  <c r="F190" i="8"/>
  <c r="H207" i="8"/>
  <c r="D264" i="8" s="1"/>
  <c r="H264" i="8"/>
  <c r="G629" i="8"/>
  <c r="K267" i="8"/>
  <c r="F424" i="8"/>
  <c r="H499" i="8"/>
  <c r="G610" i="8"/>
  <c r="H610" i="8" s="1"/>
  <c r="N268" i="8"/>
  <c r="F203" i="8"/>
  <c r="F202" i="8"/>
  <c r="F149" i="8"/>
  <c r="H148" i="8" s="1"/>
  <c r="E163" i="8" s="1"/>
  <c r="H136" i="8"/>
  <c r="H135" i="8" s="1"/>
  <c r="E159" i="8" s="1"/>
  <c r="F91" i="8"/>
  <c r="E191" i="8"/>
  <c r="F191" i="8" s="1"/>
  <c r="F205" i="8"/>
  <c r="F208" i="8"/>
  <c r="N267" i="8"/>
  <c r="H210" i="8"/>
  <c r="D267" i="8" s="1"/>
  <c r="H212" i="8"/>
  <c r="D269" i="8" s="1"/>
  <c r="F213" i="8"/>
  <c r="F216" i="8"/>
  <c r="F301" i="8"/>
  <c r="H517" i="8"/>
  <c r="E817" i="8" s="1"/>
  <c r="I580" i="8"/>
  <c r="E839" i="8"/>
  <c r="F32" i="1"/>
  <c r="G356" i="8"/>
  <c r="F387" i="8" s="1"/>
  <c r="G354" i="8"/>
  <c r="D365" i="8" s="1"/>
  <c r="G625" i="8"/>
  <c r="F200" i="8"/>
  <c r="F210" i="8"/>
  <c r="F294" i="8"/>
  <c r="H609" i="8"/>
  <c r="H132" i="8"/>
  <c r="H131" i="8" s="1"/>
  <c r="E158" i="8" s="1"/>
  <c r="H600" i="8"/>
  <c r="E861" i="8" s="1"/>
  <c r="H205" i="8"/>
  <c r="D262" i="8" s="1"/>
  <c r="H213" i="8"/>
  <c r="D270" i="8" s="1"/>
  <c r="H270" i="8"/>
  <c r="H642" i="8"/>
  <c r="E879" i="8" s="1"/>
  <c r="H495" i="8"/>
  <c r="H9" i="2" l="1"/>
  <c r="F31" i="2" s="1"/>
  <c r="H33" i="2"/>
  <c r="H34" i="2"/>
  <c r="F709" i="2" s="1"/>
  <c r="H32" i="2"/>
  <c r="F845" i="1"/>
  <c r="H34" i="1"/>
  <c r="F79" i="1" s="1"/>
  <c r="H33" i="1"/>
  <c r="D79" i="1" s="1"/>
  <c r="N15" i="1"/>
  <c r="H35" i="1"/>
  <c r="I79" i="1" s="1"/>
  <c r="M10" i="2"/>
  <c r="N11" i="1"/>
  <c r="G167" i="1"/>
  <c r="Q59" i="2"/>
  <c r="F1448" i="9"/>
  <c r="E1228" i="9"/>
  <c r="I794" i="9"/>
  <c r="F827" i="9" s="1"/>
  <c r="E872" i="9" s="1"/>
  <c r="E874" i="9" s="1"/>
  <c r="F174" i="9"/>
  <c r="I509" i="9"/>
  <c r="Q67" i="1"/>
  <c r="G1015" i="1" s="1"/>
  <c r="Q63" i="2"/>
  <c r="Q68" i="1"/>
  <c r="Q64" i="2"/>
  <c r="Q64" i="1"/>
  <c r="H103" i="8"/>
  <c r="H104" i="8" s="1"/>
  <c r="I1255" i="9"/>
  <c r="C1512" i="9" s="1"/>
  <c r="N1087" i="9"/>
  <c r="Q1087" i="9"/>
  <c r="Q1089" i="9" s="1"/>
  <c r="R1087" i="9"/>
  <c r="O1087" i="9"/>
  <c r="O1089" i="9" s="1"/>
  <c r="P1087" i="9"/>
  <c r="P1089" i="9" s="1"/>
  <c r="E1010" i="9"/>
  <c r="E1049" i="9" s="1"/>
  <c r="G1049" i="9" s="1"/>
  <c r="E1104" i="9" s="1"/>
  <c r="H961" i="9"/>
  <c r="K1490" i="9"/>
  <c r="L1490" i="9" s="1"/>
  <c r="E1144" i="9"/>
  <c r="H1144" i="9" s="1"/>
  <c r="E1012" i="9"/>
  <c r="E1051" i="9" s="1"/>
  <c r="G1051" i="9" s="1"/>
  <c r="E1067" i="9" s="1"/>
  <c r="E1069" i="9" s="1"/>
  <c r="E1210" i="9"/>
  <c r="E1263" i="9" s="1"/>
  <c r="E1209" i="9"/>
  <c r="H1286" i="9" s="1"/>
  <c r="E1009" i="9"/>
  <c r="E1048" i="9" s="1"/>
  <c r="G1048" i="9" s="1"/>
  <c r="K1489" i="9"/>
  <c r="L1489" i="9" s="1"/>
  <c r="G1275" i="9"/>
  <c r="E1278" i="9"/>
  <c r="E1294" i="9"/>
  <c r="G1291" i="9"/>
  <c r="H929" i="9"/>
  <c r="E932" i="9"/>
  <c r="H932" i="9" s="1"/>
  <c r="G1118" i="9"/>
  <c r="E1122" i="9"/>
  <c r="H1122" i="9" s="1"/>
  <c r="E1525" i="9" s="1"/>
  <c r="G1525" i="9" s="1"/>
  <c r="F616" i="9"/>
  <c r="F613" i="9"/>
  <c r="J613" i="9" s="1"/>
  <c r="E649" i="9" s="1"/>
  <c r="F614" i="9"/>
  <c r="F718" i="8"/>
  <c r="H718" i="8" s="1"/>
  <c r="H71" i="8"/>
  <c r="E12" i="16" s="1"/>
  <c r="E14" i="16" s="1"/>
  <c r="G189" i="8"/>
  <c r="H189" i="8" s="1"/>
  <c r="D246" i="8" s="1"/>
  <c r="B352" i="2"/>
  <c r="C86" i="2"/>
  <c r="F1482" i="9"/>
  <c r="H892" i="9"/>
  <c r="D900" i="9" s="1"/>
  <c r="I900" i="9" s="1"/>
  <c r="G1464" i="9"/>
  <c r="H1464" i="9" s="1"/>
  <c r="I1464" i="9" s="1"/>
  <c r="F149" i="9"/>
  <c r="I149" i="9" s="1"/>
  <c r="E147" i="9"/>
  <c r="G710" i="9"/>
  <c r="E146" i="9"/>
  <c r="E29" i="9"/>
  <c r="E1487" i="9"/>
  <c r="F1481" i="9"/>
  <c r="G1463" i="9"/>
  <c r="H1463" i="9" s="1"/>
  <c r="I1463" i="9" s="1"/>
  <c r="G1462" i="9"/>
  <c r="H1462" i="9" s="1"/>
  <c r="I1462" i="9" s="1"/>
  <c r="D785" i="9"/>
  <c r="E790" i="9" s="1"/>
  <c r="I790" i="9" s="1"/>
  <c r="G478" i="9"/>
  <c r="G457" i="9"/>
  <c r="H461" i="9" s="1"/>
  <c r="F321" i="9"/>
  <c r="E1486" i="9"/>
  <c r="G155" i="9"/>
  <c r="I155" i="9" s="1"/>
  <c r="F1480" i="9"/>
  <c r="E704" i="9"/>
  <c r="I704" i="9" s="1"/>
  <c r="H678" i="9"/>
  <c r="D501" i="9"/>
  <c r="E506" i="9" s="1"/>
  <c r="I506" i="9" s="1"/>
  <c r="G313" i="9"/>
  <c r="E314" i="9" s="1"/>
  <c r="F342" i="9" s="1"/>
  <c r="G153" i="9"/>
  <c r="I153" i="9" s="1"/>
  <c r="E447" i="8"/>
  <c r="H447" i="8" s="1"/>
  <c r="E777" i="8" s="1"/>
  <c r="I708" i="9"/>
  <c r="D783" i="2"/>
  <c r="D656" i="2"/>
  <c r="F719" i="8"/>
  <c r="H719" i="8" s="1"/>
  <c r="E46" i="9"/>
  <c r="H1117" i="9"/>
  <c r="I1290" i="9"/>
  <c r="E1292" i="9"/>
  <c r="C1294" i="9" s="1"/>
  <c r="H1274" i="9"/>
  <c r="E1276" i="9"/>
  <c r="C1278" i="9" s="1"/>
  <c r="H178" i="2"/>
  <c r="D667" i="2"/>
  <c r="G69" i="2"/>
  <c r="G352" i="2"/>
  <c r="F128" i="9"/>
  <c r="E726" i="9" s="1"/>
  <c r="E651" i="9"/>
  <c r="E550" i="9"/>
  <c r="E413" i="9"/>
  <c r="E751" i="9"/>
  <c r="F263" i="9"/>
  <c r="E1265" i="9"/>
  <c r="E1106" i="9"/>
  <c r="D616" i="9"/>
  <c r="E962" i="9"/>
  <c r="C964" i="9" s="1"/>
  <c r="H964" i="9" s="1"/>
  <c r="H960" i="9"/>
  <c r="D617" i="9"/>
  <c r="J617" i="9" s="1"/>
  <c r="E631" i="9" s="1"/>
  <c r="E633" i="9" s="1"/>
  <c r="D614" i="9"/>
  <c r="J955" i="2"/>
  <c r="D538" i="2"/>
  <c r="D527" i="2"/>
  <c r="D401" i="2"/>
  <c r="D412" i="2"/>
  <c r="J954" i="2"/>
  <c r="E794" i="2"/>
  <c r="J957" i="2"/>
  <c r="G977" i="2"/>
  <c r="H216" i="2"/>
  <c r="H235" i="2"/>
  <c r="H191" i="2"/>
  <c r="H210" i="2"/>
  <c r="J953" i="2"/>
  <c r="H333" i="2"/>
  <c r="J960" i="2"/>
  <c r="F844" i="2"/>
  <c r="F838" i="2"/>
  <c r="G290" i="2"/>
  <c r="J31" i="2"/>
  <c r="G246" i="2" s="1"/>
  <c r="D1000" i="2"/>
  <c r="F186" i="1"/>
  <c r="G932" i="1" s="1"/>
  <c r="G71" i="1"/>
  <c r="D419" i="1"/>
  <c r="G359" i="1"/>
  <c r="E801" i="1"/>
  <c r="D534" i="1"/>
  <c r="D545" i="1"/>
  <c r="H340" i="1"/>
  <c r="D790" i="1"/>
  <c r="J916" i="1"/>
  <c r="D408" i="1"/>
  <c r="J913" i="1"/>
  <c r="H367" i="1"/>
  <c r="H341" i="1"/>
  <c r="J915" i="1"/>
  <c r="D674" i="1"/>
  <c r="D663" i="1"/>
  <c r="J912" i="1"/>
  <c r="H198" i="1"/>
  <c r="H242" i="1"/>
  <c r="H217" i="1"/>
  <c r="H223" i="1"/>
  <c r="B87" i="1"/>
  <c r="D366" i="8"/>
  <c r="F367" i="8" s="1"/>
  <c r="F368" i="8" s="1"/>
  <c r="F381" i="8" s="1"/>
  <c r="I273" i="8"/>
  <c r="G432" i="8"/>
  <c r="E767" i="8" s="1"/>
  <c r="I272" i="8"/>
  <c r="I270" i="8"/>
  <c r="I269" i="8"/>
  <c r="G205" i="8"/>
  <c r="H697" i="8"/>
  <c r="E900" i="8" s="1"/>
  <c r="I271" i="8"/>
  <c r="E248" i="8"/>
  <c r="L270" i="8"/>
  <c r="O271" i="8"/>
  <c r="L268" i="8"/>
  <c r="I268" i="8"/>
  <c r="O268" i="8"/>
  <c r="D733" i="8"/>
  <c r="O272" i="8"/>
  <c r="G211" i="8"/>
  <c r="G196" i="8"/>
  <c r="H197" i="8" s="1"/>
  <c r="D254" i="8" s="1"/>
  <c r="O273" i="8"/>
  <c r="L273" i="8"/>
  <c r="O270" i="8"/>
  <c r="G214" i="8"/>
  <c r="H503" i="8"/>
  <c r="E808" i="8" s="1"/>
  <c r="E246" i="8"/>
  <c r="L271" i="8"/>
  <c r="F716" i="8"/>
  <c r="H716" i="8" s="1"/>
  <c r="H407" i="8"/>
  <c r="F717" i="8"/>
  <c r="H717" i="8" s="1"/>
  <c r="G199" i="8"/>
  <c r="H201" i="8" s="1"/>
  <c r="D258" i="8" s="1"/>
  <c r="L272" i="8"/>
  <c r="G208" i="8"/>
  <c r="L269" i="8"/>
  <c r="H106" i="8"/>
  <c r="O269" i="8"/>
  <c r="B94" i="8"/>
  <c r="B90" i="8"/>
  <c r="H116" i="8"/>
  <c r="H612" i="8"/>
  <c r="E866" i="8" s="1"/>
  <c r="D731" i="8"/>
  <c r="D732" i="8"/>
  <c r="D730" i="8"/>
  <c r="G202" i="8"/>
  <c r="G191" i="8"/>
  <c r="H192" i="8" s="1"/>
  <c r="D249" i="8" s="1"/>
  <c r="G193" i="8"/>
  <c r="H193" i="8" s="1"/>
  <c r="D250" i="8" s="1"/>
  <c r="G160" i="2" l="1"/>
  <c r="G93" i="1"/>
  <c r="C87" i="2"/>
  <c r="C91" i="2"/>
  <c r="F716" i="2"/>
  <c r="F710" i="2"/>
  <c r="H77" i="2"/>
  <c r="D1003" i="2"/>
  <c r="J34" i="2"/>
  <c r="G1053" i="2"/>
  <c r="Q60" i="2"/>
  <c r="G1054" i="2" s="1"/>
  <c r="H204" i="8"/>
  <c r="D261" i="8" s="1"/>
  <c r="H202" i="8"/>
  <c r="D259" i="8" s="1"/>
  <c r="H199" i="8"/>
  <c r="D256" i="8" s="1"/>
  <c r="H203" i="8"/>
  <c r="D260" i="8" s="1"/>
  <c r="H200" i="8"/>
  <c r="D257" i="8" s="1"/>
  <c r="N66" i="1"/>
  <c r="O66" i="1" s="1"/>
  <c r="E70" i="9"/>
  <c r="D67" i="18" s="1"/>
  <c r="Q61" i="2"/>
  <c r="G1011" i="1"/>
  <c r="G70" i="16"/>
  <c r="D53" i="16" s="1"/>
  <c r="H1269" i="9"/>
  <c r="H1112" i="9"/>
  <c r="H1123" i="9" s="1"/>
  <c r="H655" i="9"/>
  <c r="F826" i="9"/>
  <c r="F949" i="9" s="1"/>
  <c r="G951" i="9" s="1"/>
  <c r="F825" i="9"/>
  <c r="I513" i="9"/>
  <c r="I512" i="9"/>
  <c r="E480" i="9"/>
  <c r="H482" i="9"/>
  <c r="H414" i="8"/>
  <c r="N417" i="8" s="1"/>
  <c r="H412" i="8"/>
  <c r="P405" i="8" s="1"/>
  <c r="I579" i="8"/>
  <c r="H584" i="8" s="1"/>
  <c r="F909" i="8"/>
  <c r="F914" i="8" s="1"/>
  <c r="H44" i="16" s="1"/>
  <c r="J84" i="16" s="1"/>
  <c r="E86" i="16" s="1"/>
  <c r="J86" i="16" s="1"/>
  <c r="C88" i="16" s="1"/>
  <c r="E88" i="16" s="1"/>
  <c r="G1016" i="1"/>
  <c r="G1057" i="2"/>
  <c r="N795" i="2"/>
  <c r="G1058" i="2"/>
  <c r="D109" i="8"/>
  <c r="R1246" i="9"/>
  <c r="R1247" i="9" s="1"/>
  <c r="Q1246" i="9"/>
  <c r="Q1248" i="9" s="1"/>
  <c r="C1397" i="9"/>
  <c r="H1278" i="9"/>
  <c r="N1246" i="9"/>
  <c r="N1247" i="9" s="1"/>
  <c r="N1248" i="9" s="1"/>
  <c r="O1246" i="9"/>
  <c r="P1246" i="9"/>
  <c r="P1247" i="9" s="1"/>
  <c r="H1134" i="9"/>
  <c r="N1089" i="9"/>
  <c r="N1088" i="9"/>
  <c r="R1089" i="9"/>
  <c r="Q1088" i="9"/>
  <c r="P1088" i="9"/>
  <c r="H1294" i="9"/>
  <c r="B1295" i="9" s="1"/>
  <c r="O1088" i="9"/>
  <c r="F1447" i="9"/>
  <c r="F344" i="9"/>
  <c r="E1220" i="9"/>
  <c r="C1511" i="9"/>
  <c r="E1418" i="9"/>
  <c r="G1418" i="9" s="1"/>
  <c r="J616" i="9"/>
  <c r="J614" i="9"/>
  <c r="E625" i="9" s="1"/>
  <c r="H190" i="8"/>
  <c r="D247" i="8" s="1"/>
  <c r="F337" i="9"/>
  <c r="F345" i="9"/>
  <c r="H195" i="8"/>
  <c r="D252" i="8" s="1"/>
  <c r="H194" i="8"/>
  <c r="D251" i="8" s="1"/>
  <c r="H198" i="8"/>
  <c r="D255" i="8" s="1"/>
  <c r="H196" i="8"/>
  <c r="D253" i="8" s="1"/>
  <c r="F338" i="9"/>
  <c r="F341" i="9"/>
  <c r="H1468" i="9"/>
  <c r="I1468" i="9" s="1"/>
  <c r="D897" i="9"/>
  <c r="I897" i="9" s="1"/>
  <c r="C1510" i="9" s="1"/>
  <c r="G1395" i="9"/>
  <c r="R898" i="9"/>
  <c r="G1510" i="9"/>
  <c r="O898" i="9"/>
  <c r="Q898" i="9"/>
  <c r="N898" i="9"/>
  <c r="P898" i="9"/>
  <c r="I714" i="9"/>
  <c r="E749" i="9" s="1"/>
  <c r="F820" i="9"/>
  <c r="F822" i="9"/>
  <c r="E847" i="9" s="1"/>
  <c r="E849" i="9" s="1"/>
  <c r="F821" i="9"/>
  <c r="F945" i="9" s="1"/>
  <c r="G947" i="9" s="1"/>
  <c r="I678" i="9"/>
  <c r="E680" i="9"/>
  <c r="C682" i="9" s="1"/>
  <c r="H682" i="9" s="1"/>
  <c r="H478" i="9"/>
  <c r="H457" i="9"/>
  <c r="E459" i="9"/>
  <c r="H341" i="9"/>
  <c r="H338" i="9"/>
  <c r="H337" i="9"/>
  <c r="C334" i="9"/>
  <c r="H334" i="9" s="1"/>
  <c r="H344" i="9"/>
  <c r="H342" i="9"/>
  <c r="H345" i="9"/>
  <c r="I713" i="9"/>
  <c r="E731" i="9" s="1"/>
  <c r="E733" i="9" s="1"/>
  <c r="F150" i="9"/>
  <c r="I150" i="9" s="1"/>
  <c r="F154" i="9"/>
  <c r="I154" i="9" s="1"/>
  <c r="F147" i="9"/>
  <c r="I147" i="9" s="1"/>
  <c r="F146" i="9"/>
  <c r="I146" i="9" s="1"/>
  <c r="F152" i="9"/>
  <c r="I152" i="9" s="1"/>
  <c r="E1061" i="9"/>
  <c r="E364" i="9"/>
  <c r="E1221" i="9"/>
  <c r="E389" i="9"/>
  <c r="E842" i="9"/>
  <c r="E217" i="9"/>
  <c r="E1062" i="9"/>
  <c r="E867" i="9"/>
  <c r="E524" i="9"/>
  <c r="E626" i="9"/>
  <c r="G1392" i="9"/>
  <c r="G1507" i="9"/>
  <c r="C1507" i="9"/>
  <c r="F1442" i="9"/>
  <c r="F1446" i="9"/>
  <c r="E195" i="2"/>
  <c r="C198" i="2" s="1"/>
  <c r="E219" i="2"/>
  <c r="C223" i="2" s="1"/>
  <c r="G291" i="2"/>
  <c r="H302" i="2"/>
  <c r="B342" i="1"/>
  <c r="E226" i="1"/>
  <c r="C230" i="1" s="1"/>
  <c r="E202" i="1"/>
  <c r="C205" i="1" s="1"/>
  <c r="I479" i="8"/>
  <c r="H486" i="8" s="1"/>
  <c r="I675" i="8"/>
  <c r="H680" i="8" s="1"/>
  <c r="H721" i="8"/>
  <c r="H191" i="8"/>
  <c r="D248" i="8" s="1"/>
  <c r="H107" i="8"/>
  <c r="F109" i="8" s="1"/>
  <c r="E894" i="2" l="1"/>
  <c r="J894" i="2" s="1"/>
  <c r="F667" i="2"/>
  <c r="M668" i="2" s="1"/>
  <c r="I91" i="2"/>
  <c r="F97" i="2"/>
  <c r="F100" i="2"/>
  <c r="Q62" i="2"/>
  <c r="F790" i="1"/>
  <c r="M799" i="1" s="1"/>
  <c r="I93" i="1"/>
  <c r="D1013" i="1"/>
  <c r="E1013" i="1"/>
  <c r="I161" i="9"/>
  <c r="D100" i="2"/>
  <c r="I83" i="18"/>
  <c r="I84" i="18"/>
  <c r="I82" i="18"/>
  <c r="H586" i="8"/>
  <c r="Q581" i="8" s="1"/>
  <c r="D207" i="16"/>
  <c r="D54" i="16"/>
  <c r="D244" i="16"/>
  <c r="B90" i="16"/>
  <c r="N62" i="2"/>
  <c r="D1056" i="2" s="1"/>
  <c r="O62" i="2"/>
  <c r="N61" i="2"/>
  <c r="D1055" i="2" s="1"/>
  <c r="O61" i="2"/>
  <c r="P55" i="2"/>
  <c r="F274" i="2"/>
  <c r="H277" i="2" s="1"/>
  <c r="E1448" i="9"/>
  <c r="E1223" i="9"/>
  <c r="G1232" i="9" s="1"/>
  <c r="H1145" i="9"/>
  <c r="R1131" i="9" s="1"/>
  <c r="B1145" i="9"/>
  <c r="E1447" i="9"/>
  <c r="E1064" i="9"/>
  <c r="H756" i="9"/>
  <c r="E1524" i="9" s="1"/>
  <c r="E628" i="9"/>
  <c r="G635" i="9" s="1"/>
  <c r="E866" i="9"/>
  <c r="F916" i="9"/>
  <c r="G918" i="9" s="1"/>
  <c r="E548" i="9"/>
  <c r="H556" i="9" s="1"/>
  <c r="E1523" i="9" s="1"/>
  <c r="E523" i="9"/>
  <c r="E529" i="9"/>
  <c r="E531" i="9" s="1"/>
  <c r="N668" i="1"/>
  <c r="N673" i="2"/>
  <c r="N677" i="1"/>
  <c r="N670" i="1"/>
  <c r="F663" i="1"/>
  <c r="M665" i="1" s="1"/>
  <c r="I35" i="1"/>
  <c r="F689" i="1" s="1"/>
  <c r="F739" i="1" s="1"/>
  <c r="N794" i="2"/>
  <c r="F674" i="1"/>
  <c r="M675" i="1" s="1"/>
  <c r="D954" i="1"/>
  <c r="N680" i="1"/>
  <c r="N667" i="1"/>
  <c r="F687" i="1"/>
  <c r="H728" i="1" s="1"/>
  <c r="H690" i="1"/>
  <c r="F647" i="1"/>
  <c r="H648" i="1" s="1"/>
  <c r="N676" i="1"/>
  <c r="N678" i="1"/>
  <c r="M678" i="1" s="1"/>
  <c r="F626" i="1"/>
  <c r="F629" i="1" s="1"/>
  <c r="N669" i="1"/>
  <c r="N666" i="1"/>
  <c r="N679" i="1"/>
  <c r="M679" i="1" s="1"/>
  <c r="N806" i="2"/>
  <c r="F163" i="16"/>
  <c r="F145" i="16"/>
  <c r="D148" i="16" s="1"/>
  <c r="G149" i="16" s="1"/>
  <c r="G74" i="16"/>
  <c r="H45" i="16"/>
  <c r="E249" i="16" s="1"/>
  <c r="F101" i="16"/>
  <c r="E187" i="16"/>
  <c r="E188" i="16" s="1"/>
  <c r="H218" i="16"/>
  <c r="H230" i="16"/>
  <c r="E224" i="16"/>
  <c r="E225" i="16" s="1"/>
  <c r="H193" i="16"/>
  <c r="E212" i="16"/>
  <c r="E213" i="16" s="1"/>
  <c r="N661" i="2"/>
  <c r="I34" i="2"/>
  <c r="F683" i="2" s="1"/>
  <c r="F722" i="2" s="1"/>
  <c r="N804" i="2"/>
  <c r="E758" i="8"/>
  <c r="P417" i="8"/>
  <c r="P418" i="8" s="1"/>
  <c r="O417" i="8"/>
  <c r="O418" i="8" s="1"/>
  <c r="Q417" i="8"/>
  <c r="Q418" i="8" s="1"/>
  <c r="R417" i="8"/>
  <c r="R418" i="8" s="1"/>
  <c r="N797" i="2"/>
  <c r="N662" i="2"/>
  <c r="D997" i="2"/>
  <c r="H812" i="2"/>
  <c r="N811" i="1"/>
  <c r="N800" i="1"/>
  <c r="F681" i="2"/>
  <c r="H722" i="2" s="1"/>
  <c r="N660" i="2"/>
  <c r="H684" i="2"/>
  <c r="N663" i="2"/>
  <c r="F619" i="2"/>
  <c r="F621" i="2" s="1"/>
  <c r="D996" i="2"/>
  <c r="N669" i="2"/>
  <c r="F640" i="2"/>
  <c r="H641" i="2" s="1"/>
  <c r="N672" i="2"/>
  <c r="N670" i="2"/>
  <c r="K91" i="2"/>
  <c r="N671" i="2"/>
  <c r="N659" i="2"/>
  <c r="F656" i="2"/>
  <c r="F774" i="1"/>
  <c r="F780" i="1" s="1"/>
  <c r="N803" i="2"/>
  <c r="F767" i="2"/>
  <c r="F773" i="2" s="1"/>
  <c r="I36" i="1"/>
  <c r="E818" i="1" s="1"/>
  <c r="F857" i="1" s="1"/>
  <c r="E746" i="2"/>
  <c r="E748" i="2" s="1"/>
  <c r="N796" i="2"/>
  <c r="F783" i="2"/>
  <c r="M795" i="2" s="1"/>
  <c r="G794" i="2"/>
  <c r="M802" i="2" s="1"/>
  <c r="F816" i="1"/>
  <c r="N804" i="1"/>
  <c r="N803" i="1"/>
  <c r="N801" i="1"/>
  <c r="G801" i="1"/>
  <c r="M809" i="1" s="1"/>
  <c r="E898" i="2"/>
  <c r="J898" i="2" s="1"/>
  <c r="N814" i="1"/>
  <c r="N812" i="1"/>
  <c r="N802" i="1"/>
  <c r="N813" i="1"/>
  <c r="N805" i="2"/>
  <c r="N807" i="2"/>
  <c r="I35" i="2"/>
  <c r="E811" i="2" s="1"/>
  <c r="N793" i="2"/>
  <c r="K94" i="1"/>
  <c r="E753" i="1"/>
  <c r="E756" i="1" s="1"/>
  <c r="H819" i="1"/>
  <c r="N810" i="1"/>
  <c r="D955" i="1"/>
  <c r="F809" i="2"/>
  <c r="H850" i="2" s="1"/>
  <c r="J91" i="2"/>
  <c r="O1247" i="9"/>
  <c r="O1248" i="9" s="1"/>
  <c r="N188" i="2"/>
  <c r="G130" i="2"/>
  <c r="I31" i="2"/>
  <c r="N214" i="2"/>
  <c r="H161" i="2"/>
  <c r="G244" i="2"/>
  <c r="D993" i="2"/>
  <c r="N213" i="2"/>
  <c r="G131" i="2"/>
  <c r="G133" i="2" s="1"/>
  <c r="N210" i="2"/>
  <c r="G243" i="2"/>
  <c r="N212" i="2"/>
  <c r="N190" i="2"/>
  <c r="N211" i="2"/>
  <c r="G249" i="2"/>
  <c r="G338" i="2" s="1"/>
  <c r="B341" i="2" s="1"/>
  <c r="I218" i="2"/>
  <c r="E228" i="2" s="1"/>
  <c r="H253" i="2"/>
  <c r="H109" i="8"/>
  <c r="F110" i="8" s="1"/>
  <c r="H110" i="8" s="1"/>
  <c r="N191" i="2"/>
  <c r="I193" i="2"/>
  <c r="E203" i="2" s="1"/>
  <c r="N189" i="2"/>
  <c r="B91" i="2"/>
  <c r="N192" i="2"/>
  <c r="R1248" i="9"/>
  <c r="Q1247" i="9"/>
  <c r="H1295" i="9"/>
  <c r="F1408" i="9" s="1"/>
  <c r="P1248" i="9"/>
  <c r="B1280" i="9"/>
  <c r="H1280" i="9"/>
  <c r="R1276" i="9" s="1"/>
  <c r="B1123" i="9"/>
  <c r="C1396" i="9"/>
  <c r="N1090" i="9"/>
  <c r="P1090" i="9" s="1"/>
  <c r="R1088" i="9"/>
  <c r="B956" i="9"/>
  <c r="G956" i="9"/>
  <c r="E671" i="9"/>
  <c r="F674" i="9" s="1"/>
  <c r="B684" i="9" s="1"/>
  <c r="F460" i="1"/>
  <c r="H484" i="8"/>
  <c r="O472" i="8" s="1"/>
  <c r="F1443" i="9"/>
  <c r="C1395" i="9"/>
  <c r="F701" i="2"/>
  <c r="H702" i="2" s="1"/>
  <c r="F573" i="2"/>
  <c r="F445" i="2"/>
  <c r="F829" i="2"/>
  <c r="Q888" i="9"/>
  <c r="Q890" i="9" s="1"/>
  <c r="O888" i="9"/>
  <c r="O889" i="9" s="1"/>
  <c r="P888" i="9"/>
  <c r="P889" i="9" s="1"/>
  <c r="R888" i="9"/>
  <c r="N888" i="9"/>
  <c r="N889" i="9" s="1"/>
  <c r="N890" i="9" s="1"/>
  <c r="E841" i="9"/>
  <c r="E1445" i="9" s="1"/>
  <c r="F1445" i="9"/>
  <c r="E725" i="9"/>
  <c r="E728" i="9" s="1"/>
  <c r="R900" i="9"/>
  <c r="R899" i="9"/>
  <c r="N899" i="9"/>
  <c r="N900" i="9" s="1"/>
  <c r="P900" i="9"/>
  <c r="P899" i="9"/>
  <c r="O900" i="9"/>
  <c r="O899" i="9"/>
  <c r="Q900" i="9"/>
  <c r="Q899" i="9"/>
  <c r="F912" i="9"/>
  <c r="G914" i="9" s="1"/>
  <c r="J344" i="9"/>
  <c r="E369" i="9" s="1"/>
  <c r="J337" i="9"/>
  <c r="J338" i="9"/>
  <c r="E451" i="9" s="1"/>
  <c r="H453" i="9" s="1"/>
  <c r="H463" i="9" s="1"/>
  <c r="J345" i="9"/>
  <c r="E394" i="9" s="1"/>
  <c r="J342" i="9"/>
  <c r="J341" i="9"/>
  <c r="E433" i="9" s="1"/>
  <c r="H435" i="9" s="1"/>
  <c r="F151" i="9"/>
  <c r="I151" i="9" s="1"/>
  <c r="I159" i="9" s="1"/>
  <c r="E180" i="9" s="1"/>
  <c r="F288" i="9"/>
  <c r="F659" i="9"/>
  <c r="F272" i="9"/>
  <c r="H275" i="9" s="1"/>
  <c r="G422" i="9"/>
  <c r="I245" i="9"/>
  <c r="H253" i="9" s="1"/>
  <c r="F439" i="9"/>
  <c r="H442" i="9" s="1"/>
  <c r="H684" i="9"/>
  <c r="E1442" i="9"/>
  <c r="H334" i="2"/>
  <c r="B335" i="2" s="1"/>
  <c r="H360" i="2"/>
  <c r="P676" i="8"/>
  <c r="P678" i="8" s="1"/>
  <c r="N676" i="8"/>
  <c r="N677" i="8" s="1"/>
  <c r="F281" i="1"/>
  <c r="H284" i="1" s="1"/>
  <c r="F836" i="1"/>
  <c r="H839" i="1" s="1"/>
  <c r="F580" i="1"/>
  <c r="H583" i="1" s="1"/>
  <c r="F707" i="1"/>
  <c r="H710" i="1" s="1"/>
  <c r="F452" i="1"/>
  <c r="H453" i="1" s="1"/>
  <c r="E753" i="8"/>
  <c r="R405" i="8"/>
  <c r="R407" i="8" s="1"/>
  <c r="Q676" i="8"/>
  <c r="Q677" i="8" s="1"/>
  <c r="O676" i="8"/>
  <c r="R676" i="8"/>
  <c r="R678" i="8" s="1"/>
  <c r="Q405" i="8"/>
  <c r="Q407" i="8" s="1"/>
  <c r="N405" i="8"/>
  <c r="N406" i="8" s="1"/>
  <c r="N407" i="8" s="1"/>
  <c r="O405" i="8"/>
  <c r="O406" i="8" s="1"/>
  <c r="O407" i="8" s="1"/>
  <c r="N418" i="8"/>
  <c r="N419" i="8" s="1"/>
  <c r="N482" i="8"/>
  <c r="N483" i="8" s="1"/>
  <c r="N484" i="8" s="1"/>
  <c r="P482" i="8"/>
  <c r="O482" i="8"/>
  <c r="Q482" i="8"/>
  <c r="R482" i="8"/>
  <c r="E799" i="8"/>
  <c r="Q571" i="8"/>
  <c r="R571" i="8"/>
  <c r="N571" i="8"/>
  <c r="N572" i="8" s="1"/>
  <c r="N573" i="8" s="1"/>
  <c r="P571" i="8"/>
  <c r="O571" i="8"/>
  <c r="O572" i="8" s="1"/>
  <c r="O573" i="8" s="1"/>
  <c r="E844" i="8"/>
  <c r="P407" i="8"/>
  <c r="P406" i="8"/>
  <c r="M802" i="1" l="1"/>
  <c r="M672" i="2"/>
  <c r="M669" i="2"/>
  <c r="M673" i="2"/>
  <c r="F862" i="2"/>
  <c r="H857" i="1"/>
  <c r="M671" i="2"/>
  <c r="M670" i="2"/>
  <c r="F1069" i="2"/>
  <c r="F896" i="2" s="1"/>
  <c r="F500" i="2"/>
  <c r="D975" i="2" s="1"/>
  <c r="M804" i="1"/>
  <c r="M800" i="1"/>
  <c r="M803" i="1"/>
  <c r="M801" i="1"/>
  <c r="D1014" i="1"/>
  <c r="E1014" i="1"/>
  <c r="G180" i="9"/>
  <c r="H174" i="9"/>
  <c r="E175" i="9" s="1"/>
  <c r="E177" i="9" s="1"/>
  <c r="I180" i="9" s="1"/>
  <c r="H89" i="18"/>
  <c r="E90" i="18" s="1"/>
  <c r="F653" i="1"/>
  <c r="H279" i="2"/>
  <c r="Q281" i="2" s="1"/>
  <c r="N581" i="8"/>
  <c r="N582" i="8" s="1"/>
  <c r="N583" i="8" s="1"/>
  <c r="R581" i="8"/>
  <c r="R583" i="8" s="1"/>
  <c r="E850" i="8"/>
  <c r="O581" i="8"/>
  <c r="O582" i="8" s="1"/>
  <c r="P581" i="8"/>
  <c r="P583" i="8" s="1"/>
  <c r="D245" i="16"/>
  <c r="D208" i="16"/>
  <c r="H111" i="8"/>
  <c r="H118" i="8" s="1"/>
  <c r="H119" i="8" s="1"/>
  <c r="C1508" i="9"/>
  <c r="G1056" i="2"/>
  <c r="E897" i="2" s="1"/>
  <c r="G91" i="2"/>
  <c r="E1055" i="2"/>
  <c r="D902" i="2" s="1"/>
  <c r="D77" i="2"/>
  <c r="C903" i="2"/>
  <c r="C896" i="2"/>
  <c r="C904" i="2"/>
  <c r="C897" i="2"/>
  <c r="E91" i="2"/>
  <c r="G1055" i="2"/>
  <c r="C902" i="2"/>
  <c r="C895" i="2"/>
  <c r="E564" i="9"/>
  <c r="E1416" i="9"/>
  <c r="P1292" i="9"/>
  <c r="P1293" i="9" s="1"/>
  <c r="G923" i="9"/>
  <c r="E763" i="9"/>
  <c r="E1417" i="9"/>
  <c r="E869" i="9"/>
  <c r="G876" i="9" s="1"/>
  <c r="D877" i="9" s="1"/>
  <c r="H877" i="9" s="1"/>
  <c r="B735" i="9"/>
  <c r="G735" i="9"/>
  <c r="D737" i="9" s="1"/>
  <c r="H737" i="9" s="1"/>
  <c r="E1446" i="9"/>
  <c r="F1441" i="9"/>
  <c r="E1441" i="9"/>
  <c r="E526" i="9"/>
  <c r="E411" i="9"/>
  <c r="G418" i="9" s="1"/>
  <c r="H966" i="9"/>
  <c r="O1510" i="9" s="1"/>
  <c r="M805" i="2"/>
  <c r="Q419" i="8"/>
  <c r="F628" i="1"/>
  <c r="F633" i="1" s="1"/>
  <c r="M670" i="1"/>
  <c r="F728" i="1"/>
  <c r="M669" i="1"/>
  <c r="M666" i="1"/>
  <c r="M667" i="1"/>
  <c r="M668" i="1"/>
  <c r="F733" i="2"/>
  <c r="M661" i="2"/>
  <c r="F696" i="1"/>
  <c r="F700" i="1" s="1"/>
  <c r="M677" i="1"/>
  <c r="H739" i="1"/>
  <c r="M680" i="1"/>
  <c r="M676" i="1"/>
  <c r="H862" i="2"/>
  <c r="P419" i="8"/>
  <c r="D119" i="16"/>
  <c r="G121" i="16" s="1"/>
  <c r="C123" i="16" s="1"/>
  <c r="D103" i="16"/>
  <c r="G105" i="16" s="1"/>
  <c r="C107" i="16" s="1"/>
  <c r="D107" i="16" s="1"/>
  <c r="G153" i="16"/>
  <c r="G155" i="16"/>
  <c r="E215" i="16"/>
  <c r="E216" i="16"/>
  <c r="E749" i="2"/>
  <c r="F752" i="2" s="1"/>
  <c r="F227" i="16"/>
  <c r="F228" i="16"/>
  <c r="E190" i="16"/>
  <c r="E191" i="16"/>
  <c r="I249" i="16"/>
  <c r="E254" i="16"/>
  <c r="I254" i="16" s="1"/>
  <c r="H164" i="16"/>
  <c r="D172" i="16" s="1"/>
  <c r="D55" i="16"/>
  <c r="D209" i="16" s="1"/>
  <c r="D246" i="16"/>
  <c r="G73" i="16"/>
  <c r="G193" i="16"/>
  <c r="J193" i="16" s="1"/>
  <c r="G230" i="16"/>
  <c r="J230" i="16" s="1"/>
  <c r="G218" i="16"/>
  <c r="J218" i="16" s="1"/>
  <c r="F850" i="2"/>
  <c r="D341" i="2"/>
  <c r="E818" i="2"/>
  <c r="E822" i="2" s="1"/>
  <c r="H775" i="1"/>
  <c r="C916" i="1" s="1"/>
  <c r="R419" i="8"/>
  <c r="O419" i="8"/>
  <c r="M807" i="2"/>
  <c r="M803" i="2"/>
  <c r="M660" i="2"/>
  <c r="F869" i="1"/>
  <c r="M812" i="1"/>
  <c r="G1014" i="1"/>
  <c r="F622" i="2"/>
  <c r="F645" i="2" s="1"/>
  <c r="H733" i="2"/>
  <c r="H768" i="2"/>
  <c r="S773" i="2" s="1"/>
  <c r="M663" i="2"/>
  <c r="F690" i="2"/>
  <c r="F694" i="2" s="1"/>
  <c r="H869" i="1"/>
  <c r="M814" i="1"/>
  <c r="M662" i="2"/>
  <c r="M658" i="2"/>
  <c r="F646" i="2"/>
  <c r="F810" i="2"/>
  <c r="F814" i="2" s="1"/>
  <c r="F682" i="2"/>
  <c r="J733" i="2" s="1"/>
  <c r="M793" i="2"/>
  <c r="M813" i="1"/>
  <c r="M806" i="2"/>
  <c r="M797" i="2"/>
  <c r="M659" i="2"/>
  <c r="M810" i="1"/>
  <c r="M811" i="1"/>
  <c r="M804" i="2"/>
  <c r="E825" i="1"/>
  <c r="F829" i="1" s="1"/>
  <c r="E755" i="1"/>
  <c r="F760" i="1" s="1"/>
  <c r="F817" i="1"/>
  <c r="F821" i="1" s="1"/>
  <c r="E823" i="1" s="1"/>
  <c r="G245" i="2"/>
  <c r="F262" i="2" s="1"/>
  <c r="G267" i="2" s="1"/>
  <c r="F588" i="1"/>
  <c r="F595" i="1" s="1"/>
  <c r="M796" i="2"/>
  <c r="M792" i="2"/>
  <c r="F77" i="2"/>
  <c r="E1056" i="2"/>
  <c r="M794" i="2"/>
  <c r="H171" i="2"/>
  <c r="B211" i="2" s="1"/>
  <c r="G132" i="2"/>
  <c r="H180" i="2" s="1"/>
  <c r="H182" i="2" s="1"/>
  <c r="D317" i="2"/>
  <c r="G313" i="2"/>
  <c r="B317" i="2" s="1"/>
  <c r="G219" i="2"/>
  <c r="E223" i="2" s="1"/>
  <c r="M209" i="2" s="1"/>
  <c r="G195" i="2"/>
  <c r="E198" i="2" s="1"/>
  <c r="M187" i="2" s="1"/>
  <c r="F626" i="2"/>
  <c r="D652" i="2"/>
  <c r="C956" i="2"/>
  <c r="P636" i="2"/>
  <c r="P637" i="2" s="1"/>
  <c r="P638" i="2" s="1"/>
  <c r="Q636" i="2"/>
  <c r="C1038" i="2"/>
  <c r="S636" i="2"/>
  <c r="O636" i="2"/>
  <c r="O637" i="2" s="1"/>
  <c r="O638" i="2" s="1"/>
  <c r="R636" i="2"/>
  <c r="D779" i="2"/>
  <c r="F753" i="2"/>
  <c r="F779" i="1"/>
  <c r="F759" i="1"/>
  <c r="O643" i="1"/>
  <c r="O644" i="1" s="1"/>
  <c r="O645" i="1" s="1"/>
  <c r="Q643" i="1"/>
  <c r="C915" i="1"/>
  <c r="P643" i="1"/>
  <c r="P644" i="1" s="1"/>
  <c r="P645" i="1" s="1"/>
  <c r="S643" i="1"/>
  <c r="C996" i="1"/>
  <c r="R643" i="1"/>
  <c r="F652" i="1"/>
  <c r="F632" i="1"/>
  <c r="N1249" i="9"/>
  <c r="P1249" i="9" s="1"/>
  <c r="E1397" i="9" s="1"/>
  <c r="B1232" i="9"/>
  <c r="D1233" i="9"/>
  <c r="H1233" i="9" s="1"/>
  <c r="H1097" i="9"/>
  <c r="E1396" i="9"/>
  <c r="B1073" i="9"/>
  <c r="G1073" i="9"/>
  <c r="D1076" i="9" s="1"/>
  <c r="H1076" i="9" s="1"/>
  <c r="B923" i="9"/>
  <c r="N901" i="9"/>
  <c r="K1512" i="9"/>
  <c r="P1276" i="9"/>
  <c r="P1278" i="9" s="1"/>
  <c r="N1292" i="9"/>
  <c r="N1293" i="9" s="1"/>
  <c r="N1294" i="9" s="1"/>
  <c r="N1276" i="9"/>
  <c r="N1277" i="9" s="1"/>
  <c r="N1278" i="9" s="1"/>
  <c r="R1292" i="9"/>
  <c r="K1397" i="9"/>
  <c r="Q1292" i="9"/>
  <c r="Q1293" i="9" s="1"/>
  <c r="O1292" i="9"/>
  <c r="O1293" i="9" s="1"/>
  <c r="O1512" i="9"/>
  <c r="Q1276" i="9"/>
  <c r="Q1277" i="9" s="1"/>
  <c r="O1276" i="9"/>
  <c r="D959" i="1"/>
  <c r="J33" i="1"/>
  <c r="N472" i="8"/>
  <c r="N473" i="8" s="1"/>
  <c r="N474" i="8" s="1"/>
  <c r="Q472" i="8"/>
  <c r="Q473" i="8" s="1"/>
  <c r="R472" i="8"/>
  <c r="R473" i="8" s="1"/>
  <c r="E794" i="8"/>
  <c r="P472" i="8"/>
  <c r="P474" i="8" s="1"/>
  <c r="P890" i="9"/>
  <c r="E844" i="9"/>
  <c r="H704" i="2"/>
  <c r="S714" i="2" s="1"/>
  <c r="P273" i="2"/>
  <c r="P274" i="2" s="1"/>
  <c r="P275" i="2" s="1"/>
  <c r="S273" i="2"/>
  <c r="R273" i="2"/>
  <c r="Q273" i="2"/>
  <c r="O273" i="2"/>
  <c r="O274" i="2" s="1"/>
  <c r="O275" i="2" s="1"/>
  <c r="C1022" i="2"/>
  <c r="C941" i="2"/>
  <c r="H448" i="2"/>
  <c r="H446" i="2"/>
  <c r="G166" i="2"/>
  <c r="G168" i="2" s="1"/>
  <c r="G137" i="2"/>
  <c r="R706" i="2"/>
  <c r="O706" i="2"/>
  <c r="O707" i="2" s="1"/>
  <c r="O708" i="2" s="1"/>
  <c r="C944" i="2"/>
  <c r="Q706" i="2"/>
  <c r="C1025" i="2"/>
  <c r="P706" i="2"/>
  <c r="P707" i="2" s="1"/>
  <c r="P708" i="2" s="1"/>
  <c r="S706" i="2"/>
  <c r="H830" i="2"/>
  <c r="H832" i="2"/>
  <c r="P165" i="2"/>
  <c r="P166" i="2" s="1"/>
  <c r="P167" i="2" s="1"/>
  <c r="C953" i="2"/>
  <c r="C1035" i="2"/>
  <c r="R165" i="2"/>
  <c r="S165" i="2"/>
  <c r="Q165" i="2"/>
  <c r="O165" i="2"/>
  <c r="O166" i="2" s="1"/>
  <c r="O167" i="2" s="1"/>
  <c r="R890" i="9"/>
  <c r="R889" i="9"/>
  <c r="Q889" i="9"/>
  <c r="O890" i="9"/>
  <c r="E1443" i="9"/>
  <c r="F1439" i="9"/>
  <c r="D371" i="9"/>
  <c r="E363" i="9"/>
  <c r="B463" i="9"/>
  <c r="E472" i="9"/>
  <c r="H474" i="9" s="1"/>
  <c r="E388" i="9"/>
  <c r="E396" i="9"/>
  <c r="F1440" i="9"/>
  <c r="G439" i="9"/>
  <c r="H663" i="9"/>
  <c r="H665" i="9" s="1"/>
  <c r="G659" i="9"/>
  <c r="E661" i="9"/>
  <c r="H250" i="9"/>
  <c r="G272" i="9"/>
  <c r="H466" i="1"/>
  <c r="H461" i="1"/>
  <c r="H425" i="9"/>
  <c r="H422" i="9"/>
  <c r="H291" i="9"/>
  <c r="G288" i="9"/>
  <c r="B966" i="9"/>
  <c r="E1526" i="9"/>
  <c r="G1526" i="9" s="1"/>
  <c r="P1131" i="9"/>
  <c r="P1132" i="9" s="1"/>
  <c r="P1118" i="9"/>
  <c r="R1118" i="9"/>
  <c r="N1118" i="9"/>
  <c r="N1119" i="9" s="1"/>
  <c r="Q1118" i="9"/>
  <c r="O1118" i="9"/>
  <c r="O1131" i="9"/>
  <c r="O1133" i="9" s="1"/>
  <c r="Q1131" i="9"/>
  <c r="Q1133" i="9" s="1"/>
  <c r="N1131" i="9"/>
  <c r="N1133" i="9" s="1"/>
  <c r="E1419" i="9"/>
  <c r="G1419" i="9" s="1"/>
  <c r="R1277" i="9"/>
  <c r="R1278" i="9"/>
  <c r="R1132" i="9"/>
  <c r="R1133" i="9"/>
  <c r="O682" i="9"/>
  <c r="P682" i="9"/>
  <c r="K1509" i="9"/>
  <c r="K1394" i="9"/>
  <c r="Q682" i="9"/>
  <c r="R682" i="9"/>
  <c r="N682" i="9"/>
  <c r="D637" i="9"/>
  <c r="H637" i="9" s="1"/>
  <c r="B635" i="9"/>
  <c r="P677" i="8"/>
  <c r="F715" i="1"/>
  <c r="D961" i="1"/>
  <c r="J35" i="1"/>
  <c r="F688" i="1" s="1"/>
  <c r="H286" i="1"/>
  <c r="G980" i="1" s="1"/>
  <c r="H837" i="1"/>
  <c r="C984" i="1" s="1"/>
  <c r="H708" i="1"/>
  <c r="S712" i="1" s="1"/>
  <c r="H581" i="1"/>
  <c r="Q582" i="1" s="1"/>
  <c r="H455" i="1"/>
  <c r="S456" i="1" s="1"/>
  <c r="R720" i="1"/>
  <c r="P720" i="1"/>
  <c r="G903" i="1"/>
  <c r="G983" i="1"/>
  <c r="S720" i="1"/>
  <c r="Q720" i="1"/>
  <c r="O720" i="1"/>
  <c r="O721" i="1" s="1"/>
  <c r="O722" i="1" s="1"/>
  <c r="C981" i="1"/>
  <c r="O448" i="1"/>
  <c r="O449" i="1" s="1"/>
  <c r="O450" i="1" s="1"/>
  <c r="C901" i="1"/>
  <c r="R448" i="1"/>
  <c r="P448" i="1"/>
  <c r="P449" i="1" s="1"/>
  <c r="P450" i="1" s="1"/>
  <c r="Q448" i="1"/>
  <c r="S448" i="1"/>
  <c r="Q590" i="1"/>
  <c r="O590" i="1"/>
  <c r="O591" i="1" s="1"/>
  <c r="O592" i="1" s="1"/>
  <c r="S590" i="1"/>
  <c r="R590" i="1"/>
  <c r="P590" i="1"/>
  <c r="G982" i="1"/>
  <c r="G902" i="1"/>
  <c r="C900" i="1"/>
  <c r="O280" i="1"/>
  <c r="O281" i="1" s="1"/>
  <c r="O282" i="1" s="1"/>
  <c r="S280" i="1"/>
  <c r="C980" i="1"/>
  <c r="Q280" i="1"/>
  <c r="P280" i="1"/>
  <c r="P281" i="1" s="1"/>
  <c r="P282" i="1" s="1"/>
  <c r="R280" i="1"/>
  <c r="O851" i="1"/>
  <c r="S851" i="1"/>
  <c r="R851" i="1"/>
  <c r="Q851" i="1"/>
  <c r="P851" i="1"/>
  <c r="G984" i="1"/>
  <c r="G904" i="1"/>
  <c r="N678" i="8"/>
  <c r="Q406" i="8"/>
  <c r="R677" i="8"/>
  <c r="R406" i="8"/>
  <c r="O677" i="8"/>
  <c r="O678" i="8" s="1"/>
  <c r="Q678" i="8"/>
  <c r="N408" i="8"/>
  <c r="Q583" i="8"/>
  <c r="Q582" i="8"/>
  <c r="O473" i="8"/>
  <c r="O474" i="8" s="1"/>
  <c r="P573" i="8"/>
  <c r="P572" i="8"/>
  <c r="Q483" i="8"/>
  <c r="Q484" i="8"/>
  <c r="Q572" i="8"/>
  <c r="Q573" i="8"/>
  <c r="R483" i="8"/>
  <c r="R484" i="8"/>
  <c r="O483" i="8"/>
  <c r="O484" i="8"/>
  <c r="R573" i="8"/>
  <c r="R572" i="8"/>
  <c r="P483" i="8"/>
  <c r="P484" i="8"/>
  <c r="N674" i="2" l="1"/>
  <c r="P671" i="2" s="1"/>
  <c r="O671" i="2" s="1"/>
  <c r="G816" i="2"/>
  <c r="E816" i="2"/>
  <c r="F836" i="2" s="1"/>
  <c r="H839" i="2" s="1"/>
  <c r="N805" i="1"/>
  <c r="P801" i="1" s="1"/>
  <c r="O801" i="1" s="1"/>
  <c r="I1069" i="2"/>
  <c r="H903" i="2" s="1"/>
  <c r="F569" i="2"/>
  <c r="E181" i="9"/>
  <c r="E53" i="18" s="1"/>
  <c r="R582" i="8"/>
  <c r="G57" i="18"/>
  <c r="I57" i="18" s="1"/>
  <c r="G56" i="18"/>
  <c r="G53" i="18"/>
  <c r="G55" i="18"/>
  <c r="I55" i="18" s="1"/>
  <c r="G54" i="18"/>
  <c r="G941" i="2"/>
  <c r="R281" i="2"/>
  <c r="R282" i="2" s="1"/>
  <c r="P281" i="2"/>
  <c r="P283" i="2" s="1"/>
  <c r="O281" i="2"/>
  <c r="O282" i="2" s="1"/>
  <c r="O283" i="2" s="1"/>
  <c r="S281" i="2"/>
  <c r="S283" i="2" s="1"/>
  <c r="G1022" i="2"/>
  <c r="O583" i="8"/>
  <c r="N584" i="8" s="1"/>
  <c r="J902" i="2"/>
  <c r="P582" i="8"/>
  <c r="G40" i="2"/>
  <c r="G378" i="2" s="1"/>
  <c r="H379" i="2" s="1"/>
  <c r="J897" i="2"/>
  <c r="H125" i="8"/>
  <c r="H126" i="8" s="1"/>
  <c r="E155" i="8" s="1"/>
  <c r="E154" i="8"/>
  <c r="F625" i="2"/>
  <c r="F628" i="2" s="1"/>
  <c r="E895" i="2"/>
  <c r="J895" i="2" s="1"/>
  <c r="E896" i="2"/>
  <c r="J896" i="2" s="1"/>
  <c r="N543" i="2"/>
  <c r="N539" i="2"/>
  <c r="N551" i="2"/>
  <c r="F511" i="2"/>
  <c r="F527" i="2"/>
  <c r="F538" i="2"/>
  <c r="M548" i="2" s="1"/>
  <c r="H555" i="2"/>
  <c r="N553" i="2"/>
  <c r="N549" i="2"/>
  <c r="D995" i="2"/>
  <c r="N550" i="2"/>
  <c r="F552" i="2"/>
  <c r="N540" i="2"/>
  <c r="N552" i="2"/>
  <c r="F490" i="2"/>
  <c r="N542" i="2"/>
  <c r="N541" i="2"/>
  <c r="I33" i="2"/>
  <c r="F554" i="2" s="1"/>
  <c r="H428" i="2"/>
  <c r="N419" i="2"/>
  <c r="N413" i="2"/>
  <c r="F425" i="2"/>
  <c r="F401" i="2"/>
  <c r="N412" i="2"/>
  <c r="N421" i="2"/>
  <c r="D994" i="2"/>
  <c r="N409" i="2"/>
  <c r="N411" i="2"/>
  <c r="F412" i="2"/>
  <c r="M418" i="2" s="1"/>
  <c r="I32" i="2"/>
  <c r="F427" i="2" s="1"/>
  <c r="N422" i="2"/>
  <c r="N410" i="2"/>
  <c r="G366" i="2"/>
  <c r="N420" i="2"/>
  <c r="N423" i="2"/>
  <c r="G385" i="2"/>
  <c r="J32" i="2"/>
  <c r="D1001" i="2"/>
  <c r="F453" i="2"/>
  <c r="P1294" i="9"/>
  <c r="B876" i="9"/>
  <c r="G533" i="9"/>
  <c r="D535" i="9" s="1"/>
  <c r="H535" i="9" s="1"/>
  <c r="B533" i="9"/>
  <c r="Q963" i="9"/>
  <c r="Q964" i="9" s="1"/>
  <c r="H427" i="9"/>
  <c r="C1393" i="9" s="1"/>
  <c r="O963" i="9"/>
  <c r="O964" i="9" s="1"/>
  <c r="O965" i="9" s="1"/>
  <c r="R963" i="9"/>
  <c r="R964" i="9" s="1"/>
  <c r="P963" i="9"/>
  <c r="P964" i="9" s="1"/>
  <c r="N963" i="9"/>
  <c r="N964" i="9" s="1"/>
  <c r="N965" i="9" s="1"/>
  <c r="F1406" i="9"/>
  <c r="D659" i="1"/>
  <c r="F659" i="1" s="1"/>
  <c r="P780" i="1"/>
  <c r="P781" i="1" s="1"/>
  <c r="P782" i="1" s="1"/>
  <c r="S780" i="1"/>
  <c r="S781" i="1" s="1"/>
  <c r="R780" i="1"/>
  <c r="R781" i="1" s="1"/>
  <c r="Q780" i="1"/>
  <c r="Q781" i="1" s="1"/>
  <c r="N681" i="1"/>
  <c r="P679" i="1" s="1"/>
  <c r="O679" i="1" s="1"/>
  <c r="G1025" i="2"/>
  <c r="J850" i="2"/>
  <c r="F852" i="2" s="1"/>
  <c r="H851" i="2" s="1"/>
  <c r="N671" i="1"/>
  <c r="P668" i="1" s="1"/>
  <c r="O668" i="1" s="1"/>
  <c r="E735" i="2"/>
  <c r="G735" i="2" s="1"/>
  <c r="E219" i="16"/>
  <c r="H220" i="16" s="1"/>
  <c r="F241" i="16" s="1"/>
  <c r="F772" i="2"/>
  <c r="F790" i="2" s="1"/>
  <c r="B791" i="2" s="1"/>
  <c r="D182" i="16"/>
  <c r="H184" i="16" s="1"/>
  <c r="F204" i="16" s="1"/>
  <c r="D123" i="16"/>
  <c r="B125" i="16"/>
  <c r="B109" i="16"/>
  <c r="E194" i="16"/>
  <c r="F195" i="16" s="1"/>
  <c r="F209" i="16" s="1"/>
  <c r="E231" i="16"/>
  <c r="F232" i="16" s="1"/>
  <c r="F246" i="16" s="1"/>
  <c r="H246" i="16" s="1"/>
  <c r="O780" i="1"/>
  <c r="O781" i="1" s="1"/>
  <c r="O782" i="1" s="1"/>
  <c r="R773" i="2"/>
  <c r="R775" i="2" s="1"/>
  <c r="C997" i="1"/>
  <c r="M211" i="2"/>
  <c r="F317" i="2"/>
  <c r="F318" i="2" s="1"/>
  <c r="F341" i="2"/>
  <c r="Q773" i="2"/>
  <c r="Q775" i="2" s="1"/>
  <c r="N420" i="8"/>
  <c r="E760" i="8" s="1"/>
  <c r="N664" i="2"/>
  <c r="P662" i="2" s="1"/>
  <c r="O662" i="2" s="1"/>
  <c r="N808" i="2"/>
  <c r="P802" i="2" s="1"/>
  <c r="O802" i="2" s="1"/>
  <c r="J869" i="1"/>
  <c r="F871" i="1" s="1"/>
  <c r="H870" i="1" s="1"/>
  <c r="C957" i="2"/>
  <c r="O773" i="2"/>
  <c r="O774" i="2" s="1"/>
  <c r="O775" i="2" s="1"/>
  <c r="F820" i="1"/>
  <c r="E824" i="1" s="1"/>
  <c r="F850" i="1" s="1"/>
  <c r="F865" i="1" s="1"/>
  <c r="B866" i="1" s="1"/>
  <c r="C1039" i="2"/>
  <c r="P773" i="2"/>
  <c r="P774" i="2" s="1"/>
  <c r="P775" i="2" s="1"/>
  <c r="F813" i="2"/>
  <c r="E817" i="2" s="1"/>
  <c r="F843" i="2" s="1"/>
  <c r="F869" i="2" s="1"/>
  <c r="B870" i="2" s="1"/>
  <c r="J862" i="2"/>
  <c r="F864" i="2" s="1"/>
  <c r="H864" i="2" s="1"/>
  <c r="J722" i="2"/>
  <c r="F724" i="2" s="1"/>
  <c r="I723" i="2" s="1"/>
  <c r="N815" i="1"/>
  <c r="P813" i="1" s="1"/>
  <c r="O813" i="1" s="1"/>
  <c r="G823" i="1"/>
  <c r="F843" i="1"/>
  <c r="H846" i="1" s="1"/>
  <c r="F685" i="2"/>
  <c r="F689" i="2" s="1"/>
  <c r="F715" i="2" s="1"/>
  <c r="F740" i="2" s="1"/>
  <c r="B741" i="2" s="1"/>
  <c r="F686" i="2"/>
  <c r="F688" i="2" s="1"/>
  <c r="J857" i="1"/>
  <c r="F859" i="1" s="1"/>
  <c r="H858" i="1" s="1"/>
  <c r="D786" i="1"/>
  <c r="F786" i="1" s="1"/>
  <c r="F589" i="1"/>
  <c r="J34" i="1"/>
  <c r="D960" i="1"/>
  <c r="D1002" i="2"/>
  <c r="S852" i="2"/>
  <c r="F581" i="2"/>
  <c r="G247" i="2"/>
  <c r="M191" i="2"/>
  <c r="J33" i="2"/>
  <c r="D318" i="2"/>
  <c r="D904" i="2"/>
  <c r="J904" i="2" s="1"/>
  <c r="D903" i="2"/>
  <c r="G42" i="1"/>
  <c r="N798" i="2"/>
  <c r="M212" i="2"/>
  <c r="B236" i="2"/>
  <c r="M214" i="2"/>
  <c r="M213" i="2"/>
  <c r="M210" i="2"/>
  <c r="G138" i="2"/>
  <c r="B140" i="2" s="1"/>
  <c r="M188" i="2"/>
  <c r="M192" i="2"/>
  <c r="M190" i="2"/>
  <c r="M189" i="2"/>
  <c r="R638" i="2"/>
  <c r="R637" i="2"/>
  <c r="Q638" i="2"/>
  <c r="Q637" i="2"/>
  <c r="H977" i="2"/>
  <c r="I977" i="2" s="1"/>
  <c r="F779" i="2"/>
  <c r="S774" i="2"/>
  <c r="S775" i="2"/>
  <c r="S637" i="2"/>
  <c r="S638" i="2"/>
  <c r="H976" i="2"/>
  <c r="I976" i="2" s="1"/>
  <c r="F652" i="2"/>
  <c r="D1071" i="2"/>
  <c r="F755" i="2"/>
  <c r="H647" i="2"/>
  <c r="F663" i="2"/>
  <c r="B664" i="2" s="1"/>
  <c r="D674" i="2"/>
  <c r="B675" i="2" s="1"/>
  <c r="H781" i="1"/>
  <c r="F808" i="1"/>
  <c r="B809" i="1" s="1"/>
  <c r="F797" i="1"/>
  <c r="B798" i="1" s="1"/>
  <c r="D1029" i="1"/>
  <c r="F762" i="1"/>
  <c r="Q645" i="1"/>
  <c r="Q644" i="1"/>
  <c r="R645" i="1"/>
  <c r="R644" i="1"/>
  <c r="F635" i="1"/>
  <c r="D1028" i="1"/>
  <c r="S644" i="1"/>
  <c r="S645" i="1"/>
  <c r="F670" i="1"/>
  <c r="B671" i="1" s="1"/>
  <c r="D681" i="1"/>
  <c r="B682" i="1" s="1"/>
  <c r="H654" i="1"/>
  <c r="P473" i="8"/>
  <c r="D1397" i="9"/>
  <c r="R1293" i="9"/>
  <c r="H1448" i="9"/>
  <c r="J1448" i="9" s="1"/>
  <c r="B1238" i="9"/>
  <c r="B1237" i="9"/>
  <c r="B1080" i="9"/>
  <c r="B1079" i="9"/>
  <c r="B934" i="9"/>
  <c r="H934" i="9"/>
  <c r="N891" i="9"/>
  <c r="P901" i="9"/>
  <c r="I1395" i="9" s="1"/>
  <c r="B851" i="9"/>
  <c r="G851" i="9"/>
  <c r="D852" i="9" s="1"/>
  <c r="H852" i="9" s="1"/>
  <c r="B856" i="9" s="1"/>
  <c r="H444" i="9"/>
  <c r="D1396" i="9"/>
  <c r="R1294" i="9"/>
  <c r="P1277" i="9"/>
  <c r="Q1278" i="9"/>
  <c r="O1294" i="9"/>
  <c r="O1277" i="9"/>
  <c r="O1278" i="9" s="1"/>
  <c r="Q1294" i="9"/>
  <c r="R474" i="8"/>
  <c r="Q474" i="8"/>
  <c r="R714" i="2"/>
  <c r="R715" i="2" s="1"/>
  <c r="Q714" i="2"/>
  <c r="Q715" i="2" s="1"/>
  <c r="P714" i="2"/>
  <c r="P715" i="2" s="1"/>
  <c r="O714" i="2"/>
  <c r="O715" i="2" s="1"/>
  <c r="O716" i="2" s="1"/>
  <c r="G944" i="2"/>
  <c r="S274" i="2"/>
  <c r="S275" i="2"/>
  <c r="Q283" i="2"/>
  <c r="Q282" i="2"/>
  <c r="Q167" i="2"/>
  <c r="Q166" i="2"/>
  <c r="R167" i="2"/>
  <c r="R166" i="2"/>
  <c r="G1026" i="2"/>
  <c r="O844" i="2"/>
  <c r="O845" i="2" s="1"/>
  <c r="O846" i="2" s="1"/>
  <c r="G945" i="2"/>
  <c r="P844" i="2"/>
  <c r="Q844" i="2"/>
  <c r="S844" i="2"/>
  <c r="R844" i="2"/>
  <c r="R708" i="2"/>
  <c r="R707" i="2"/>
  <c r="S715" i="2"/>
  <c r="S716" i="2"/>
  <c r="Q441" i="2"/>
  <c r="C1023" i="2"/>
  <c r="C942" i="2"/>
  <c r="R441" i="2"/>
  <c r="P441" i="2"/>
  <c r="P442" i="2" s="1"/>
  <c r="P443" i="2" s="1"/>
  <c r="O441" i="2"/>
  <c r="O442" i="2" s="1"/>
  <c r="O443" i="2" s="1"/>
  <c r="S441" i="2"/>
  <c r="S167" i="2"/>
  <c r="S166" i="2"/>
  <c r="H973" i="2"/>
  <c r="I973" i="2" s="1"/>
  <c r="B183" i="2"/>
  <c r="S707" i="2"/>
  <c r="S708" i="2"/>
  <c r="B172" i="2"/>
  <c r="H172" i="2"/>
  <c r="R275" i="2"/>
  <c r="R274" i="2"/>
  <c r="Q836" i="2"/>
  <c r="P836" i="2"/>
  <c r="P837" i="2" s="1"/>
  <c r="P838" i="2" s="1"/>
  <c r="S836" i="2"/>
  <c r="C1026" i="2"/>
  <c r="O836" i="2"/>
  <c r="O837" i="2" s="1"/>
  <c r="O838" i="2" s="1"/>
  <c r="R836" i="2"/>
  <c r="C945" i="2"/>
  <c r="Q708" i="2"/>
  <c r="Q707" i="2"/>
  <c r="R449" i="2"/>
  <c r="Q449" i="2"/>
  <c r="P449" i="2"/>
  <c r="G1023" i="2"/>
  <c r="O449" i="2"/>
  <c r="O450" i="2" s="1"/>
  <c r="O451" i="2" s="1"/>
  <c r="G942" i="2"/>
  <c r="S449" i="2"/>
  <c r="Q274" i="2"/>
  <c r="Q275" i="2"/>
  <c r="E1439" i="9"/>
  <c r="E366" i="9"/>
  <c r="N461" i="9"/>
  <c r="N462" i="9" s="1"/>
  <c r="N463" i="9" s="1"/>
  <c r="R461" i="9"/>
  <c r="K1393" i="9"/>
  <c r="Q461" i="9"/>
  <c r="P461" i="9"/>
  <c r="K1508" i="9"/>
  <c r="O461" i="9"/>
  <c r="O462" i="9" s="1"/>
  <c r="O463" i="9" s="1"/>
  <c r="E1440" i="9"/>
  <c r="E391" i="9"/>
  <c r="B484" i="9"/>
  <c r="H484" i="9"/>
  <c r="F1404" i="9" s="1"/>
  <c r="H1447" i="9"/>
  <c r="J1447" i="9" s="1"/>
  <c r="B444" i="9"/>
  <c r="Q251" i="9"/>
  <c r="O251" i="9"/>
  <c r="R251" i="9"/>
  <c r="P251" i="9"/>
  <c r="N251" i="9"/>
  <c r="B427" i="9"/>
  <c r="N241" i="9"/>
  <c r="R241" i="9"/>
  <c r="P241" i="9"/>
  <c r="Q241" i="9"/>
  <c r="O241" i="9"/>
  <c r="B665" i="9"/>
  <c r="P1133" i="9"/>
  <c r="P1134" i="9" s="1"/>
  <c r="P712" i="1"/>
  <c r="P713" i="1" s="1"/>
  <c r="P714" i="1" s="1"/>
  <c r="Q1132" i="9"/>
  <c r="Q1134" i="9" s="1"/>
  <c r="O1132" i="9"/>
  <c r="O1134" i="9" s="1"/>
  <c r="N1132" i="9"/>
  <c r="N1134" i="9" s="1"/>
  <c r="O1119" i="9"/>
  <c r="O1120" i="9"/>
  <c r="R1119" i="9"/>
  <c r="R1120" i="9"/>
  <c r="N1120" i="9"/>
  <c r="P1119" i="9"/>
  <c r="P1120" i="9"/>
  <c r="Q1120" i="9"/>
  <c r="Q1119" i="9"/>
  <c r="R1134" i="9"/>
  <c r="B640" i="9"/>
  <c r="B641" i="9"/>
  <c r="H1442" i="9"/>
  <c r="J1442" i="9" s="1"/>
  <c r="N683" i="9"/>
  <c r="N684" i="9" s="1"/>
  <c r="Q683" i="9"/>
  <c r="Q684" i="9" s="1"/>
  <c r="O683" i="9"/>
  <c r="O684" i="9" s="1"/>
  <c r="R683" i="9"/>
  <c r="R684" i="9" s="1"/>
  <c r="P683" i="9"/>
  <c r="P684" i="9" s="1"/>
  <c r="H1446" i="9"/>
  <c r="J1446" i="9" s="1"/>
  <c r="B880" i="9"/>
  <c r="H1443" i="9"/>
  <c r="J1443" i="9" s="1"/>
  <c r="B741" i="9"/>
  <c r="O712" i="1"/>
  <c r="O713" i="1" s="1"/>
  <c r="O714" i="1" s="1"/>
  <c r="J728" i="1"/>
  <c r="F730" i="1" s="1"/>
  <c r="J739" i="1"/>
  <c r="E741" i="1" s="1"/>
  <c r="F691" i="1"/>
  <c r="F695" i="1" s="1"/>
  <c r="F721" i="1" s="1"/>
  <c r="F722" i="1"/>
  <c r="F716" i="1"/>
  <c r="F692" i="1"/>
  <c r="F694" i="1" s="1"/>
  <c r="Q288" i="1"/>
  <c r="Q290" i="1" s="1"/>
  <c r="S288" i="1"/>
  <c r="S289" i="1" s="1"/>
  <c r="P456" i="1"/>
  <c r="P458" i="1" s="1"/>
  <c r="P288" i="1"/>
  <c r="P289" i="1" s="1"/>
  <c r="G900" i="1"/>
  <c r="R288" i="1"/>
  <c r="R289" i="1" s="1"/>
  <c r="O288" i="1"/>
  <c r="O289" i="1" s="1"/>
  <c r="O290" i="1" s="1"/>
  <c r="P843" i="1"/>
  <c r="P844" i="1" s="1"/>
  <c r="P845" i="1" s="1"/>
  <c r="C983" i="1"/>
  <c r="O843" i="1"/>
  <c r="O844" i="1" s="1"/>
  <c r="O845" i="1" s="1"/>
  <c r="R712" i="1"/>
  <c r="R714" i="1" s="1"/>
  <c r="S843" i="1"/>
  <c r="S844" i="1" s="1"/>
  <c r="O582" i="1"/>
  <c r="O583" i="1" s="1"/>
  <c r="O584" i="1" s="1"/>
  <c r="C904" i="1"/>
  <c r="R843" i="1"/>
  <c r="R844" i="1" s="1"/>
  <c r="Q712" i="1"/>
  <c r="Q714" i="1" s="1"/>
  <c r="C903" i="1"/>
  <c r="Q843" i="1"/>
  <c r="Q844" i="1" s="1"/>
  <c r="S582" i="1"/>
  <c r="S584" i="1" s="1"/>
  <c r="R582" i="1"/>
  <c r="R583" i="1" s="1"/>
  <c r="C982" i="1"/>
  <c r="C902" i="1"/>
  <c r="P582" i="1"/>
  <c r="P583" i="1" s="1"/>
  <c r="P584" i="1" s="1"/>
  <c r="Q456" i="1"/>
  <c r="Q458" i="1" s="1"/>
  <c r="R456" i="1"/>
  <c r="R457" i="1" s="1"/>
  <c r="O456" i="1"/>
  <c r="O457" i="1" s="1"/>
  <c r="O458" i="1" s="1"/>
  <c r="G981" i="1"/>
  <c r="G901" i="1"/>
  <c r="S457" i="1"/>
  <c r="S458" i="1"/>
  <c r="Q853" i="1"/>
  <c r="Q852" i="1"/>
  <c r="S282" i="1"/>
  <c r="S281" i="1"/>
  <c r="R721" i="1"/>
  <c r="R722" i="1"/>
  <c r="P853" i="1"/>
  <c r="P852" i="1"/>
  <c r="S450" i="1"/>
  <c r="S449" i="1"/>
  <c r="Q721" i="1"/>
  <c r="Q722" i="1"/>
  <c r="R852" i="1"/>
  <c r="R853" i="1"/>
  <c r="R281" i="1"/>
  <c r="R282" i="1"/>
  <c r="S591" i="1"/>
  <c r="S592" i="1"/>
  <c r="Q450" i="1"/>
  <c r="Q449" i="1"/>
  <c r="S713" i="1"/>
  <c r="S714" i="1"/>
  <c r="S721" i="1"/>
  <c r="S722" i="1"/>
  <c r="O852" i="1"/>
  <c r="O853" i="1" s="1"/>
  <c r="R591" i="1"/>
  <c r="R592" i="1"/>
  <c r="P722" i="1"/>
  <c r="P721" i="1"/>
  <c r="Q583" i="1"/>
  <c r="Q584" i="1"/>
  <c r="S853" i="1"/>
  <c r="S852" i="1"/>
  <c r="Q281" i="1"/>
  <c r="Q282" i="1"/>
  <c r="P592" i="1"/>
  <c r="P591" i="1"/>
  <c r="Q591" i="1"/>
  <c r="Q592" i="1"/>
  <c r="R450" i="1"/>
  <c r="R449" i="1"/>
  <c r="N485" i="8"/>
  <c r="N679" i="8"/>
  <c r="P679" i="8" s="1"/>
  <c r="E681" i="8" s="1"/>
  <c r="N574" i="8"/>
  <c r="C585" i="8" s="1"/>
  <c r="P408" i="8"/>
  <c r="E756" i="8" s="1"/>
  <c r="M552" i="2" l="1"/>
  <c r="P672" i="2"/>
  <c r="O672" i="2" s="1"/>
  <c r="P670" i="2"/>
  <c r="O670" i="2" s="1"/>
  <c r="P669" i="2"/>
  <c r="O669" i="2" s="1"/>
  <c r="P668" i="2"/>
  <c r="O668" i="2" s="1"/>
  <c r="J903" i="2"/>
  <c r="I53" i="18"/>
  <c r="M541" i="2"/>
  <c r="M409" i="2"/>
  <c r="P799" i="1"/>
  <c r="O799" i="1" s="1"/>
  <c r="P800" i="1"/>
  <c r="O800" i="1" s="1"/>
  <c r="P803" i="1"/>
  <c r="O803" i="1" s="1"/>
  <c r="P802" i="1"/>
  <c r="O802" i="1" s="1"/>
  <c r="E262" i="8"/>
  <c r="N1279" i="9"/>
  <c r="C1408" i="9" s="1"/>
  <c r="F582" i="2"/>
  <c r="F201" i="9"/>
  <c r="E205" i="9" s="1"/>
  <c r="F261" i="9" s="1"/>
  <c r="H268" i="9" s="1"/>
  <c r="H277" i="9" s="1"/>
  <c r="C1392" i="9" s="1"/>
  <c r="E247" i="8"/>
  <c r="F247" i="8" s="1"/>
  <c r="H250" i="8" s="1"/>
  <c r="D982" i="2"/>
  <c r="H576" i="2"/>
  <c r="H574" i="2"/>
  <c r="F511" i="1"/>
  <c r="H512" i="1" s="1"/>
  <c r="R507" i="1" s="1"/>
  <c r="H255" i="2"/>
  <c r="F261" i="2" s="1"/>
  <c r="G266" i="2" s="1"/>
  <c r="B268" i="2" s="1"/>
  <c r="F207" i="16"/>
  <c r="F205" i="16"/>
  <c r="F206" i="16"/>
  <c r="H204" i="16"/>
  <c r="S282" i="2"/>
  <c r="P282" i="2"/>
  <c r="R283" i="2"/>
  <c r="O284" i="2" s="1"/>
  <c r="Q284" i="2" s="1"/>
  <c r="M540" i="2"/>
  <c r="G294" i="8"/>
  <c r="H381" i="2"/>
  <c r="R381" i="2" s="1"/>
  <c r="F760" i="2"/>
  <c r="H761" i="2" s="1"/>
  <c r="S757" i="2" s="1"/>
  <c r="H294" i="8"/>
  <c r="F553" i="2"/>
  <c r="F557" i="2" s="1"/>
  <c r="F560" i="2" s="1"/>
  <c r="F580" i="2" s="1"/>
  <c r="I148" i="2"/>
  <c r="H153" i="2" s="1"/>
  <c r="C1015" i="2" s="1"/>
  <c r="E268" i="8"/>
  <c r="F633" i="2"/>
  <c r="H634" i="2" s="1"/>
  <c r="Q620" i="2" s="1"/>
  <c r="F504" i="2"/>
  <c r="H505" i="2" s="1"/>
  <c r="R500" i="2" s="1"/>
  <c r="H295" i="8"/>
  <c r="E256" i="8"/>
  <c r="E252" i="8"/>
  <c r="E270" i="8"/>
  <c r="E258" i="8"/>
  <c r="E273" i="8"/>
  <c r="H302" i="8"/>
  <c r="E255" i="8"/>
  <c r="E253" i="8"/>
  <c r="E259" i="8"/>
  <c r="E265" i="8"/>
  <c r="H301" i="8"/>
  <c r="E267" i="8"/>
  <c r="G301" i="8"/>
  <c r="E249" i="8"/>
  <c r="E261" i="8"/>
  <c r="E271" i="8"/>
  <c r="G302" i="8"/>
  <c r="G295" i="8"/>
  <c r="E250" i="8"/>
  <c r="E264" i="8"/>
  <c r="D1070" i="2"/>
  <c r="M420" i="2"/>
  <c r="M550" i="2"/>
  <c r="M551" i="2"/>
  <c r="M423" i="2"/>
  <c r="M422" i="2"/>
  <c r="M542" i="2"/>
  <c r="M553" i="2"/>
  <c r="H477" i="2"/>
  <c r="F426" i="2"/>
  <c r="F430" i="2" s="1"/>
  <c r="E434" i="2"/>
  <c r="E438" i="2" s="1"/>
  <c r="H466" i="2"/>
  <c r="H605" i="2"/>
  <c r="F562" i="2"/>
  <c r="F566" i="2" s="1"/>
  <c r="H594" i="2"/>
  <c r="H512" i="2"/>
  <c r="F517" i="2"/>
  <c r="G367" i="2"/>
  <c r="G368" i="2"/>
  <c r="F594" i="2"/>
  <c r="F605" i="2"/>
  <c r="M421" i="2"/>
  <c r="M413" i="2"/>
  <c r="J899" i="2"/>
  <c r="F477" i="2"/>
  <c r="F466" i="2"/>
  <c r="F492" i="2"/>
  <c r="F493" i="2"/>
  <c r="H454" i="2"/>
  <c r="H459" i="2"/>
  <c r="H386" i="2"/>
  <c r="G391" i="2"/>
  <c r="M539" i="2"/>
  <c r="M408" i="2"/>
  <c r="M410" i="2"/>
  <c r="M411" i="2"/>
  <c r="M412" i="2"/>
  <c r="M419" i="2"/>
  <c r="M549" i="2"/>
  <c r="M543" i="2"/>
  <c r="B540" i="9"/>
  <c r="H1441" i="9"/>
  <c r="J1441" i="9" s="1"/>
  <c r="Q965" i="9"/>
  <c r="R965" i="9"/>
  <c r="P965" i="9"/>
  <c r="P665" i="1"/>
  <c r="O665" i="1" s="1"/>
  <c r="S782" i="1"/>
  <c r="H935" i="1"/>
  <c r="I935" i="1" s="1"/>
  <c r="Q782" i="1"/>
  <c r="P678" i="1"/>
  <c r="O678" i="1" s="1"/>
  <c r="P667" i="1"/>
  <c r="O667" i="1" s="1"/>
  <c r="P675" i="1"/>
  <c r="O675" i="1" s="1"/>
  <c r="P669" i="1"/>
  <c r="O669" i="1" s="1"/>
  <c r="P677" i="1"/>
  <c r="O677" i="1" s="1"/>
  <c r="R782" i="1"/>
  <c r="P676" i="1"/>
  <c r="O676" i="1" s="1"/>
  <c r="E736" i="2"/>
  <c r="E737" i="2" s="1"/>
  <c r="F737" i="2" s="1"/>
  <c r="F725" i="2"/>
  <c r="F726" i="2" s="1"/>
  <c r="G726" i="2" s="1"/>
  <c r="H774" i="2"/>
  <c r="Q781" i="2" s="1"/>
  <c r="F242" i="16"/>
  <c r="H242" i="16" s="1"/>
  <c r="I724" i="2"/>
  <c r="P666" i="1"/>
  <c r="O666" i="1" s="1"/>
  <c r="R774" i="2"/>
  <c r="F244" i="16"/>
  <c r="H244" i="16" s="1"/>
  <c r="G734" i="2"/>
  <c r="F243" i="16"/>
  <c r="H243" i="16" s="1"/>
  <c r="H852" i="2"/>
  <c r="F245" i="16"/>
  <c r="H245" i="16" s="1"/>
  <c r="H241" i="16"/>
  <c r="E41" i="16" s="1"/>
  <c r="F854" i="2"/>
  <c r="F855" i="2" s="1"/>
  <c r="G855" i="2" s="1"/>
  <c r="F801" i="2"/>
  <c r="B802" i="2" s="1"/>
  <c r="J204" i="16"/>
  <c r="F208" i="16"/>
  <c r="H209" i="16"/>
  <c r="E42" i="16" s="1"/>
  <c r="J209" i="16"/>
  <c r="N215" i="2"/>
  <c r="P211" i="2" s="1"/>
  <c r="O211" i="2" s="1"/>
  <c r="C1046" i="2"/>
  <c r="H871" i="1"/>
  <c r="Q774" i="2"/>
  <c r="O852" i="2"/>
  <c r="O853" i="2" s="1"/>
  <c r="O854" i="2" s="1"/>
  <c r="P420" i="8"/>
  <c r="E761" i="8" s="1"/>
  <c r="R852" i="2"/>
  <c r="C964" i="2"/>
  <c r="P805" i="2"/>
  <c r="O805" i="2" s="1"/>
  <c r="P661" i="2"/>
  <c r="O661" i="2" s="1"/>
  <c r="P659" i="2"/>
  <c r="O659" i="2" s="1"/>
  <c r="P658" i="2"/>
  <c r="O658" i="2" s="1"/>
  <c r="P660" i="2"/>
  <c r="O660" i="2" s="1"/>
  <c r="P804" i="2"/>
  <c r="O804" i="2" s="1"/>
  <c r="P803" i="2"/>
  <c r="O803" i="2" s="1"/>
  <c r="P806" i="2"/>
  <c r="O806" i="2" s="1"/>
  <c r="F640" i="1"/>
  <c r="H643" i="1" s="1"/>
  <c r="G896" i="1" s="1"/>
  <c r="F872" i="1"/>
  <c r="F873" i="1" s="1"/>
  <c r="G873" i="1" s="1"/>
  <c r="F876" i="1"/>
  <c r="B877" i="1" s="1"/>
  <c r="G385" i="1"/>
  <c r="H388" i="1" s="1"/>
  <c r="Q388" i="1" s="1"/>
  <c r="F865" i="2"/>
  <c r="F866" i="2" s="1"/>
  <c r="H870" i="2" s="1"/>
  <c r="G1004" i="2" s="1"/>
  <c r="H1004" i="2" s="1"/>
  <c r="H863" i="2"/>
  <c r="F858" i="2"/>
  <c r="B859" i="2" s="1"/>
  <c r="H852" i="1"/>
  <c r="G1004" i="1" s="1"/>
  <c r="H256" i="2"/>
  <c r="H260" i="2" s="1"/>
  <c r="E821" i="2"/>
  <c r="E824" i="2" s="1"/>
  <c r="H1071" i="2" s="1"/>
  <c r="F693" i="2"/>
  <c r="G1070" i="2" s="1"/>
  <c r="H845" i="2"/>
  <c r="S860" i="2" s="1"/>
  <c r="S861" i="2" s="1"/>
  <c r="S862" i="2" s="1"/>
  <c r="F708" i="2"/>
  <c r="H711" i="2" s="1"/>
  <c r="C1045" i="2" s="1"/>
  <c r="F588" i="2"/>
  <c r="P811" i="1"/>
  <c r="O811" i="1" s="1"/>
  <c r="P809" i="1"/>
  <c r="O809" i="1" s="1"/>
  <c r="P812" i="1"/>
  <c r="O812" i="1" s="1"/>
  <c r="P810" i="1"/>
  <c r="O810" i="1" s="1"/>
  <c r="H936" i="1"/>
  <c r="I936" i="1" s="1"/>
  <c r="F767" i="1"/>
  <c r="H768" i="1" s="1"/>
  <c r="Q764" i="1" s="1"/>
  <c r="G140" i="2"/>
  <c r="G141" i="2" s="1"/>
  <c r="E1067" i="2" s="1"/>
  <c r="H341" i="2"/>
  <c r="C344" i="2" s="1"/>
  <c r="G343" i="2" s="1"/>
  <c r="F828" i="1"/>
  <c r="G1029" i="1" s="1"/>
  <c r="H859" i="1"/>
  <c r="H717" i="2"/>
  <c r="S730" i="2" s="1"/>
  <c r="S731" i="2" s="1"/>
  <c r="S732" i="2" s="1"/>
  <c r="F861" i="1"/>
  <c r="F862" i="1" s="1"/>
  <c r="G862" i="1" s="1"/>
  <c r="I155" i="1"/>
  <c r="H162" i="1" s="1"/>
  <c r="G893" i="1" s="1"/>
  <c r="H317" i="2"/>
  <c r="H318" i="2" s="1"/>
  <c r="J320" i="2" s="1"/>
  <c r="E322" i="2" s="1"/>
  <c r="P852" i="2"/>
  <c r="P853" i="2" s="1"/>
  <c r="P854" i="2" s="1"/>
  <c r="Q852" i="2"/>
  <c r="Q853" i="2" s="1"/>
  <c r="J906" i="2"/>
  <c r="P794" i="2"/>
  <c r="O794" i="2" s="1"/>
  <c r="P793" i="2"/>
  <c r="O793" i="2" s="1"/>
  <c r="P795" i="2"/>
  <c r="O795" i="2" s="1"/>
  <c r="P796" i="2"/>
  <c r="O796" i="2" s="1"/>
  <c r="P792" i="2"/>
  <c r="O792" i="2" s="1"/>
  <c r="O639" i="2"/>
  <c r="Q639" i="2" s="1"/>
  <c r="N193" i="2"/>
  <c r="P188" i="2" s="1"/>
  <c r="O188" i="2" s="1"/>
  <c r="O776" i="2"/>
  <c r="Q776" i="2" s="1"/>
  <c r="B630" i="2"/>
  <c r="B631" i="2"/>
  <c r="E1070" i="2"/>
  <c r="C976" i="2"/>
  <c r="E976" i="2" s="1"/>
  <c r="O644" i="2"/>
  <c r="O645" i="2" s="1"/>
  <c r="O646" i="2" s="1"/>
  <c r="G956" i="2"/>
  <c r="R644" i="2"/>
  <c r="Q644" i="2"/>
  <c r="Q645" i="2" s="1"/>
  <c r="Q646" i="2" s="1"/>
  <c r="S644" i="2"/>
  <c r="P644" i="2"/>
  <c r="P645" i="2" s="1"/>
  <c r="P646" i="2" s="1"/>
  <c r="G1038" i="2"/>
  <c r="B757" i="2"/>
  <c r="E1071" i="2"/>
  <c r="C977" i="2"/>
  <c r="E977" i="2" s="1"/>
  <c r="B764" i="1"/>
  <c r="E1029" i="1"/>
  <c r="C936" i="1"/>
  <c r="E936" i="1" s="1"/>
  <c r="R859" i="1"/>
  <c r="P859" i="1"/>
  <c r="P860" i="1" s="1"/>
  <c r="P861" i="1" s="1"/>
  <c r="O859" i="1"/>
  <c r="O860" i="1" s="1"/>
  <c r="O861" i="1" s="1"/>
  <c r="Q859" i="1"/>
  <c r="C1004" i="1"/>
  <c r="S859" i="1"/>
  <c r="S860" i="1" s="1"/>
  <c r="S861" i="1" s="1"/>
  <c r="C923" i="1"/>
  <c r="R788" i="1"/>
  <c r="R789" i="1" s="1"/>
  <c r="R790" i="1" s="1"/>
  <c r="P788" i="1"/>
  <c r="P789" i="1" s="1"/>
  <c r="P790" i="1" s="1"/>
  <c r="G997" i="1"/>
  <c r="Q788" i="1"/>
  <c r="Q789" i="1" s="1"/>
  <c r="Q790" i="1" s="1"/>
  <c r="G916" i="1"/>
  <c r="O788" i="1"/>
  <c r="O789" i="1" s="1"/>
  <c r="O790" i="1" s="1"/>
  <c r="S788" i="1"/>
  <c r="O646" i="1"/>
  <c r="Q646" i="1" s="1"/>
  <c r="O651" i="1"/>
  <c r="O652" i="1" s="1"/>
  <c r="O653" i="1" s="1"/>
  <c r="R651" i="1"/>
  <c r="R652" i="1" s="1"/>
  <c r="R653" i="1" s="1"/>
  <c r="P651" i="1"/>
  <c r="P652" i="1" s="1"/>
  <c r="P653" i="1" s="1"/>
  <c r="G996" i="1"/>
  <c r="G915" i="1"/>
  <c r="S651" i="1"/>
  <c r="S652" i="1" s="1"/>
  <c r="S653" i="1" s="1"/>
  <c r="Q651" i="1"/>
  <c r="Q652" i="1" s="1"/>
  <c r="Q653" i="1" s="1"/>
  <c r="E1028" i="1"/>
  <c r="C935" i="1"/>
  <c r="E935" i="1" s="1"/>
  <c r="B638" i="1"/>
  <c r="B637" i="1"/>
  <c r="H1256" i="9"/>
  <c r="I1483" i="9" s="1"/>
  <c r="N1295" i="9"/>
  <c r="P1135" i="9"/>
  <c r="F1151" i="9" s="1"/>
  <c r="I1419" i="9" s="1"/>
  <c r="K1395" i="9"/>
  <c r="P891" i="9"/>
  <c r="E1395" i="9" s="1"/>
  <c r="F1396" i="9"/>
  <c r="N475" i="8"/>
  <c r="P475" i="8" s="1"/>
  <c r="E485" i="8" s="1"/>
  <c r="E797" i="8" s="1"/>
  <c r="H1445" i="9"/>
  <c r="J1445" i="9" s="1"/>
  <c r="B855" i="9"/>
  <c r="R716" i="2"/>
  <c r="Q716" i="2"/>
  <c r="O709" i="2"/>
  <c r="Q709" i="2" s="1"/>
  <c r="P716" i="2"/>
  <c r="O276" i="2"/>
  <c r="Q276" i="2" s="1"/>
  <c r="O168" i="2"/>
  <c r="Q168" i="2" s="1"/>
  <c r="Q837" i="2"/>
  <c r="Q838" i="2"/>
  <c r="Q443" i="2"/>
  <c r="Q442" i="2"/>
  <c r="Q846" i="2"/>
  <c r="Q845" i="2"/>
  <c r="S845" i="2"/>
  <c r="S846" i="2"/>
  <c r="S451" i="2"/>
  <c r="S450" i="2"/>
  <c r="P450" i="2"/>
  <c r="P451" i="2"/>
  <c r="R443" i="2"/>
  <c r="R442" i="2"/>
  <c r="P845" i="2"/>
  <c r="P846" i="2"/>
  <c r="R450" i="2"/>
  <c r="R451" i="2"/>
  <c r="R838" i="2"/>
  <c r="R837" i="2"/>
  <c r="Q450" i="2"/>
  <c r="Q451" i="2"/>
  <c r="S837" i="2"/>
  <c r="S838" i="2"/>
  <c r="G953" i="2"/>
  <c r="G1035" i="2"/>
  <c r="O173" i="2"/>
  <c r="S173" i="2"/>
  <c r="S174" i="2" s="1"/>
  <c r="S175" i="2" s="1"/>
  <c r="P173" i="2"/>
  <c r="P174" i="2" s="1"/>
  <c r="P175" i="2" s="1"/>
  <c r="R173" i="2"/>
  <c r="R174" i="2" s="1"/>
  <c r="R175" i="2" s="1"/>
  <c r="Q173" i="2"/>
  <c r="Q174" i="2" s="1"/>
  <c r="Q175" i="2" s="1"/>
  <c r="S442" i="2"/>
  <c r="S443" i="2"/>
  <c r="Q373" i="2"/>
  <c r="P373" i="2"/>
  <c r="P374" i="2" s="1"/>
  <c r="P375" i="2" s="1"/>
  <c r="C935" i="2"/>
  <c r="S373" i="2"/>
  <c r="R373" i="2"/>
  <c r="C1016" i="2"/>
  <c r="O373" i="2"/>
  <c r="O374" i="2" s="1"/>
  <c r="O375" i="2" s="1"/>
  <c r="R845" i="2"/>
  <c r="R846" i="2"/>
  <c r="H1395" i="9"/>
  <c r="H901" i="9"/>
  <c r="Q481" i="9"/>
  <c r="Q482" i="9" s="1"/>
  <c r="Q483" i="9" s="1"/>
  <c r="O1508" i="9"/>
  <c r="R481" i="9"/>
  <c r="N481" i="9"/>
  <c r="N482" i="9" s="1"/>
  <c r="N483" i="9" s="1"/>
  <c r="P481" i="9"/>
  <c r="O481" i="9"/>
  <c r="O482" i="9" s="1"/>
  <c r="O483" i="9" s="1"/>
  <c r="Q462" i="9"/>
  <c r="Q463" i="9" s="1"/>
  <c r="B374" i="9"/>
  <c r="G374" i="9"/>
  <c r="G376" i="9" s="1"/>
  <c r="G399" i="9"/>
  <c r="G400" i="9" s="1"/>
  <c r="B399" i="9"/>
  <c r="P462" i="9"/>
  <c r="P463" i="9" s="1"/>
  <c r="R463" i="9"/>
  <c r="R462" i="9"/>
  <c r="Q243" i="9"/>
  <c r="Q242" i="9"/>
  <c r="N425" i="9"/>
  <c r="N426" i="9" s="1"/>
  <c r="N427" i="9" s="1"/>
  <c r="Q425" i="9"/>
  <c r="P425" i="9"/>
  <c r="P426" i="9" s="1"/>
  <c r="P427" i="9" s="1"/>
  <c r="O425" i="9"/>
  <c r="O426" i="9" s="1"/>
  <c r="O427" i="9" s="1"/>
  <c r="R425" i="9"/>
  <c r="P253" i="9"/>
  <c r="P252" i="9"/>
  <c r="N663" i="9"/>
  <c r="P663" i="9"/>
  <c r="C1509" i="9"/>
  <c r="Q663" i="9"/>
  <c r="O663" i="9"/>
  <c r="R663" i="9"/>
  <c r="C1394" i="9"/>
  <c r="R243" i="9"/>
  <c r="R242" i="9"/>
  <c r="N252" i="9"/>
  <c r="Q253" i="9"/>
  <c r="Q252" i="9"/>
  <c r="R253" i="9"/>
  <c r="R252" i="9"/>
  <c r="O242" i="9"/>
  <c r="O243" i="9" s="1"/>
  <c r="N242" i="9"/>
  <c r="N243" i="9" s="1"/>
  <c r="O442" i="9"/>
  <c r="O443" i="9" s="1"/>
  <c r="O444" i="9" s="1"/>
  <c r="R442" i="9"/>
  <c r="N442" i="9"/>
  <c r="N443" i="9" s="1"/>
  <c r="N444" i="9" s="1"/>
  <c r="G1508" i="9"/>
  <c r="P442" i="9"/>
  <c r="Q442" i="9"/>
  <c r="G1393" i="9"/>
  <c r="P243" i="9"/>
  <c r="P242" i="9"/>
  <c r="O253" i="9"/>
  <c r="O252" i="9"/>
  <c r="N685" i="9"/>
  <c r="P457" i="1"/>
  <c r="O1121" i="9"/>
  <c r="R1121" i="9"/>
  <c r="Q1121" i="9"/>
  <c r="N1121" i="9"/>
  <c r="P1121" i="9"/>
  <c r="Q845" i="1"/>
  <c r="S853" i="2"/>
  <c r="S854" i="2" s="1"/>
  <c r="S290" i="1"/>
  <c r="Q289" i="1"/>
  <c r="R290" i="1"/>
  <c r="G741" i="1"/>
  <c r="G740" i="1"/>
  <c r="E742" i="1"/>
  <c r="E743" i="1" s="1"/>
  <c r="F746" i="1"/>
  <c r="B747" i="1" s="1"/>
  <c r="H723" i="1"/>
  <c r="I729" i="1"/>
  <c r="I730" i="1"/>
  <c r="F731" i="1"/>
  <c r="F732" i="1" s="1"/>
  <c r="R713" i="1"/>
  <c r="P290" i="1"/>
  <c r="F714" i="1"/>
  <c r="H717" i="1" s="1"/>
  <c r="F699" i="1"/>
  <c r="R845" i="1"/>
  <c r="S583" i="1"/>
  <c r="S845" i="1"/>
  <c r="Q713" i="1"/>
  <c r="Q457" i="1"/>
  <c r="R458" i="1"/>
  <c r="O459" i="1" s="1"/>
  <c r="Q459" i="1" s="1"/>
  <c r="R584" i="1"/>
  <c r="O585" i="1" s="1"/>
  <c r="Q585" i="1" s="1"/>
  <c r="O451" i="1"/>
  <c r="Q451" i="1" s="1"/>
  <c r="O723" i="1"/>
  <c r="Q723" i="1" s="1"/>
  <c r="O854" i="1"/>
  <c r="Q854" i="1" s="1"/>
  <c r="O715" i="1"/>
  <c r="Q715" i="1" s="1"/>
  <c r="O593" i="1"/>
  <c r="Q593" i="1" s="1"/>
  <c r="O283" i="1"/>
  <c r="Q283" i="1" s="1"/>
  <c r="P485" i="8"/>
  <c r="E802" i="8" s="1"/>
  <c r="C681" i="8"/>
  <c r="H681" i="8" s="1"/>
  <c r="H733" i="8" s="1"/>
  <c r="P574" i="8"/>
  <c r="E585" i="8" s="1"/>
  <c r="E847" i="8" s="1"/>
  <c r="E801" i="8"/>
  <c r="P584" i="8"/>
  <c r="E853" i="8" s="1"/>
  <c r="E755" i="8"/>
  <c r="H413" i="8"/>
  <c r="E846" i="8"/>
  <c r="P673" i="2" l="1"/>
  <c r="R671" i="2" s="1"/>
  <c r="Q671" i="2" s="1"/>
  <c r="Q507" i="1"/>
  <c r="Q509" i="1" s="1"/>
  <c r="F246" i="8"/>
  <c r="H248" i="8" s="1"/>
  <c r="P1279" i="9"/>
  <c r="C895" i="1"/>
  <c r="C975" i="1"/>
  <c r="G247" i="8"/>
  <c r="F263" i="8"/>
  <c r="G263" i="8" s="1"/>
  <c r="E206" i="9"/>
  <c r="H284" i="9" s="1"/>
  <c r="B293" i="9" s="1"/>
  <c r="E208" i="9"/>
  <c r="F222" i="9" s="1"/>
  <c r="F224" i="9" s="1"/>
  <c r="F251" i="8"/>
  <c r="G251" i="8" s="1"/>
  <c r="P804" i="1"/>
  <c r="R802" i="1" s="1"/>
  <c r="Q802" i="1" s="1"/>
  <c r="H583" i="2"/>
  <c r="C1044" i="2" s="1"/>
  <c r="H266" i="8"/>
  <c r="C1024" i="2"/>
  <c r="C943" i="2"/>
  <c r="S575" i="2"/>
  <c r="P575" i="2"/>
  <c r="P576" i="2" s="1"/>
  <c r="P577" i="2" s="1"/>
  <c r="R575" i="2"/>
  <c r="O575" i="2"/>
  <c r="O576" i="2" s="1"/>
  <c r="O577" i="2" s="1"/>
  <c r="Q575" i="2"/>
  <c r="G1024" i="2"/>
  <c r="S583" i="2"/>
  <c r="G943" i="2"/>
  <c r="O583" i="2"/>
  <c r="O584" i="2" s="1"/>
  <c r="O585" i="2" s="1"/>
  <c r="P583" i="2"/>
  <c r="R583" i="2"/>
  <c r="Q583" i="2"/>
  <c r="O507" i="1"/>
  <c r="O508" i="1" s="1"/>
  <c r="O509" i="1" s="1"/>
  <c r="S507" i="1"/>
  <c r="S509" i="1" s="1"/>
  <c r="H514" i="1"/>
  <c r="S515" i="1" s="1"/>
  <c r="S517" i="1" s="1"/>
  <c r="P507" i="1"/>
  <c r="P508" i="1" s="1"/>
  <c r="P509" i="1" s="1"/>
  <c r="P482" i="9"/>
  <c r="P483" i="9" s="1"/>
  <c r="G268" i="2"/>
  <c r="G270" i="2" s="1"/>
  <c r="H1067" i="2" s="1"/>
  <c r="H298" i="2"/>
  <c r="B303" i="2" s="1"/>
  <c r="E56" i="18"/>
  <c r="I56" i="18" s="1"/>
  <c r="J207" i="16"/>
  <c r="H207" i="16"/>
  <c r="H208" i="16"/>
  <c r="J208" i="16"/>
  <c r="R620" i="2"/>
  <c r="R622" i="2" s="1"/>
  <c r="C1018" i="2"/>
  <c r="J594" i="2"/>
  <c r="F596" i="2" s="1"/>
  <c r="E595" i="2" s="1"/>
  <c r="F256" i="8"/>
  <c r="G256" i="8" s="1"/>
  <c r="F258" i="8"/>
  <c r="S500" i="2"/>
  <c r="S501" i="2" s="1"/>
  <c r="F257" i="8"/>
  <c r="P757" i="2"/>
  <c r="P758" i="2" s="1"/>
  <c r="P759" i="2" s="1"/>
  <c r="H763" i="2"/>
  <c r="Q765" i="2" s="1"/>
  <c r="Q767" i="2" s="1"/>
  <c r="F270" i="8"/>
  <c r="G270" i="8" s="1"/>
  <c r="J270" i="8" s="1"/>
  <c r="M270" i="8" s="1"/>
  <c r="P270" i="8" s="1"/>
  <c r="D295" i="8" s="1"/>
  <c r="E295" i="8" s="1"/>
  <c r="C938" i="2"/>
  <c r="C1019" i="2"/>
  <c r="Q757" i="2"/>
  <c r="Q758" i="2" s="1"/>
  <c r="S381" i="2"/>
  <c r="S382" i="2" s="1"/>
  <c r="C934" i="2"/>
  <c r="G935" i="2"/>
  <c r="G1016" i="2"/>
  <c r="Q381" i="2"/>
  <c r="Q383" i="2" s="1"/>
  <c r="Q148" i="2"/>
  <c r="Q149" i="2" s="1"/>
  <c r="R757" i="2"/>
  <c r="R759" i="2" s="1"/>
  <c r="O381" i="2"/>
  <c r="O382" i="2" s="1"/>
  <c r="O383" i="2" s="1"/>
  <c r="P381" i="2"/>
  <c r="P383" i="2" s="1"/>
  <c r="C1017" i="2"/>
  <c r="H507" i="2"/>
  <c r="S508" i="2" s="1"/>
  <c r="S510" i="2" s="1"/>
  <c r="P500" i="2"/>
  <c r="P501" i="2" s="1"/>
  <c r="P502" i="2" s="1"/>
  <c r="R148" i="2"/>
  <c r="R149" i="2" s="1"/>
  <c r="O757" i="2"/>
  <c r="O758" i="2" s="1"/>
  <c r="O759" i="2" s="1"/>
  <c r="C936" i="2"/>
  <c r="F269" i="8"/>
  <c r="G269" i="8" s="1"/>
  <c r="J269" i="8" s="1"/>
  <c r="M269" i="8" s="1"/>
  <c r="P269" i="8" s="1"/>
  <c r="D311" i="8" s="1"/>
  <c r="P620" i="2"/>
  <c r="P621" i="2" s="1"/>
  <c r="P622" i="2" s="1"/>
  <c r="C937" i="2"/>
  <c r="H636" i="2"/>
  <c r="G937" i="2" s="1"/>
  <c r="O620" i="2"/>
  <c r="O621" i="2" s="1"/>
  <c r="O622" i="2" s="1"/>
  <c r="S620" i="2"/>
  <c r="S622" i="2" s="1"/>
  <c r="O148" i="2"/>
  <c r="O149" i="2" s="1"/>
  <c r="O150" i="2" s="1"/>
  <c r="S148" i="2"/>
  <c r="S150" i="2" s="1"/>
  <c r="Q500" i="2"/>
  <c r="Q501" i="2" s="1"/>
  <c r="H155" i="2"/>
  <c r="P157" i="2" s="1"/>
  <c r="P159" i="2" s="1"/>
  <c r="P148" i="2"/>
  <c r="P149" i="2" s="1"/>
  <c r="P150" i="2" s="1"/>
  <c r="O500" i="2"/>
  <c r="O501" i="2" s="1"/>
  <c r="O502" i="2" s="1"/>
  <c r="P860" i="2"/>
  <c r="P861" i="2" s="1"/>
  <c r="P862" i="2" s="1"/>
  <c r="J605" i="2"/>
  <c r="F607" i="2" s="1"/>
  <c r="F609" i="2" s="1"/>
  <c r="F610" i="2" s="1"/>
  <c r="G610" i="2" s="1"/>
  <c r="F556" i="2"/>
  <c r="F561" i="2" s="1"/>
  <c r="F587" i="2" s="1"/>
  <c r="F601" i="2" s="1"/>
  <c r="B602" i="2" s="1"/>
  <c r="F268" i="8"/>
  <c r="G268" i="8" s="1"/>
  <c r="J268" i="8" s="1"/>
  <c r="M268" i="8" s="1"/>
  <c r="P268" i="8" s="1"/>
  <c r="F252" i="8"/>
  <c r="H256" i="8" s="1"/>
  <c r="F250" i="8"/>
  <c r="G250" i="8" s="1"/>
  <c r="F260" i="8"/>
  <c r="F261" i="8"/>
  <c r="F259" i="8"/>
  <c r="G259" i="8" s="1"/>
  <c r="F248" i="8"/>
  <c r="F249" i="8"/>
  <c r="F267" i="8"/>
  <c r="G267" i="8" s="1"/>
  <c r="F266" i="8"/>
  <c r="F265" i="8"/>
  <c r="F273" i="8"/>
  <c r="G273" i="8" s="1"/>
  <c r="J273" i="8" s="1"/>
  <c r="M273" i="8" s="1"/>
  <c r="P273" i="8" s="1"/>
  <c r="D302" i="8" s="1"/>
  <c r="E302" i="8" s="1"/>
  <c r="F271" i="8"/>
  <c r="G271" i="8" s="1"/>
  <c r="J271" i="8" s="1"/>
  <c r="M271" i="8" s="1"/>
  <c r="P271" i="8" s="1"/>
  <c r="F272" i="8"/>
  <c r="G272" i="8" s="1"/>
  <c r="J272" i="8" s="1"/>
  <c r="M272" i="8" s="1"/>
  <c r="P272" i="8" s="1"/>
  <c r="F254" i="8"/>
  <c r="F253" i="8"/>
  <c r="F255" i="8"/>
  <c r="H259" i="8" s="1"/>
  <c r="F262" i="8"/>
  <c r="F264" i="8"/>
  <c r="G264" i="8" s="1"/>
  <c r="N544" i="2"/>
  <c r="P540" i="2" s="1"/>
  <c r="O540" i="2" s="1"/>
  <c r="J908" i="2"/>
  <c r="N554" i="2"/>
  <c r="P548" i="2" s="1"/>
  <c r="O548" i="2" s="1"/>
  <c r="E432" i="2"/>
  <c r="G432" i="2"/>
  <c r="F496" i="2"/>
  <c r="F516" i="2"/>
  <c r="R516" i="2"/>
  <c r="C1037" i="2"/>
  <c r="P516" i="2"/>
  <c r="P517" i="2" s="1"/>
  <c r="P518" i="2" s="1"/>
  <c r="O516" i="2"/>
  <c r="O517" i="2" s="1"/>
  <c r="O518" i="2" s="1"/>
  <c r="C955" i="2"/>
  <c r="Q516" i="2"/>
  <c r="S516" i="2"/>
  <c r="D396" i="2"/>
  <c r="G372" i="2"/>
  <c r="J466" i="2"/>
  <c r="F468" i="2" s="1"/>
  <c r="J477" i="2"/>
  <c r="F479" i="2" s="1"/>
  <c r="C1036" i="2"/>
  <c r="R389" i="2"/>
  <c r="Q389" i="2"/>
  <c r="O389" i="2"/>
  <c r="O390" i="2" s="1"/>
  <c r="O391" i="2" s="1"/>
  <c r="S389" i="2"/>
  <c r="C954" i="2"/>
  <c r="P389" i="2"/>
  <c r="P390" i="2" s="1"/>
  <c r="P391" i="2" s="1"/>
  <c r="F497" i="2"/>
  <c r="D523" i="2"/>
  <c r="G371" i="2"/>
  <c r="G390" i="2"/>
  <c r="N414" i="2"/>
  <c r="N424" i="2"/>
  <c r="F429" i="2"/>
  <c r="E433" i="2" s="1"/>
  <c r="H458" i="2" s="1"/>
  <c r="N966" i="9"/>
  <c r="C967" i="9" s="1"/>
  <c r="G1406" i="9" s="1"/>
  <c r="O783" i="1"/>
  <c r="Q783" i="1" s="1"/>
  <c r="P680" i="1"/>
  <c r="R678" i="1" s="1"/>
  <c r="Q678" i="1" s="1"/>
  <c r="P670" i="1"/>
  <c r="R665" i="1" s="1"/>
  <c r="Q665" i="1" s="1"/>
  <c r="R668" i="2"/>
  <c r="Q668" i="2" s="1"/>
  <c r="H254" i="8"/>
  <c r="O781" i="2"/>
  <c r="O782" i="2" s="1"/>
  <c r="O783" i="2" s="1"/>
  <c r="G1045" i="2"/>
  <c r="H741" i="2"/>
  <c r="G1003" i="2" s="1"/>
  <c r="H1003" i="2" s="1"/>
  <c r="G957" i="2"/>
  <c r="P781" i="2"/>
  <c r="P782" i="2" s="1"/>
  <c r="P783" i="2" s="1"/>
  <c r="R781" i="2"/>
  <c r="R782" i="2" s="1"/>
  <c r="R783" i="2" s="1"/>
  <c r="S781" i="2"/>
  <c r="S782" i="2" s="1"/>
  <c r="S783" i="2" s="1"/>
  <c r="G1039" i="2"/>
  <c r="C963" i="2"/>
  <c r="R672" i="2"/>
  <c r="Q672" i="2" s="1"/>
  <c r="P210" i="2"/>
  <c r="O210" i="2" s="1"/>
  <c r="F260" i="2"/>
  <c r="G284" i="2" s="1"/>
  <c r="G286" i="2" s="1"/>
  <c r="H293" i="2" s="1"/>
  <c r="P189" i="2"/>
  <c r="O189" i="2" s="1"/>
  <c r="R669" i="2"/>
  <c r="Q669" i="2" s="1"/>
  <c r="R670" i="2"/>
  <c r="Q670" i="2" s="1"/>
  <c r="P212" i="2"/>
  <c r="O212" i="2" s="1"/>
  <c r="P213" i="2"/>
  <c r="O213" i="2" s="1"/>
  <c r="H206" i="16"/>
  <c r="J206" i="16"/>
  <c r="J205" i="16"/>
  <c r="H205" i="16"/>
  <c r="P209" i="2"/>
  <c r="O209" i="2" s="1"/>
  <c r="R853" i="2"/>
  <c r="R854" i="2" s="1"/>
  <c r="B827" i="2"/>
  <c r="R722" i="2"/>
  <c r="D1067" i="2"/>
  <c r="G894" i="1"/>
  <c r="P663" i="2"/>
  <c r="R662" i="2" s="1"/>
  <c r="Q662" i="2" s="1"/>
  <c r="H415" i="8"/>
  <c r="E762" i="8" s="1"/>
  <c r="O722" i="2"/>
  <c r="O723" i="2" s="1"/>
  <c r="O724" i="2" s="1"/>
  <c r="F696" i="2"/>
  <c r="B699" i="2" s="1"/>
  <c r="G963" i="2"/>
  <c r="R730" i="2"/>
  <c r="R731" i="2" s="1"/>
  <c r="R732" i="2" s="1"/>
  <c r="S722" i="2"/>
  <c r="P807" i="2"/>
  <c r="R803" i="2" s="1"/>
  <c r="Q803" i="2" s="1"/>
  <c r="G866" i="2"/>
  <c r="O635" i="1"/>
  <c r="O636" i="1" s="1"/>
  <c r="O637" i="1" s="1"/>
  <c r="P814" i="1"/>
  <c r="R811" i="1" s="1"/>
  <c r="Q811" i="1" s="1"/>
  <c r="P635" i="1"/>
  <c r="P637" i="1" s="1"/>
  <c r="R635" i="1"/>
  <c r="R637" i="1" s="1"/>
  <c r="Q635" i="1"/>
  <c r="Q636" i="1" s="1"/>
  <c r="G976" i="1"/>
  <c r="S635" i="1"/>
  <c r="S636" i="1" s="1"/>
  <c r="H641" i="1"/>
  <c r="C896" i="1" s="1"/>
  <c r="H877" i="1"/>
  <c r="G962" i="1" s="1"/>
  <c r="H962" i="1" s="1"/>
  <c r="P867" i="1"/>
  <c r="P868" i="1" s="1"/>
  <c r="P869" i="1" s="1"/>
  <c r="G923" i="1"/>
  <c r="Q867" i="1"/>
  <c r="Q868" i="1" s="1"/>
  <c r="Q869" i="1" s="1"/>
  <c r="H386" i="1"/>
  <c r="S380" i="1" s="1"/>
  <c r="S381" i="1" s="1"/>
  <c r="P388" i="1"/>
  <c r="P389" i="1" s="1"/>
  <c r="R388" i="1"/>
  <c r="R390" i="1" s="1"/>
  <c r="H859" i="2"/>
  <c r="E1004" i="2" s="1"/>
  <c r="F1004" i="2" s="1"/>
  <c r="F729" i="2"/>
  <c r="H730" i="2" s="1"/>
  <c r="E1003" i="2" s="1"/>
  <c r="F1003" i="2" s="1"/>
  <c r="Q730" i="2"/>
  <c r="Q731" i="2" s="1"/>
  <c r="Q732" i="2" s="1"/>
  <c r="O867" i="1"/>
  <c r="O868" i="1" s="1"/>
  <c r="O869" i="1" s="1"/>
  <c r="R867" i="1"/>
  <c r="R868" i="1" s="1"/>
  <c r="R869" i="1" s="1"/>
  <c r="G974" i="1"/>
  <c r="O388" i="1"/>
  <c r="O389" i="1" s="1"/>
  <c r="O390" i="1" s="1"/>
  <c r="S388" i="1"/>
  <c r="S389" i="1" s="1"/>
  <c r="B826" i="2"/>
  <c r="C984" i="2"/>
  <c r="E984" i="2" s="1"/>
  <c r="P730" i="2"/>
  <c r="P731" i="2" s="1"/>
  <c r="P732" i="2" s="1"/>
  <c r="S867" i="1"/>
  <c r="S868" i="1" s="1"/>
  <c r="S869" i="1" s="1"/>
  <c r="G964" i="2"/>
  <c r="Q860" i="2"/>
  <c r="Q861" i="2" s="1"/>
  <c r="Q862" i="2" s="1"/>
  <c r="F831" i="1"/>
  <c r="B834" i="1" s="1"/>
  <c r="Q722" i="2"/>
  <c r="P722" i="2"/>
  <c r="P723" i="2" s="1"/>
  <c r="P724" i="2" s="1"/>
  <c r="O730" i="2"/>
  <c r="O731" i="2" s="1"/>
  <c r="O732" i="2" s="1"/>
  <c r="G1046" i="2"/>
  <c r="R860" i="2"/>
  <c r="R861" i="2" s="1"/>
  <c r="R862" i="2" s="1"/>
  <c r="G1071" i="2"/>
  <c r="O860" i="2"/>
  <c r="O861" i="2" s="1"/>
  <c r="O862" i="2" s="1"/>
  <c r="S164" i="1"/>
  <c r="S166" i="1" s="1"/>
  <c r="S764" i="1"/>
  <c r="S765" i="1" s="1"/>
  <c r="P164" i="1"/>
  <c r="P165" i="1" s="1"/>
  <c r="C897" i="1"/>
  <c r="R164" i="1"/>
  <c r="R166" i="1" s="1"/>
  <c r="P764" i="1"/>
  <c r="P765" i="1" s="1"/>
  <c r="P766" i="1" s="1"/>
  <c r="G973" i="1"/>
  <c r="Q164" i="1"/>
  <c r="Q165" i="1" s="1"/>
  <c r="R764" i="1"/>
  <c r="R765" i="1" s="1"/>
  <c r="C977" i="1"/>
  <c r="O164" i="1"/>
  <c r="O165" i="1" s="1"/>
  <c r="O166" i="1" s="1"/>
  <c r="H160" i="1"/>
  <c r="C893" i="1" s="1"/>
  <c r="O764" i="1"/>
  <c r="O765" i="1" s="1"/>
  <c r="O766" i="1" s="1"/>
  <c r="H770" i="1"/>
  <c r="S772" i="1" s="1"/>
  <c r="S773" i="1" s="1"/>
  <c r="G344" i="2"/>
  <c r="G353" i="2"/>
  <c r="C355" i="2" s="1"/>
  <c r="D355" i="2" s="1"/>
  <c r="H866" i="1"/>
  <c r="E962" i="1" s="1"/>
  <c r="F962" i="1" s="1"/>
  <c r="Q854" i="2"/>
  <c r="G327" i="2"/>
  <c r="D329" i="2" s="1"/>
  <c r="E329" i="2" s="1"/>
  <c r="P187" i="2"/>
  <c r="O187" i="2" s="1"/>
  <c r="P797" i="2"/>
  <c r="P190" i="2"/>
  <c r="O190" i="2" s="1"/>
  <c r="P191" i="2"/>
  <c r="O191" i="2" s="1"/>
  <c r="R645" i="2"/>
  <c r="R646" i="2" s="1"/>
  <c r="S645" i="2"/>
  <c r="S646" i="2" s="1"/>
  <c r="Q782" i="2"/>
  <c r="Q783" i="2" s="1"/>
  <c r="S789" i="1"/>
  <c r="S790" i="1" s="1"/>
  <c r="O791" i="1" s="1"/>
  <c r="Q791" i="1" s="1"/>
  <c r="Q860" i="1"/>
  <c r="Q861" i="1" s="1"/>
  <c r="R860" i="1"/>
  <c r="R861" i="1" s="1"/>
  <c r="O654" i="1"/>
  <c r="Q654" i="1" s="1"/>
  <c r="H1281" i="9"/>
  <c r="E1408" i="9" s="1"/>
  <c r="D1408" i="9"/>
  <c r="F1397" i="9"/>
  <c r="P1295" i="9"/>
  <c r="H1408" i="9" s="1"/>
  <c r="N1135" i="9"/>
  <c r="D1151" i="9" s="1"/>
  <c r="H1419" i="9" s="1"/>
  <c r="F1429" i="9" s="1"/>
  <c r="G1429" i="9" s="1"/>
  <c r="P1122" i="9"/>
  <c r="N1122" i="9" s="1"/>
  <c r="N932" i="9"/>
  <c r="N933" i="9" s="1"/>
  <c r="N934" i="9" s="1"/>
  <c r="P932" i="9"/>
  <c r="P934" i="9" s="1"/>
  <c r="R932" i="9"/>
  <c r="O932" i="9"/>
  <c r="O933" i="9" s="1"/>
  <c r="K1510" i="9"/>
  <c r="Q932" i="9"/>
  <c r="Q934" i="9" s="1"/>
  <c r="P685" i="9"/>
  <c r="C685" i="9"/>
  <c r="C485" i="8"/>
  <c r="H485" i="8" s="1"/>
  <c r="E798" i="8" s="1"/>
  <c r="N464" i="9"/>
  <c r="P464" i="9" s="1"/>
  <c r="D1404" i="9" s="1"/>
  <c r="O717" i="2"/>
  <c r="Q717" i="2" s="1"/>
  <c r="O444" i="2"/>
  <c r="Q444" i="2" s="1"/>
  <c r="I142" i="2"/>
  <c r="C973" i="2"/>
  <c r="E973" i="2" s="1"/>
  <c r="O847" i="2"/>
  <c r="Q847" i="2" s="1"/>
  <c r="O839" i="2"/>
  <c r="Q839" i="2" s="1"/>
  <c r="O452" i="2"/>
  <c r="Q452" i="2" s="1"/>
  <c r="R375" i="2"/>
  <c r="R374" i="2"/>
  <c r="S758" i="2"/>
  <c r="S759" i="2"/>
  <c r="R502" i="2"/>
  <c r="R501" i="2"/>
  <c r="S375" i="2"/>
  <c r="S374" i="2"/>
  <c r="Q622" i="2"/>
  <c r="Q621" i="2"/>
  <c r="O174" i="2"/>
  <c r="O175" i="2" s="1"/>
  <c r="O176" i="2" s="1"/>
  <c r="Q176" i="2" s="1"/>
  <c r="Q375" i="2"/>
  <c r="Q374" i="2"/>
  <c r="R383" i="2"/>
  <c r="R382" i="2"/>
  <c r="D1395" i="9"/>
  <c r="H898" i="9"/>
  <c r="J1482" i="9"/>
  <c r="J1395" i="9"/>
  <c r="B380" i="9"/>
  <c r="H1439" i="9"/>
  <c r="J1439" i="9" s="1"/>
  <c r="B379" i="9"/>
  <c r="R482" i="9"/>
  <c r="B403" i="9"/>
  <c r="B404" i="9"/>
  <c r="H1440" i="9"/>
  <c r="J1440" i="9" s="1"/>
  <c r="N244" i="9"/>
  <c r="P244" i="9" s="1"/>
  <c r="Q664" i="9"/>
  <c r="Q665" i="9" s="1"/>
  <c r="R426" i="9"/>
  <c r="R427" i="9"/>
  <c r="B277" i="9"/>
  <c r="Q443" i="9"/>
  <c r="Q444" i="9" s="1"/>
  <c r="Q427" i="9"/>
  <c r="Q426" i="9"/>
  <c r="R664" i="9"/>
  <c r="R665" i="9" s="1"/>
  <c r="P664" i="9"/>
  <c r="P665" i="9" s="1"/>
  <c r="P443" i="9"/>
  <c r="P444" i="9" s="1"/>
  <c r="R443" i="9"/>
  <c r="R444" i="9" s="1"/>
  <c r="O664" i="9"/>
  <c r="O665" i="9" s="1"/>
  <c r="N664" i="9"/>
  <c r="N665" i="9" s="1"/>
  <c r="N253" i="9"/>
  <c r="N254" i="9" s="1"/>
  <c r="O291" i="1"/>
  <c r="Q291" i="1" s="1"/>
  <c r="R728" i="1"/>
  <c r="O728" i="1"/>
  <c r="O729" i="1" s="1"/>
  <c r="O730" i="1" s="1"/>
  <c r="C1003" i="1"/>
  <c r="S728" i="1"/>
  <c r="P728" i="1"/>
  <c r="P729" i="1" s="1"/>
  <c r="P730" i="1" s="1"/>
  <c r="Q728" i="1"/>
  <c r="C922" i="1"/>
  <c r="F743" i="1"/>
  <c r="H747" i="1"/>
  <c r="G961" i="1" s="1"/>
  <c r="H961" i="1" s="1"/>
  <c r="S736" i="1"/>
  <c r="Q736" i="1"/>
  <c r="Q737" i="1" s="1"/>
  <c r="Q738" i="1" s="1"/>
  <c r="F735" i="1"/>
  <c r="B736" i="1" s="1"/>
  <c r="R736" i="1"/>
  <c r="R737" i="1" s="1"/>
  <c r="R738" i="1" s="1"/>
  <c r="O736" i="1"/>
  <c r="G1003" i="1"/>
  <c r="P736" i="1"/>
  <c r="P737" i="1" s="1"/>
  <c r="P738" i="1" s="1"/>
  <c r="G922" i="1"/>
  <c r="O846" i="1"/>
  <c r="Q846" i="1" s="1"/>
  <c r="G1028" i="1"/>
  <c r="F702" i="1"/>
  <c r="G732" i="1"/>
  <c r="Q389" i="1"/>
  <c r="Q390" i="1"/>
  <c r="Q766" i="1"/>
  <c r="Q765" i="1"/>
  <c r="R508" i="1"/>
  <c r="R509" i="1"/>
  <c r="H487" i="8"/>
  <c r="E803" i="8" s="1"/>
  <c r="H585" i="8"/>
  <c r="H732" i="8" s="1"/>
  <c r="H587" i="8"/>
  <c r="E852" i="8"/>
  <c r="E757" i="8"/>
  <c r="H730" i="8"/>
  <c r="F1437" i="9" l="1"/>
  <c r="Q508" i="1"/>
  <c r="G246" i="8"/>
  <c r="R799" i="1"/>
  <c r="Q799" i="1" s="1"/>
  <c r="R800" i="1"/>
  <c r="Q800" i="1" s="1"/>
  <c r="R803" i="1"/>
  <c r="Q803" i="1" s="1"/>
  <c r="R801" i="1"/>
  <c r="Q801" i="1" s="1"/>
  <c r="R591" i="2"/>
  <c r="R592" i="2" s="1"/>
  <c r="G1067" i="2"/>
  <c r="P591" i="2"/>
  <c r="P592" i="2" s="1"/>
  <c r="P593" i="2" s="1"/>
  <c r="O591" i="2"/>
  <c r="O592" i="2" s="1"/>
  <c r="O593" i="2" s="1"/>
  <c r="C962" i="2"/>
  <c r="E216" i="9"/>
  <c r="E219" i="9" s="1"/>
  <c r="G228" i="9" s="1"/>
  <c r="G230" i="9" s="1"/>
  <c r="S591" i="2"/>
  <c r="S593" i="2" s="1"/>
  <c r="Q591" i="2"/>
  <c r="Q592" i="2" s="1"/>
  <c r="Q593" i="2" s="1"/>
  <c r="O855" i="2"/>
  <c r="Q855" i="2" s="1"/>
  <c r="R515" i="1"/>
  <c r="R516" i="1" s="1"/>
  <c r="G262" i="8"/>
  <c r="H258" i="8"/>
  <c r="G265" i="8"/>
  <c r="H261" i="8"/>
  <c r="G266" i="8"/>
  <c r="H263" i="8"/>
  <c r="G261" i="8"/>
  <c r="H265" i="8"/>
  <c r="G258" i="8"/>
  <c r="H262" i="8"/>
  <c r="P584" i="2"/>
  <c r="P585" i="2"/>
  <c r="Q577" i="2"/>
  <c r="Q576" i="2"/>
  <c r="S577" i="2"/>
  <c r="S576" i="2"/>
  <c r="Q585" i="2"/>
  <c r="Q584" i="2"/>
  <c r="S508" i="1"/>
  <c r="R584" i="2"/>
  <c r="R585" i="2"/>
  <c r="S585" i="2"/>
  <c r="S584" i="2"/>
  <c r="R576" i="2"/>
  <c r="R577" i="2"/>
  <c r="S516" i="1"/>
  <c r="P515" i="1"/>
  <c r="P517" i="1" s="1"/>
  <c r="G895" i="1"/>
  <c r="Q515" i="1"/>
  <c r="Q517" i="1" s="1"/>
  <c r="O515" i="1"/>
  <c r="O516" i="1" s="1"/>
  <c r="O517" i="1" s="1"/>
  <c r="G975" i="1"/>
  <c r="R483" i="9"/>
  <c r="N484" i="9" s="1"/>
  <c r="P484" i="9" s="1"/>
  <c r="H1404" i="9" s="1"/>
  <c r="G260" i="8"/>
  <c r="H257" i="8"/>
  <c r="G257" i="8"/>
  <c r="H260" i="8"/>
  <c r="H303" i="2"/>
  <c r="O297" i="2" s="1"/>
  <c r="O298" i="2" s="1"/>
  <c r="O299" i="2" s="1"/>
  <c r="H359" i="2"/>
  <c r="B361" i="2" s="1"/>
  <c r="R621" i="2"/>
  <c r="P539" i="2"/>
  <c r="O539" i="2" s="1"/>
  <c r="Q628" i="2"/>
  <c r="Q630" i="2" s="1"/>
  <c r="S628" i="2"/>
  <c r="S630" i="2" s="1"/>
  <c r="R765" i="2"/>
  <c r="R766" i="2" s="1"/>
  <c r="G1018" i="2"/>
  <c r="Q382" i="2"/>
  <c r="O765" i="2"/>
  <c r="O766" i="2" s="1"/>
  <c r="O767" i="2" s="1"/>
  <c r="G252" i="8"/>
  <c r="H252" i="8"/>
  <c r="G255" i="8"/>
  <c r="H255" i="8"/>
  <c r="S502" i="2"/>
  <c r="Q759" i="2"/>
  <c r="O760" i="2" s="1"/>
  <c r="Q760" i="2" s="1"/>
  <c r="I295" i="8"/>
  <c r="S509" i="2"/>
  <c r="Q508" i="2"/>
  <c r="Q510" i="2" s="1"/>
  <c r="S149" i="2"/>
  <c r="Q766" i="2"/>
  <c r="O508" i="2"/>
  <c r="O509" i="2" s="1"/>
  <c r="O510" i="2" s="1"/>
  <c r="S765" i="2"/>
  <c r="S766" i="2" s="1"/>
  <c r="G1019" i="2"/>
  <c r="P765" i="2"/>
  <c r="P767" i="2" s="1"/>
  <c r="G936" i="2"/>
  <c r="G938" i="2"/>
  <c r="Q150" i="2"/>
  <c r="R758" i="2"/>
  <c r="P508" i="2"/>
  <c r="P510" i="2" s="1"/>
  <c r="O628" i="2"/>
  <c r="O629" i="2" s="1"/>
  <c r="O630" i="2" s="1"/>
  <c r="P628" i="2"/>
  <c r="P630" i="2" s="1"/>
  <c r="G1017" i="2"/>
  <c r="R508" i="2"/>
  <c r="R509" i="2" s="1"/>
  <c r="R628" i="2"/>
  <c r="R629" i="2" s="1"/>
  <c r="F613" i="2"/>
  <c r="B614" i="2" s="1"/>
  <c r="R150" i="2"/>
  <c r="S383" i="2"/>
  <c r="O384" i="2" s="1"/>
  <c r="Q384" i="2" s="1"/>
  <c r="P382" i="2"/>
  <c r="H596" i="2"/>
  <c r="Q502" i="2"/>
  <c r="P158" i="2"/>
  <c r="G1015" i="2"/>
  <c r="D317" i="8"/>
  <c r="S621" i="2"/>
  <c r="G934" i="2"/>
  <c r="R157" i="2"/>
  <c r="R158" i="2" s="1"/>
  <c r="F565" i="2"/>
  <c r="G1069" i="2" s="1"/>
  <c r="S157" i="2"/>
  <c r="S158" i="2" s="1"/>
  <c r="Q157" i="2"/>
  <c r="Q158" i="2" s="1"/>
  <c r="O157" i="2"/>
  <c r="O158" i="2" s="1"/>
  <c r="O159" i="2" s="1"/>
  <c r="H589" i="2"/>
  <c r="G1044" i="2" s="1"/>
  <c r="G249" i="8"/>
  <c r="H253" i="8"/>
  <c r="I302" i="8"/>
  <c r="G254" i="8"/>
  <c r="H251" i="8"/>
  <c r="G248" i="8"/>
  <c r="H246" i="8"/>
  <c r="G253" i="8"/>
  <c r="H249" i="8"/>
  <c r="E317" i="8"/>
  <c r="E311" i="8"/>
  <c r="H247" i="8"/>
  <c r="P550" i="2"/>
  <c r="O550" i="2" s="1"/>
  <c r="P552" i="2"/>
  <c r="O552" i="2" s="1"/>
  <c r="P551" i="2"/>
  <c r="O551" i="2" s="1"/>
  <c r="P549" i="2"/>
  <c r="O549" i="2" s="1"/>
  <c r="P542" i="2"/>
  <c r="O542" i="2" s="1"/>
  <c r="P541" i="2"/>
  <c r="O541" i="2" s="1"/>
  <c r="P538" i="2"/>
  <c r="O538" i="2" s="1"/>
  <c r="F597" i="2"/>
  <c r="F598" i="2" s="1"/>
  <c r="H602" i="2" s="1"/>
  <c r="E1002" i="2" s="1"/>
  <c r="F1002" i="2" s="1"/>
  <c r="E606" i="2"/>
  <c r="E607" i="2"/>
  <c r="F469" i="2"/>
  <c r="F470" i="2" s="1"/>
  <c r="E467" i="2"/>
  <c r="P422" i="2"/>
  <c r="O422" i="2" s="1"/>
  <c r="P421" i="2"/>
  <c r="O421" i="2" s="1"/>
  <c r="P419" i="2"/>
  <c r="O419" i="2" s="1"/>
  <c r="P418" i="2"/>
  <c r="O418" i="2" s="1"/>
  <c r="P420" i="2"/>
  <c r="O420" i="2" s="1"/>
  <c r="F408" i="2"/>
  <c r="B409" i="2" s="1"/>
  <c r="H392" i="2"/>
  <c r="F419" i="2"/>
  <c r="B420" i="2" s="1"/>
  <c r="Q390" i="2"/>
  <c r="Q391" i="2"/>
  <c r="R518" i="2"/>
  <c r="R517" i="2"/>
  <c r="Q517" i="2"/>
  <c r="Q518" i="2"/>
  <c r="P410" i="2"/>
  <c r="O410" i="2" s="1"/>
  <c r="P412" i="2"/>
  <c r="O412" i="2" s="1"/>
  <c r="P409" i="2"/>
  <c r="O409" i="2" s="1"/>
  <c r="P411" i="2"/>
  <c r="O411" i="2" s="1"/>
  <c r="P408" i="2"/>
  <c r="O408" i="2" s="1"/>
  <c r="H975" i="2"/>
  <c r="I975" i="2" s="1"/>
  <c r="F523" i="2"/>
  <c r="S391" i="2"/>
  <c r="S390" i="2"/>
  <c r="F396" i="2"/>
  <c r="H974" i="2"/>
  <c r="I974" i="2" s="1"/>
  <c r="S518" i="2"/>
  <c r="S517" i="2"/>
  <c r="D1069" i="2"/>
  <c r="F499" i="2"/>
  <c r="E437" i="2"/>
  <c r="F452" i="2"/>
  <c r="H455" i="2" s="1"/>
  <c r="F473" i="2"/>
  <c r="B474" i="2" s="1"/>
  <c r="F484" i="2"/>
  <c r="B485" i="2" s="1"/>
  <c r="H460" i="2"/>
  <c r="H479" i="2"/>
  <c r="E478" i="2"/>
  <c r="F480" i="2"/>
  <c r="F481" i="2" s="1"/>
  <c r="D1068" i="2"/>
  <c r="G373" i="2"/>
  <c r="R390" i="2"/>
  <c r="R391" i="2"/>
  <c r="E545" i="2"/>
  <c r="B546" i="2" s="1"/>
  <c r="F534" i="2"/>
  <c r="B535" i="2" s="1"/>
  <c r="H518" i="2"/>
  <c r="G1404" i="9"/>
  <c r="P966" i="9"/>
  <c r="H967" i="9" s="1"/>
  <c r="R666" i="1"/>
  <c r="Q666" i="1" s="1"/>
  <c r="R668" i="1"/>
  <c r="Q668" i="1" s="1"/>
  <c r="R676" i="1"/>
  <c r="Q676" i="1" s="1"/>
  <c r="R675" i="1"/>
  <c r="Q675" i="1" s="1"/>
  <c r="R669" i="1"/>
  <c r="Q669" i="1" s="1"/>
  <c r="R679" i="1"/>
  <c r="Q679" i="1" s="1"/>
  <c r="R667" i="1"/>
  <c r="Q667" i="1" s="1"/>
  <c r="R677" i="1"/>
  <c r="Q677" i="1" s="1"/>
  <c r="B293" i="2"/>
  <c r="R661" i="2"/>
  <c r="Q661" i="2" s="1"/>
  <c r="R673" i="2"/>
  <c r="T670" i="2" s="1"/>
  <c r="S670" i="2" s="1"/>
  <c r="R723" i="2"/>
  <c r="R724" i="2" s="1"/>
  <c r="P214" i="2"/>
  <c r="N222" i="2" s="1"/>
  <c r="M222" i="2" s="1"/>
  <c r="R806" i="2"/>
  <c r="Q806" i="2" s="1"/>
  <c r="R805" i="2"/>
  <c r="Q805" i="2" s="1"/>
  <c r="R804" i="2"/>
  <c r="Q804" i="2" s="1"/>
  <c r="B698" i="2"/>
  <c r="R802" i="2"/>
  <c r="Q802" i="2" s="1"/>
  <c r="R659" i="2"/>
  <c r="Q659" i="2" s="1"/>
  <c r="O863" i="2"/>
  <c r="Q863" i="2" s="1"/>
  <c r="H1070" i="2"/>
  <c r="C983" i="2"/>
  <c r="E983" i="2" s="1"/>
  <c r="P627" i="1"/>
  <c r="P628" i="1" s="1"/>
  <c r="P629" i="1" s="1"/>
  <c r="R627" i="1"/>
  <c r="R629" i="1" s="1"/>
  <c r="O380" i="1"/>
  <c r="O381" i="1" s="1"/>
  <c r="O382" i="1" s="1"/>
  <c r="S627" i="1"/>
  <c r="S628" i="1" s="1"/>
  <c r="Q627" i="1"/>
  <c r="Q629" i="1" s="1"/>
  <c r="B730" i="2"/>
  <c r="R658" i="2"/>
  <c r="Q658" i="2" s="1"/>
  <c r="O627" i="1"/>
  <c r="O628" i="1" s="1"/>
  <c r="O629" i="1" s="1"/>
  <c r="C976" i="1"/>
  <c r="R660" i="2"/>
  <c r="Q660" i="2" s="1"/>
  <c r="I730" i="8"/>
  <c r="S723" i="2"/>
  <c r="S724" i="2" s="1"/>
  <c r="P636" i="1"/>
  <c r="R636" i="1"/>
  <c r="S637" i="1"/>
  <c r="Q637" i="1"/>
  <c r="R810" i="1"/>
  <c r="Q810" i="1" s="1"/>
  <c r="R809" i="1"/>
  <c r="Q809" i="1" s="1"/>
  <c r="R813" i="1"/>
  <c r="Q813" i="1" s="1"/>
  <c r="R812" i="1"/>
  <c r="Q812" i="1" s="1"/>
  <c r="G897" i="1"/>
  <c r="S165" i="1"/>
  <c r="Q155" i="1"/>
  <c r="Q157" i="1" s="1"/>
  <c r="S390" i="1"/>
  <c r="R389" i="1"/>
  <c r="S774" i="1"/>
  <c r="O772" i="1"/>
  <c r="O773" i="1" s="1"/>
  <c r="O774" i="1" s="1"/>
  <c r="O870" i="1"/>
  <c r="Q870" i="1" s="1"/>
  <c r="R772" i="1"/>
  <c r="R774" i="1" s="1"/>
  <c r="Q772" i="1"/>
  <c r="Q774" i="1" s="1"/>
  <c r="P390" i="1"/>
  <c r="S766" i="1"/>
  <c r="P166" i="1"/>
  <c r="S382" i="1"/>
  <c r="P380" i="1"/>
  <c r="P381" i="1" s="1"/>
  <c r="P382" i="1" s="1"/>
  <c r="C974" i="1"/>
  <c r="H1029" i="1"/>
  <c r="Q723" i="2"/>
  <c r="Q724" i="2" s="1"/>
  <c r="C894" i="1"/>
  <c r="R380" i="1"/>
  <c r="R382" i="1" s="1"/>
  <c r="Q380" i="1"/>
  <c r="Q382" i="1" s="1"/>
  <c r="C943" i="1"/>
  <c r="E943" i="1" s="1"/>
  <c r="O733" i="2"/>
  <c r="Q733" i="2" s="1"/>
  <c r="Q166" i="1"/>
  <c r="R165" i="1"/>
  <c r="O155" i="1"/>
  <c r="O156" i="1" s="1"/>
  <c r="O157" i="1" s="1"/>
  <c r="R155" i="1"/>
  <c r="R157" i="1" s="1"/>
  <c r="B833" i="1"/>
  <c r="S155" i="1"/>
  <c r="S157" i="1" s="1"/>
  <c r="C973" i="1"/>
  <c r="P155" i="1"/>
  <c r="P156" i="1" s="1"/>
  <c r="P157" i="1" s="1"/>
  <c r="P772" i="1"/>
  <c r="P773" i="1" s="1"/>
  <c r="G977" i="1"/>
  <c r="R766" i="1"/>
  <c r="O862" i="1"/>
  <c r="Q862" i="1" s="1"/>
  <c r="H335" i="2"/>
  <c r="E1000" i="2" s="1"/>
  <c r="F1000" i="2" s="1"/>
  <c r="R796" i="2"/>
  <c r="Q796" i="2" s="1"/>
  <c r="R794" i="2"/>
  <c r="Q794" i="2" s="1"/>
  <c r="R792" i="2"/>
  <c r="Q792" i="2" s="1"/>
  <c r="R795" i="2"/>
  <c r="Q795" i="2" s="1"/>
  <c r="R793" i="2"/>
  <c r="Q793" i="2" s="1"/>
  <c r="P192" i="2"/>
  <c r="N197" i="2" s="1"/>
  <c r="M197" i="2" s="1"/>
  <c r="O784" i="2"/>
  <c r="Q784" i="2" s="1"/>
  <c r="O647" i="2"/>
  <c r="Q647" i="2" s="1"/>
  <c r="Q933" i="9"/>
  <c r="C1405" i="9"/>
  <c r="D1405" i="9"/>
  <c r="G1408" i="9"/>
  <c r="F1129" i="9"/>
  <c r="I1418" i="9" s="1"/>
  <c r="M1419" i="9"/>
  <c r="N1419" i="9" s="1"/>
  <c r="R933" i="9"/>
  <c r="P933" i="9"/>
  <c r="O934" i="9"/>
  <c r="R934" i="9"/>
  <c r="H293" i="9"/>
  <c r="H1297" i="9"/>
  <c r="E251" i="9"/>
  <c r="E1392" i="9" s="1"/>
  <c r="H731" i="8"/>
  <c r="E796" i="8"/>
  <c r="N428" i="9"/>
  <c r="N666" i="9"/>
  <c r="C666" i="9" s="1"/>
  <c r="C464" i="9"/>
  <c r="C1404" i="9" s="1"/>
  <c r="N445" i="9"/>
  <c r="C980" i="2"/>
  <c r="E980" i="2" s="1"/>
  <c r="I271" i="2"/>
  <c r="O376" i="2"/>
  <c r="Q376" i="2" s="1"/>
  <c r="S289" i="2"/>
  <c r="P289" i="2"/>
  <c r="P290" i="2" s="1"/>
  <c r="P291" i="2" s="1"/>
  <c r="C1042" i="2"/>
  <c r="R289" i="2"/>
  <c r="C960" i="2"/>
  <c r="Q289" i="2"/>
  <c r="O289" i="2"/>
  <c r="O290" i="2" s="1"/>
  <c r="O291" i="2" s="1"/>
  <c r="O623" i="2"/>
  <c r="Q623" i="2" s="1"/>
  <c r="I1482" i="9"/>
  <c r="F1395" i="9"/>
  <c r="I731" i="8"/>
  <c r="C251" i="9"/>
  <c r="D1392" i="9" s="1"/>
  <c r="P254" i="9"/>
  <c r="P274" i="9"/>
  <c r="P275" i="9" s="1"/>
  <c r="P276" i="9" s="1"/>
  <c r="N274" i="9"/>
  <c r="N275" i="9" s="1"/>
  <c r="N276" i="9" s="1"/>
  <c r="Q274" i="9"/>
  <c r="O274" i="9"/>
  <c r="O275" i="9" s="1"/>
  <c r="O276" i="9" s="1"/>
  <c r="R274" i="9"/>
  <c r="K1392" i="9"/>
  <c r="K1507" i="9"/>
  <c r="G760" i="9"/>
  <c r="G769" i="9" s="1"/>
  <c r="I769" i="9" s="1"/>
  <c r="E1427" i="9" s="1"/>
  <c r="D1129" i="9"/>
  <c r="H1418" i="9" s="1"/>
  <c r="I1151" i="9"/>
  <c r="J1419" i="9" s="1"/>
  <c r="G1483" i="9"/>
  <c r="H685" i="9"/>
  <c r="H736" i="1"/>
  <c r="E961" i="1" s="1"/>
  <c r="F961" i="1" s="1"/>
  <c r="O737" i="1"/>
  <c r="O738" i="1" s="1"/>
  <c r="S737" i="1"/>
  <c r="S738" i="1" s="1"/>
  <c r="Q729" i="1"/>
  <c r="Q730" i="1" s="1"/>
  <c r="R729" i="1"/>
  <c r="R730" i="1" s="1"/>
  <c r="H1028" i="1"/>
  <c r="C942" i="1"/>
  <c r="E942" i="1" s="1"/>
  <c r="B705" i="1"/>
  <c r="B704" i="1"/>
  <c r="S729" i="1"/>
  <c r="S730" i="1" s="1"/>
  <c r="O510" i="1"/>
  <c r="Q510" i="1" s="1"/>
  <c r="E848" i="8"/>
  <c r="E854" i="8"/>
  <c r="I732" i="8"/>
  <c r="R593" i="2" l="1"/>
  <c r="O594" i="2" s="1"/>
  <c r="Q594" i="2" s="1"/>
  <c r="B228" i="9"/>
  <c r="E1437" i="9"/>
  <c r="S159" i="2"/>
  <c r="S592" i="2"/>
  <c r="R804" i="1"/>
  <c r="T800" i="1" s="1"/>
  <c r="S800" i="1" s="1"/>
  <c r="H361" i="2"/>
  <c r="G1000" i="2" s="1"/>
  <c r="H1000" i="2" s="1"/>
  <c r="P516" i="1"/>
  <c r="O725" i="2"/>
  <c r="Q725" i="2" s="1"/>
  <c r="R517" i="1"/>
  <c r="O518" i="1" s="1"/>
  <c r="Q518" i="1" s="1"/>
  <c r="I263" i="8"/>
  <c r="I264" i="8"/>
  <c r="J264" i="8" s="1"/>
  <c r="I262" i="8"/>
  <c r="K258" i="8" s="1"/>
  <c r="I267" i="8"/>
  <c r="J267" i="8" s="1"/>
  <c r="I266" i="8"/>
  <c r="K263" i="8" s="1"/>
  <c r="I265" i="8"/>
  <c r="K261" i="8" s="1"/>
  <c r="S297" i="2"/>
  <c r="S298" i="2" s="1"/>
  <c r="S299" i="2" s="1"/>
  <c r="O578" i="2"/>
  <c r="Q578" i="2" s="1"/>
  <c r="G1042" i="2"/>
  <c r="R297" i="2"/>
  <c r="R298" i="2" s="1"/>
  <c r="R299" i="2" s="1"/>
  <c r="O586" i="2"/>
  <c r="Q586" i="2" s="1"/>
  <c r="Q297" i="2"/>
  <c r="Q298" i="2" s="1"/>
  <c r="Q299" i="2" s="1"/>
  <c r="P297" i="2"/>
  <c r="P298" i="2" s="1"/>
  <c r="P299" i="2" s="1"/>
  <c r="G960" i="2"/>
  <c r="Q516" i="1"/>
  <c r="I260" i="8"/>
  <c r="K257" i="8" s="1"/>
  <c r="I261" i="8"/>
  <c r="I259" i="8"/>
  <c r="J259" i="8" s="1"/>
  <c r="I258" i="8"/>
  <c r="I256" i="8"/>
  <c r="J256" i="8" s="1"/>
  <c r="I257" i="8"/>
  <c r="S629" i="2"/>
  <c r="P766" i="2"/>
  <c r="Q629" i="2"/>
  <c r="R630" i="2"/>
  <c r="O631" i="2" s="1"/>
  <c r="Q631" i="2" s="1"/>
  <c r="S767" i="2"/>
  <c r="P543" i="2"/>
  <c r="R542" i="2" s="1"/>
  <c r="Q542" i="2" s="1"/>
  <c r="R767" i="2"/>
  <c r="R510" i="2"/>
  <c r="O511" i="2" s="1"/>
  <c r="Q511" i="2" s="1"/>
  <c r="F1428" i="9"/>
  <c r="G1428" i="9" s="1"/>
  <c r="O503" i="2"/>
  <c r="Q503" i="2" s="1"/>
  <c r="Q509" i="2"/>
  <c r="P509" i="2"/>
  <c r="O151" i="2"/>
  <c r="Q151" i="2" s="1"/>
  <c r="H614" i="2"/>
  <c r="G1002" i="2" s="1"/>
  <c r="H1002" i="2" s="1"/>
  <c r="P629" i="2"/>
  <c r="Q599" i="2"/>
  <c r="Q600" i="2" s="1"/>
  <c r="Q601" i="2" s="1"/>
  <c r="O599" i="2"/>
  <c r="O600" i="2" s="1"/>
  <c r="O601" i="2" s="1"/>
  <c r="Q159" i="2"/>
  <c r="R159" i="2"/>
  <c r="S599" i="2"/>
  <c r="S600" i="2" s="1"/>
  <c r="S601" i="2" s="1"/>
  <c r="G962" i="2"/>
  <c r="F568" i="2"/>
  <c r="H1069" i="2" s="1"/>
  <c r="G598" i="2"/>
  <c r="R599" i="2"/>
  <c r="R600" i="2" s="1"/>
  <c r="R601" i="2" s="1"/>
  <c r="P599" i="2"/>
  <c r="P600" i="2" s="1"/>
  <c r="P601" i="2" s="1"/>
  <c r="I248" i="8"/>
  <c r="I249" i="8"/>
  <c r="K253" i="8" s="1"/>
  <c r="I247" i="8"/>
  <c r="K250" i="8" s="1"/>
  <c r="I253" i="8"/>
  <c r="I254" i="8"/>
  <c r="I255" i="8"/>
  <c r="H1406" i="9"/>
  <c r="I246" i="8"/>
  <c r="I250" i="8"/>
  <c r="I252" i="8"/>
  <c r="K252" i="8" s="1"/>
  <c r="I251" i="8"/>
  <c r="K254" i="8" s="1"/>
  <c r="P553" i="2"/>
  <c r="P423" i="2"/>
  <c r="R419" i="2" s="1"/>
  <c r="Q419" i="2" s="1"/>
  <c r="O392" i="2"/>
  <c r="Q392" i="2" s="1"/>
  <c r="O519" i="2"/>
  <c r="Q519" i="2" s="1"/>
  <c r="G961" i="2"/>
  <c r="R466" i="2"/>
  <c r="R467" i="2" s="1"/>
  <c r="R468" i="2" s="1"/>
  <c r="Q466" i="2"/>
  <c r="Q467" i="2" s="1"/>
  <c r="Q468" i="2" s="1"/>
  <c r="P466" i="2"/>
  <c r="P467" i="2" s="1"/>
  <c r="P468" i="2" s="1"/>
  <c r="O466" i="2"/>
  <c r="O467" i="2" s="1"/>
  <c r="O468" i="2" s="1"/>
  <c r="S466" i="2"/>
  <c r="G1043" i="2"/>
  <c r="P397" i="2"/>
  <c r="P398" i="2" s="1"/>
  <c r="P399" i="2" s="1"/>
  <c r="G1036" i="2"/>
  <c r="R397" i="2"/>
  <c r="R398" i="2" s="1"/>
  <c r="R399" i="2" s="1"/>
  <c r="Q397" i="2"/>
  <c r="Q398" i="2" s="1"/>
  <c r="Q399" i="2" s="1"/>
  <c r="S397" i="2"/>
  <c r="S398" i="2" s="1"/>
  <c r="S399" i="2" s="1"/>
  <c r="O397" i="2"/>
  <c r="G954" i="2"/>
  <c r="H474" i="2"/>
  <c r="E1001" i="2" s="1"/>
  <c r="F1001" i="2" s="1"/>
  <c r="G470" i="2"/>
  <c r="H485" i="2"/>
  <c r="G1001" i="2" s="1"/>
  <c r="H1001" i="2" s="1"/>
  <c r="G481" i="2"/>
  <c r="C975" i="2"/>
  <c r="E975" i="2" s="1"/>
  <c r="B501" i="2"/>
  <c r="B502" i="2"/>
  <c r="E1069" i="2"/>
  <c r="E440" i="2"/>
  <c r="G1068" i="2"/>
  <c r="E1068" i="2"/>
  <c r="C375" i="2"/>
  <c r="C974" i="2"/>
  <c r="E974" i="2" s="1"/>
  <c r="R457" i="2"/>
  <c r="Q457" i="2"/>
  <c r="C1043" i="2"/>
  <c r="O457" i="2"/>
  <c r="O458" i="2" s="1"/>
  <c r="O459" i="2" s="1"/>
  <c r="S457" i="2"/>
  <c r="P457" i="2"/>
  <c r="P458" i="2" s="1"/>
  <c r="P459" i="2" s="1"/>
  <c r="C961" i="2"/>
  <c r="G955" i="2"/>
  <c r="R524" i="2"/>
  <c r="R525" i="2" s="1"/>
  <c r="R526" i="2" s="1"/>
  <c r="O524" i="2"/>
  <c r="O525" i="2" s="1"/>
  <c r="O526" i="2" s="1"/>
  <c r="P524" i="2"/>
  <c r="P525" i="2" s="1"/>
  <c r="P526" i="2" s="1"/>
  <c r="S524" i="2"/>
  <c r="G1037" i="2"/>
  <c r="Q524" i="2"/>
  <c r="Q525" i="2" s="1"/>
  <c r="Q526" i="2" s="1"/>
  <c r="P413" i="2"/>
  <c r="T669" i="2"/>
  <c r="S669" i="2" s="1"/>
  <c r="R670" i="1"/>
  <c r="T668" i="1" s="1"/>
  <c r="S668" i="1" s="1"/>
  <c r="R680" i="1"/>
  <c r="T675" i="1" s="1"/>
  <c r="S675" i="1" s="1"/>
  <c r="T671" i="2"/>
  <c r="S671" i="2" s="1"/>
  <c r="O167" i="1"/>
  <c r="Q167" i="1" s="1"/>
  <c r="O767" i="1"/>
  <c r="Q767" i="1" s="1"/>
  <c r="R814" i="1"/>
  <c r="T809" i="1" s="1"/>
  <c r="S809" i="1" s="1"/>
  <c r="R807" i="2"/>
  <c r="T806" i="2" s="1"/>
  <c r="S806" i="2" s="1"/>
  <c r="T668" i="2"/>
  <c r="S668" i="2" s="1"/>
  <c r="T672" i="2"/>
  <c r="S672" i="2" s="1"/>
  <c r="N220" i="2"/>
  <c r="M220" i="2" s="1"/>
  <c r="N223" i="2"/>
  <c r="M223" i="2" s="1"/>
  <c r="N221" i="2"/>
  <c r="M221" i="2" s="1"/>
  <c r="N219" i="2"/>
  <c r="M219" i="2" s="1"/>
  <c r="S629" i="1"/>
  <c r="O630" i="1" s="1"/>
  <c r="Q630" i="1" s="1"/>
  <c r="Q156" i="1"/>
  <c r="N199" i="2"/>
  <c r="M199" i="2" s="1"/>
  <c r="N200" i="2"/>
  <c r="M200" i="2" s="1"/>
  <c r="Q628" i="1"/>
  <c r="R628" i="1"/>
  <c r="N201" i="2"/>
  <c r="M201" i="2" s="1"/>
  <c r="O638" i="1"/>
  <c r="Q638" i="1" s="1"/>
  <c r="N198" i="2"/>
  <c r="M198" i="2" s="1"/>
  <c r="R663" i="2"/>
  <c r="Q381" i="1"/>
  <c r="R773" i="1"/>
  <c r="O158" i="1"/>
  <c r="Q158" i="1" s="1"/>
  <c r="P774" i="1"/>
  <c r="O775" i="1" s="1"/>
  <c r="Q775" i="1" s="1"/>
  <c r="Q773" i="1"/>
  <c r="O383" i="1"/>
  <c r="Q383" i="1" s="1"/>
  <c r="O391" i="1"/>
  <c r="Q391" i="1" s="1"/>
  <c r="S156" i="1"/>
  <c r="R381" i="1"/>
  <c r="R156" i="1"/>
  <c r="R797" i="2"/>
  <c r="I1406" i="9"/>
  <c r="O291" i="9"/>
  <c r="O292" i="9" s="1"/>
  <c r="F1403" i="9"/>
  <c r="G1481" i="9"/>
  <c r="E1405" i="9"/>
  <c r="I1408" i="9"/>
  <c r="M1418" i="9"/>
  <c r="N1418" i="9" s="1"/>
  <c r="N935" i="9"/>
  <c r="P935" i="9" s="1"/>
  <c r="D1406" i="9" s="1"/>
  <c r="O1507" i="9"/>
  <c r="R291" i="9"/>
  <c r="R292" i="9" s="1"/>
  <c r="P291" i="9"/>
  <c r="P293" i="9" s="1"/>
  <c r="N291" i="9"/>
  <c r="N292" i="9" s="1"/>
  <c r="N293" i="9" s="1"/>
  <c r="Q291" i="9"/>
  <c r="H1483" i="9"/>
  <c r="K1483" i="9" s="1"/>
  <c r="L1483" i="9" s="1"/>
  <c r="P445" i="9"/>
  <c r="H1393" i="9"/>
  <c r="P428" i="9"/>
  <c r="E428" i="9" s="1"/>
  <c r="E1393" i="9" s="1"/>
  <c r="C428" i="9"/>
  <c r="D1393" i="9" s="1"/>
  <c r="H254" i="9"/>
  <c r="P666" i="9"/>
  <c r="E666" i="9" s="1"/>
  <c r="H251" i="9"/>
  <c r="I1479" i="9" s="1"/>
  <c r="G560" i="9"/>
  <c r="H464" i="9"/>
  <c r="E1404" i="9" s="1"/>
  <c r="G561" i="9"/>
  <c r="Q290" i="2"/>
  <c r="Q291" i="2" s="1"/>
  <c r="R290" i="2"/>
  <c r="R291" i="2"/>
  <c r="S291" i="2"/>
  <c r="S290" i="2"/>
  <c r="Q276" i="9"/>
  <c r="Q275" i="9"/>
  <c r="H1437" i="9"/>
  <c r="J1437" i="9" s="1"/>
  <c r="B233" i="9"/>
  <c r="H1392" i="9"/>
  <c r="R276" i="9"/>
  <c r="R275" i="9"/>
  <c r="D1394" i="9"/>
  <c r="I761" i="9"/>
  <c r="F1524" i="9" s="1"/>
  <c r="G1524" i="9" s="1"/>
  <c r="E1174" i="9"/>
  <c r="I1129" i="9"/>
  <c r="J1418" i="9" s="1"/>
  <c r="H1482" i="9"/>
  <c r="L1524" i="9"/>
  <c r="N1524" i="9" s="1"/>
  <c r="L1417" i="9"/>
  <c r="O731" i="1"/>
  <c r="Q731" i="1" s="1"/>
  <c r="O739" i="1"/>
  <c r="Q739" i="1" s="1"/>
  <c r="T803" i="1" l="1"/>
  <c r="S803" i="1" s="1"/>
  <c r="T801" i="1"/>
  <c r="S801" i="1" s="1"/>
  <c r="T802" i="1"/>
  <c r="S802" i="1" s="1"/>
  <c r="T799" i="1"/>
  <c r="S799" i="1" s="1"/>
  <c r="J261" i="8"/>
  <c r="K265" i="8"/>
  <c r="J258" i="8"/>
  <c r="K262" i="8"/>
  <c r="J266" i="8"/>
  <c r="J265" i="8"/>
  <c r="K266" i="8"/>
  <c r="J263" i="8"/>
  <c r="J262" i="8"/>
  <c r="B570" i="2"/>
  <c r="O300" i="2"/>
  <c r="Q300" i="2" s="1"/>
  <c r="J260" i="8"/>
  <c r="K255" i="8"/>
  <c r="L254" i="8" s="1"/>
  <c r="N251" i="8" s="1"/>
  <c r="J257" i="8"/>
  <c r="K260" i="8"/>
  <c r="R539" i="2"/>
  <c r="Q539" i="2" s="1"/>
  <c r="R541" i="2"/>
  <c r="Q541" i="2" s="1"/>
  <c r="R538" i="2"/>
  <c r="Q538" i="2" s="1"/>
  <c r="R540" i="2"/>
  <c r="Q540" i="2" s="1"/>
  <c r="O768" i="2"/>
  <c r="Q768" i="2" s="1"/>
  <c r="O160" i="2"/>
  <c r="Q160" i="2" s="1"/>
  <c r="O602" i="2"/>
  <c r="Q602" i="2" s="1"/>
  <c r="C982" i="2"/>
  <c r="E982" i="2" s="1"/>
  <c r="B571" i="2"/>
  <c r="J247" i="8"/>
  <c r="J251" i="8"/>
  <c r="K247" i="8"/>
  <c r="J250" i="8"/>
  <c r="K256" i="8"/>
  <c r="J252" i="8"/>
  <c r="J253" i="8"/>
  <c r="K249" i="8"/>
  <c r="K246" i="8"/>
  <c r="J248" i="8"/>
  <c r="J249" i="8"/>
  <c r="K251" i="8"/>
  <c r="L251" i="8" s="1"/>
  <c r="N254" i="8" s="1"/>
  <c r="J254" i="8"/>
  <c r="K248" i="8"/>
  <c r="J246" i="8"/>
  <c r="K259" i="8"/>
  <c r="J255" i="8"/>
  <c r="R548" i="2"/>
  <c r="Q548" i="2" s="1"/>
  <c r="R552" i="2"/>
  <c r="Q552" i="2" s="1"/>
  <c r="R550" i="2"/>
  <c r="Q550" i="2" s="1"/>
  <c r="R551" i="2"/>
  <c r="Q551" i="2" s="1"/>
  <c r="R549" i="2"/>
  <c r="Q549" i="2" s="1"/>
  <c r="R421" i="2"/>
  <c r="Q421" i="2" s="1"/>
  <c r="R420" i="2"/>
  <c r="Q420" i="2" s="1"/>
  <c r="R422" i="2"/>
  <c r="Q422" i="2" s="1"/>
  <c r="R418" i="2"/>
  <c r="Q418" i="2" s="1"/>
  <c r="S525" i="2"/>
  <c r="S526" i="2" s="1"/>
  <c r="O527" i="2" s="1"/>
  <c r="Q527" i="2" s="1"/>
  <c r="R458" i="2"/>
  <c r="R459" i="2" s="1"/>
  <c r="Q458" i="2"/>
  <c r="Q459" i="2" s="1"/>
  <c r="R409" i="2"/>
  <c r="Q409" i="2" s="1"/>
  <c r="R408" i="2"/>
  <c r="Q408" i="2" s="1"/>
  <c r="R410" i="2"/>
  <c r="Q410" i="2" s="1"/>
  <c r="R411" i="2"/>
  <c r="Q411" i="2" s="1"/>
  <c r="R412" i="2"/>
  <c r="Q412" i="2" s="1"/>
  <c r="H1068" i="2"/>
  <c r="B442" i="2"/>
  <c r="C981" i="2"/>
  <c r="E981" i="2" s="1"/>
  <c r="B443" i="2"/>
  <c r="O398" i="2"/>
  <c r="O399" i="2" s="1"/>
  <c r="O400" i="2" s="1"/>
  <c r="Q400" i="2" s="1"/>
  <c r="S458" i="2"/>
  <c r="S459" i="2"/>
  <c r="S467" i="2"/>
  <c r="S468" i="2" s="1"/>
  <c r="O469" i="2" s="1"/>
  <c r="Q469" i="2" s="1"/>
  <c r="T679" i="1"/>
  <c r="S679" i="1" s="1"/>
  <c r="T667" i="1"/>
  <c r="S667" i="1" s="1"/>
  <c r="T669" i="1"/>
  <c r="S669" i="1" s="1"/>
  <c r="T665" i="1"/>
  <c r="S665" i="1" s="1"/>
  <c r="T666" i="1"/>
  <c r="S666" i="1" s="1"/>
  <c r="T677" i="1"/>
  <c r="S677" i="1" s="1"/>
  <c r="T676" i="1"/>
  <c r="S676" i="1" s="1"/>
  <c r="T678" i="1"/>
  <c r="S678" i="1" s="1"/>
  <c r="T812" i="1"/>
  <c r="S812" i="1" s="1"/>
  <c r="T804" i="2"/>
  <c r="S804" i="2" s="1"/>
  <c r="T673" i="2"/>
  <c r="F669" i="2" s="1"/>
  <c r="F670" i="2" s="1"/>
  <c r="F671" i="2" s="1"/>
  <c r="G671" i="2" s="1"/>
  <c r="N202" i="2"/>
  <c r="P201" i="2" s="1"/>
  <c r="O201" i="2" s="1"/>
  <c r="T802" i="2"/>
  <c r="S802" i="2" s="1"/>
  <c r="T805" i="2"/>
  <c r="S805" i="2" s="1"/>
  <c r="T813" i="1"/>
  <c r="S813" i="1" s="1"/>
  <c r="T803" i="2"/>
  <c r="S803" i="2" s="1"/>
  <c r="T811" i="1"/>
  <c r="S811" i="1" s="1"/>
  <c r="T810" i="1"/>
  <c r="S810" i="1" s="1"/>
  <c r="N224" i="2"/>
  <c r="P220" i="2" s="1"/>
  <c r="O220" i="2" s="1"/>
  <c r="T658" i="2"/>
  <c r="S658" i="2" s="1"/>
  <c r="T661" i="2"/>
  <c r="S661" i="2" s="1"/>
  <c r="T659" i="2"/>
  <c r="S659" i="2" s="1"/>
  <c r="T662" i="2"/>
  <c r="S662" i="2" s="1"/>
  <c r="T660" i="2"/>
  <c r="S660" i="2" s="1"/>
  <c r="T795" i="2"/>
  <c r="S795" i="2" s="1"/>
  <c r="T793" i="2"/>
  <c r="S793" i="2" s="1"/>
  <c r="T796" i="2"/>
  <c r="S796" i="2" s="1"/>
  <c r="T794" i="2"/>
  <c r="S794" i="2" s="1"/>
  <c r="T792" i="2"/>
  <c r="S792" i="2" s="1"/>
  <c r="H485" i="9"/>
  <c r="O293" i="9"/>
  <c r="E1394" i="9"/>
  <c r="H666" i="9"/>
  <c r="I1481" i="9" s="1"/>
  <c r="K1481" i="9" s="1"/>
  <c r="L1481" i="9" s="1"/>
  <c r="R293" i="9"/>
  <c r="P292" i="9"/>
  <c r="Q293" i="9"/>
  <c r="Q292" i="9"/>
  <c r="H445" i="9"/>
  <c r="J1393" i="9" s="1"/>
  <c r="I1392" i="9"/>
  <c r="F1392" i="9"/>
  <c r="H428" i="9"/>
  <c r="I1480" i="9" s="1"/>
  <c r="G570" i="9"/>
  <c r="I570" i="9" s="1"/>
  <c r="E1426" i="9" s="1"/>
  <c r="G1480" i="9"/>
  <c r="H563" i="9"/>
  <c r="F1416" i="9" s="1"/>
  <c r="G1416" i="9" s="1"/>
  <c r="O292" i="2"/>
  <c r="Q292" i="2" s="1"/>
  <c r="N277" i="9"/>
  <c r="P277" i="9" s="1"/>
  <c r="E278" i="9" s="1"/>
  <c r="D1403" i="9" s="1"/>
  <c r="J1392" i="9"/>
  <c r="J1479" i="9"/>
  <c r="F1417" i="9"/>
  <c r="G1417" i="9" s="1"/>
  <c r="G763" i="9"/>
  <c r="I763" i="9" s="1"/>
  <c r="P763" i="9" s="1"/>
  <c r="E1173" i="9"/>
  <c r="T804" i="1" l="1"/>
  <c r="F792" i="1" s="1"/>
  <c r="F793" i="1" s="1"/>
  <c r="F794" i="1" s="1"/>
  <c r="G794" i="1" s="1"/>
  <c r="H1480" i="9"/>
  <c r="I1404" i="9"/>
  <c r="L263" i="8"/>
  <c r="N266" i="8" s="1"/>
  <c r="L262" i="8"/>
  <c r="N258" i="8" s="1"/>
  <c r="L264" i="8"/>
  <c r="M264" i="8" s="1"/>
  <c r="L266" i="8"/>
  <c r="N263" i="8" s="1"/>
  <c r="L265" i="8"/>
  <c r="N261" i="8" s="1"/>
  <c r="L267" i="8"/>
  <c r="M267" i="8" s="1"/>
  <c r="L255" i="8"/>
  <c r="N259" i="8" s="1"/>
  <c r="L253" i="8"/>
  <c r="M253" i="8" s="1"/>
  <c r="E1176" i="9"/>
  <c r="G1488" i="9" s="1"/>
  <c r="K1488" i="9" s="1"/>
  <c r="L1488" i="9" s="1"/>
  <c r="R543" i="2"/>
  <c r="T542" i="2" s="1"/>
  <c r="S542" i="2" s="1"/>
  <c r="L252" i="8"/>
  <c r="N256" i="8" s="1"/>
  <c r="L249" i="8"/>
  <c r="M249" i="8" s="1"/>
  <c r="M254" i="8"/>
  <c r="L260" i="8"/>
  <c r="L259" i="8"/>
  <c r="L261" i="8"/>
  <c r="M251" i="8"/>
  <c r="L246" i="8"/>
  <c r="N248" i="8" s="1"/>
  <c r="L247" i="8"/>
  <c r="L258" i="8"/>
  <c r="L256" i="8"/>
  <c r="L257" i="8"/>
  <c r="L250" i="8"/>
  <c r="L248" i="8"/>
  <c r="N246" i="8" s="1"/>
  <c r="R553" i="2"/>
  <c r="O460" i="2"/>
  <c r="Q460" i="2" s="1"/>
  <c r="R423" i="2"/>
  <c r="R413" i="2"/>
  <c r="T680" i="1"/>
  <c r="F676" i="1" s="1"/>
  <c r="F677" i="1" s="1"/>
  <c r="F678" i="1" s="1"/>
  <c r="G678" i="1" s="1"/>
  <c r="T670" i="1"/>
  <c r="F665" i="1" s="1"/>
  <c r="F666" i="1" s="1"/>
  <c r="F667" i="1" s="1"/>
  <c r="H671" i="1" s="1"/>
  <c r="E954" i="1" s="1"/>
  <c r="F954" i="1" s="1"/>
  <c r="T814" i="1"/>
  <c r="F803" i="1" s="1"/>
  <c r="E804" i="1" s="1"/>
  <c r="E805" i="1" s="1"/>
  <c r="F805" i="1" s="1"/>
  <c r="T807" i="2"/>
  <c r="F796" i="2" s="1"/>
  <c r="E797" i="2" s="1"/>
  <c r="E798" i="2" s="1"/>
  <c r="H802" i="2" s="1"/>
  <c r="G997" i="2" s="1"/>
  <c r="H997" i="2" s="1"/>
  <c r="P198" i="2"/>
  <c r="O198" i="2" s="1"/>
  <c r="P197" i="2"/>
  <c r="O197" i="2" s="1"/>
  <c r="P199" i="2"/>
  <c r="O199" i="2" s="1"/>
  <c r="H675" i="2"/>
  <c r="G996" i="2" s="1"/>
  <c r="H996" i="2" s="1"/>
  <c r="P219" i="2"/>
  <c r="O219" i="2" s="1"/>
  <c r="P222" i="2"/>
  <c r="O222" i="2" s="1"/>
  <c r="P200" i="2"/>
  <c r="O200" i="2" s="1"/>
  <c r="P221" i="2"/>
  <c r="O221" i="2" s="1"/>
  <c r="P223" i="2"/>
  <c r="O223" i="2" s="1"/>
  <c r="T663" i="2"/>
  <c r="F658" i="2" s="1"/>
  <c r="F659" i="2" s="1"/>
  <c r="F660" i="2" s="1"/>
  <c r="G660" i="2" s="1"/>
  <c r="T797" i="2"/>
  <c r="F785" i="2" s="1"/>
  <c r="F786" i="2" s="1"/>
  <c r="F787" i="2" s="1"/>
  <c r="L1523" i="9"/>
  <c r="N1523" i="9" s="1"/>
  <c r="L1416" i="9"/>
  <c r="C1406" i="9"/>
  <c r="H935" i="9"/>
  <c r="N294" i="9"/>
  <c r="P294" i="9" s="1"/>
  <c r="I1393" i="9"/>
  <c r="F1394" i="9"/>
  <c r="F1393" i="9"/>
  <c r="F1523" i="9"/>
  <c r="G1523" i="9" s="1"/>
  <c r="G564" i="9"/>
  <c r="I564" i="9" s="1"/>
  <c r="J1480" i="9"/>
  <c r="C278" i="9"/>
  <c r="C1403" i="9" s="1"/>
  <c r="N763" i="9"/>
  <c r="N765" i="9" s="1"/>
  <c r="Q763" i="9"/>
  <c r="Q764" i="9" s="1"/>
  <c r="O763" i="9"/>
  <c r="O765" i="9" s="1"/>
  <c r="R763" i="9"/>
  <c r="R764" i="9" s="1"/>
  <c r="P765" i="9"/>
  <c r="P764" i="9"/>
  <c r="K1480" i="9" l="1"/>
  <c r="L1480" i="9" s="1"/>
  <c r="N255" i="8"/>
  <c r="H798" i="1"/>
  <c r="E955" i="1" s="1"/>
  <c r="F955" i="1" s="1"/>
  <c r="M263" i="8"/>
  <c r="M261" i="8"/>
  <c r="N265" i="8"/>
  <c r="M266" i="8"/>
  <c r="M262" i="8"/>
  <c r="M258" i="8"/>
  <c r="N262" i="8"/>
  <c r="M265" i="8"/>
  <c r="N249" i="8"/>
  <c r="O248" i="8" s="1"/>
  <c r="M255" i="8"/>
  <c r="M257" i="8"/>
  <c r="N260" i="8"/>
  <c r="T538" i="2"/>
  <c r="S538" i="2" s="1"/>
  <c r="T540" i="2"/>
  <c r="S540" i="2" s="1"/>
  <c r="T541" i="2"/>
  <c r="S541" i="2" s="1"/>
  <c r="T539" i="2"/>
  <c r="S539" i="2" s="1"/>
  <c r="N253" i="8"/>
  <c r="M252" i="8"/>
  <c r="N252" i="8"/>
  <c r="M246" i="8"/>
  <c r="M256" i="8"/>
  <c r="N257" i="8"/>
  <c r="M260" i="8"/>
  <c r="M259" i="8"/>
  <c r="M248" i="8"/>
  <c r="N250" i="8"/>
  <c r="M247" i="8"/>
  <c r="M250" i="8"/>
  <c r="N247" i="8"/>
  <c r="O246" i="8" s="1"/>
  <c r="T549" i="2"/>
  <c r="S549" i="2" s="1"/>
  <c r="T551" i="2"/>
  <c r="S551" i="2" s="1"/>
  <c r="T550" i="2"/>
  <c r="S550" i="2" s="1"/>
  <c r="T552" i="2"/>
  <c r="S552" i="2" s="1"/>
  <c r="T548" i="2"/>
  <c r="S548" i="2" s="1"/>
  <c r="T420" i="2"/>
  <c r="S420" i="2" s="1"/>
  <c r="T418" i="2"/>
  <c r="S418" i="2" s="1"/>
  <c r="T419" i="2"/>
  <c r="S419" i="2" s="1"/>
  <c r="T422" i="2"/>
  <c r="S422" i="2" s="1"/>
  <c r="T421" i="2"/>
  <c r="S421" i="2" s="1"/>
  <c r="T408" i="2"/>
  <c r="S408" i="2" s="1"/>
  <c r="T410" i="2"/>
  <c r="S410" i="2" s="1"/>
  <c r="T411" i="2"/>
  <c r="S411" i="2" s="1"/>
  <c r="T412" i="2"/>
  <c r="S412" i="2" s="1"/>
  <c r="T409" i="2"/>
  <c r="S409" i="2" s="1"/>
  <c r="H682" i="1"/>
  <c r="G954" i="1" s="1"/>
  <c r="H954" i="1" s="1"/>
  <c r="G667" i="1"/>
  <c r="F798" i="2"/>
  <c r="H809" i="1"/>
  <c r="G955" i="1" s="1"/>
  <c r="H955" i="1" s="1"/>
  <c r="P202" i="2"/>
  <c r="G199" i="2" s="1"/>
  <c r="G203" i="2" s="1"/>
  <c r="B205" i="2" s="1"/>
  <c r="P224" i="2"/>
  <c r="H224" i="2" s="1"/>
  <c r="G228" i="2" s="1"/>
  <c r="G230" i="2" s="1"/>
  <c r="G231" i="2" s="1"/>
  <c r="E232" i="2" s="1"/>
  <c r="H664" i="2"/>
  <c r="E996" i="2" s="1"/>
  <c r="F996" i="2" s="1"/>
  <c r="H791" i="2"/>
  <c r="E997" i="2" s="1"/>
  <c r="F997" i="2" s="1"/>
  <c r="G787" i="2"/>
  <c r="E1406" i="9"/>
  <c r="H1403" i="9"/>
  <c r="G1482" i="9"/>
  <c r="K1482" i="9" s="1"/>
  <c r="L1482" i="9" s="1"/>
  <c r="H278" i="9"/>
  <c r="P766" i="9"/>
  <c r="P566" i="9"/>
  <c r="Q566" i="9"/>
  <c r="O566" i="9"/>
  <c r="N566" i="9"/>
  <c r="R566" i="9"/>
  <c r="Q765" i="9"/>
  <c r="Q766" i="9" s="1"/>
  <c r="O764" i="9"/>
  <c r="O766" i="9" s="1"/>
  <c r="R765" i="9"/>
  <c r="R766" i="9" s="1"/>
  <c r="N764" i="9"/>
  <c r="N766" i="9" s="1"/>
  <c r="O254" i="8" l="1"/>
  <c r="P254" i="8" s="1"/>
  <c r="E308" i="8" s="1"/>
  <c r="O249" i="8"/>
  <c r="P249" i="8" s="1"/>
  <c r="D298" i="8" s="1"/>
  <c r="O265" i="8"/>
  <c r="P265" i="8" s="1"/>
  <c r="O266" i="8"/>
  <c r="P266" i="8" s="1"/>
  <c r="O267" i="8"/>
  <c r="P267" i="8" s="1"/>
  <c r="D301" i="8" s="1"/>
  <c r="O263" i="8"/>
  <c r="P263" i="8" s="1"/>
  <c r="O264" i="8"/>
  <c r="P264" i="8" s="1"/>
  <c r="D294" i="8" s="1"/>
  <c r="O262" i="8"/>
  <c r="P262" i="8" s="1"/>
  <c r="O260" i="8"/>
  <c r="P260" i="8" s="1"/>
  <c r="O259" i="8"/>
  <c r="P259" i="8" s="1"/>
  <c r="O261" i="8"/>
  <c r="P261" i="8" s="1"/>
  <c r="D300" i="8" s="1"/>
  <c r="T543" i="2"/>
  <c r="F529" i="2" s="1"/>
  <c r="F530" i="2" s="1"/>
  <c r="F531" i="2" s="1"/>
  <c r="H535" i="2" s="1"/>
  <c r="E995" i="2" s="1"/>
  <c r="F995" i="2" s="1"/>
  <c r="O255" i="8"/>
  <c r="P255" i="8" s="1"/>
  <c r="D299" i="8" s="1"/>
  <c r="O253" i="8"/>
  <c r="P253" i="8" s="1"/>
  <c r="P248" i="8"/>
  <c r="E305" i="8" s="1"/>
  <c r="E332" i="8" s="1"/>
  <c r="E558" i="8" s="1"/>
  <c r="P246" i="8"/>
  <c r="D305" i="8" s="1"/>
  <c r="E331" i="8" s="1"/>
  <c r="T413" i="2"/>
  <c r="F403" i="2" s="1"/>
  <c r="F404" i="2" s="1"/>
  <c r="F405" i="2" s="1"/>
  <c r="H409" i="2" s="1"/>
  <c r="E994" i="2" s="1"/>
  <c r="F994" i="2" s="1"/>
  <c r="O258" i="8"/>
  <c r="P258" i="8" s="1"/>
  <c r="D293" i="8" s="1"/>
  <c r="O257" i="8"/>
  <c r="P257" i="8" s="1"/>
  <c r="O256" i="8"/>
  <c r="P256" i="8" s="1"/>
  <c r="O247" i="8"/>
  <c r="P247" i="8" s="1"/>
  <c r="D291" i="8" s="1"/>
  <c r="O252" i="8"/>
  <c r="P252" i="8" s="1"/>
  <c r="D292" i="8" s="1"/>
  <c r="O251" i="8"/>
  <c r="P251" i="8" s="1"/>
  <c r="O250" i="8"/>
  <c r="P250" i="8" s="1"/>
  <c r="T553" i="2"/>
  <c r="F540" i="2" s="1"/>
  <c r="F541" i="2" s="1"/>
  <c r="F542" i="2" s="1"/>
  <c r="T423" i="2"/>
  <c r="F414" i="2" s="1"/>
  <c r="F415" i="2" s="1"/>
  <c r="F416" i="2" s="1"/>
  <c r="B230" i="2"/>
  <c r="G1403" i="9"/>
  <c r="G1479" i="9"/>
  <c r="E1403" i="9"/>
  <c r="H294" i="9"/>
  <c r="G205" i="2"/>
  <c r="G206" i="2" s="1"/>
  <c r="C207" i="2" s="1"/>
  <c r="I211" i="2" s="1"/>
  <c r="E993" i="2" s="1"/>
  <c r="F993" i="2" s="1"/>
  <c r="R567" i="9"/>
  <c r="R568" i="9"/>
  <c r="Q567" i="9"/>
  <c r="Q568" i="9"/>
  <c r="O567" i="9"/>
  <c r="O568" i="9"/>
  <c r="P568" i="9"/>
  <c r="P567" i="9"/>
  <c r="N568" i="9"/>
  <c r="N567" i="9"/>
  <c r="P767" i="9"/>
  <c r="N767" i="9" s="1"/>
  <c r="F232" i="2"/>
  <c r="E314" i="8" l="1"/>
  <c r="E298" i="8"/>
  <c r="F298" i="8" s="1"/>
  <c r="H298" i="8" s="1"/>
  <c r="I298" i="8" s="1"/>
  <c r="E300" i="8"/>
  <c r="F300" i="8" s="1"/>
  <c r="E294" i="8"/>
  <c r="I294" i="8"/>
  <c r="D310" i="8"/>
  <c r="D316" i="8"/>
  <c r="E316" i="8"/>
  <c r="E310" i="8"/>
  <c r="I301" i="8"/>
  <c r="E301" i="8"/>
  <c r="E309" i="8"/>
  <c r="E315" i="8"/>
  <c r="E299" i="8"/>
  <c r="F299" i="8" s="1"/>
  <c r="H236" i="2"/>
  <c r="G993" i="2" s="1"/>
  <c r="H993" i="2" s="1"/>
  <c r="G531" i="2"/>
  <c r="G628" i="8"/>
  <c r="E877" i="8" s="1"/>
  <c r="E291" i="8"/>
  <c r="F291" i="8" s="1"/>
  <c r="H291" i="8" s="1"/>
  <c r="I291" i="8" s="1"/>
  <c r="F305" i="8"/>
  <c r="G305" i="8" s="1"/>
  <c r="E342" i="8" s="1"/>
  <c r="E562" i="8" s="1"/>
  <c r="G405" i="2"/>
  <c r="E292" i="8"/>
  <c r="F292" i="8" s="1"/>
  <c r="D314" i="8"/>
  <c r="D308" i="8"/>
  <c r="F308" i="8" s="1"/>
  <c r="E559" i="8"/>
  <c r="E835" i="8" s="1"/>
  <c r="E834" i="8"/>
  <c r="E293" i="8"/>
  <c r="F293" i="8" s="1"/>
  <c r="E539" i="8"/>
  <c r="G624" i="8"/>
  <c r="D309" i="8"/>
  <c r="D315" i="8"/>
  <c r="H546" i="2"/>
  <c r="G995" i="2" s="1"/>
  <c r="H995" i="2" s="1"/>
  <c r="G542" i="2"/>
  <c r="H420" i="2"/>
  <c r="G994" i="2" s="1"/>
  <c r="H994" i="2" s="1"/>
  <c r="G416" i="2"/>
  <c r="H1479" i="9"/>
  <c r="K1479" i="9" s="1"/>
  <c r="L1479" i="9" s="1"/>
  <c r="I1403" i="9"/>
  <c r="D207" i="2"/>
  <c r="N569" i="9"/>
  <c r="O569" i="9"/>
  <c r="R569" i="9"/>
  <c r="P569" i="9"/>
  <c r="Q569" i="9"/>
  <c r="F770" i="9"/>
  <c r="I1417" i="9" s="1"/>
  <c r="H1417" i="9"/>
  <c r="G298" i="8" l="1"/>
  <c r="F314" i="8"/>
  <c r="G314" i="8" s="1"/>
  <c r="F316" i="8"/>
  <c r="G316" i="8" s="1"/>
  <c r="G293" i="8"/>
  <c r="H293" i="8"/>
  <c r="I293" i="8" s="1"/>
  <c r="H300" i="8"/>
  <c r="I300" i="8" s="1"/>
  <c r="G300" i="8"/>
  <c r="F310" i="8"/>
  <c r="I327" i="8"/>
  <c r="G299" i="8"/>
  <c r="H299" i="8"/>
  <c r="I299" i="8" s="1"/>
  <c r="F315" i="8"/>
  <c r="F309" i="8"/>
  <c r="H305" i="8"/>
  <c r="H601" i="8" s="1"/>
  <c r="E862" i="8" s="1"/>
  <c r="G630" i="8"/>
  <c r="E878" i="8" s="1"/>
  <c r="E341" i="8"/>
  <c r="E543" i="8" s="1"/>
  <c r="E544" i="8" s="1"/>
  <c r="E830" i="8" s="1"/>
  <c r="G291" i="8"/>
  <c r="E326" i="8"/>
  <c r="F423" i="8" s="1"/>
  <c r="F425" i="8" s="1"/>
  <c r="H292" i="8"/>
  <c r="I292" i="8" s="1"/>
  <c r="G292" i="8"/>
  <c r="E875" i="8"/>
  <c r="G626" i="8"/>
  <c r="E836" i="8"/>
  <c r="E563" i="8"/>
  <c r="F1427" i="9"/>
  <c r="G1427" i="9" s="1"/>
  <c r="E827" i="8"/>
  <c r="E540" i="8"/>
  <c r="G308" i="8"/>
  <c r="H308" i="8"/>
  <c r="I308" i="8" s="1"/>
  <c r="P570" i="9"/>
  <c r="F571" i="9" s="1"/>
  <c r="M1417" i="9"/>
  <c r="N1417" i="9" s="1"/>
  <c r="I770" i="9"/>
  <c r="G1487" i="9" s="1"/>
  <c r="K1487" i="9" s="1"/>
  <c r="L1487" i="9" s="1"/>
  <c r="H314" i="8" l="1"/>
  <c r="I314" i="8" s="1"/>
  <c r="H316" i="8"/>
  <c r="I316" i="8" s="1"/>
  <c r="I326" i="8"/>
  <c r="E494" i="8" s="1"/>
  <c r="H493" i="8" s="1"/>
  <c r="I338" i="8"/>
  <c r="E463" i="8" s="1"/>
  <c r="E464" i="8" s="1"/>
  <c r="E788" i="8" s="1"/>
  <c r="E327" i="8"/>
  <c r="G439" i="8" s="1"/>
  <c r="E776" i="8" s="1"/>
  <c r="G310" i="8"/>
  <c r="H310" i="8"/>
  <c r="I310" i="8" s="1"/>
  <c r="H315" i="8"/>
  <c r="I315" i="8" s="1"/>
  <c r="G315" i="8"/>
  <c r="H309" i="8"/>
  <c r="I309" i="8" s="1"/>
  <c r="G309" i="8"/>
  <c r="H603" i="8"/>
  <c r="E863" i="8" s="1"/>
  <c r="I305" i="8"/>
  <c r="E330" i="8" s="1"/>
  <c r="E593" i="8" s="1"/>
  <c r="E829" i="8"/>
  <c r="E338" i="8"/>
  <c r="F386" i="8" s="1"/>
  <c r="F388" i="8" s="1"/>
  <c r="E747" i="8" s="1"/>
  <c r="H433" i="8"/>
  <c r="B433" i="8"/>
  <c r="E766" i="8"/>
  <c r="G635" i="8"/>
  <c r="E876" i="8"/>
  <c r="B635" i="8"/>
  <c r="B546" i="8"/>
  <c r="E828" i="8"/>
  <c r="G546" i="8"/>
  <c r="G548" i="8" s="1"/>
  <c r="G565" i="8"/>
  <c r="G567" i="8" s="1"/>
  <c r="B565" i="8"/>
  <c r="E837" i="8"/>
  <c r="N570" i="9"/>
  <c r="I1416" i="9"/>
  <c r="J1417" i="9"/>
  <c r="E787" i="8" l="1"/>
  <c r="F380" i="8"/>
  <c r="E744" i="8" s="1"/>
  <c r="B448" i="8"/>
  <c r="H448" i="8"/>
  <c r="P443" i="8" s="1"/>
  <c r="E459" i="8"/>
  <c r="E807" i="8"/>
  <c r="B504" i="8"/>
  <c r="I330" i="8"/>
  <c r="E688" i="8" s="1"/>
  <c r="E690" i="8" s="1"/>
  <c r="H504" i="8"/>
  <c r="R497" i="8" s="1"/>
  <c r="R498" i="8" s="1"/>
  <c r="R499" i="8" s="1"/>
  <c r="C532" i="8"/>
  <c r="I340" i="8"/>
  <c r="E659" i="8" s="1"/>
  <c r="E660" i="8" s="1"/>
  <c r="E892" i="8" s="1"/>
  <c r="H604" i="8"/>
  <c r="H605" i="8" s="1"/>
  <c r="E746" i="8"/>
  <c r="E769" i="8"/>
  <c r="N430" i="8"/>
  <c r="N431" i="8" s="1"/>
  <c r="N432" i="8" s="1"/>
  <c r="P430" i="8"/>
  <c r="P431" i="8" s="1"/>
  <c r="P432" i="8" s="1"/>
  <c r="Q430" i="8"/>
  <c r="Q431" i="8" s="1"/>
  <c r="Q432" i="8" s="1"/>
  <c r="O430" i="8"/>
  <c r="O431" i="8" s="1"/>
  <c r="O432" i="8" s="1"/>
  <c r="R430" i="8"/>
  <c r="E838" i="8"/>
  <c r="B570" i="8"/>
  <c r="B569" i="8"/>
  <c r="E858" i="8"/>
  <c r="B643" i="8"/>
  <c r="H643" i="8"/>
  <c r="F383" i="8"/>
  <c r="B551" i="8"/>
  <c r="E831" i="8"/>
  <c r="B550" i="8"/>
  <c r="I571" i="9"/>
  <c r="J1416" i="9" s="1"/>
  <c r="O497" i="8" l="1"/>
  <c r="O498" i="8" s="1"/>
  <c r="O499" i="8" s="1"/>
  <c r="E778" i="8"/>
  <c r="Q497" i="8"/>
  <c r="Q498" i="8" s="1"/>
  <c r="Q499" i="8" s="1"/>
  <c r="E655" i="8"/>
  <c r="E889" i="8" s="1"/>
  <c r="O443" i="8"/>
  <c r="O444" i="8" s="1"/>
  <c r="O445" i="8" s="1"/>
  <c r="R443" i="8"/>
  <c r="R444" i="8" s="1"/>
  <c r="N443" i="8"/>
  <c r="N444" i="8" s="1"/>
  <c r="N445" i="8" s="1"/>
  <c r="Q443" i="8"/>
  <c r="Q444" i="8" s="1"/>
  <c r="H510" i="8"/>
  <c r="E785" i="8"/>
  <c r="E460" i="8"/>
  <c r="G466" i="8" s="1"/>
  <c r="G467" i="8" s="1"/>
  <c r="E809" i="8"/>
  <c r="P497" i="8"/>
  <c r="P498" i="8" s="1"/>
  <c r="P499" i="8" s="1"/>
  <c r="N497" i="8"/>
  <c r="N498" i="8" s="1"/>
  <c r="N499" i="8" s="1"/>
  <c r="E891" i="8"/>
  <c r="R431" i="8"/>
  <c r="R432" i="8" s="1"/>
  <c r="N433" i="8" s="1"/>
  <c r="P638" i="8"/>
  <c r="P639" i="8" s="1"/>
  <c r="P640" i="8" s="1"/>
  <c r="N638" i="8"/>
  <c r="N639" i="8" s="1"/>
  <c r="N640" i="8" s="1"/>
  <c r="Q638" i="8"/>
  <c r="O638" i="8"/>
  <c r="O639" i="8" s="1"/>
  <c r="O640" i="8" s="1"/>
  <c r="R638" i="8"/>
  <c r="E880" i="8"/>
  <c r="B698" i="8"/>
  <c r="H698" i="8"/>
  <c r="E899" i="8"/>
  <c r="P444" i="8"/>
  <c r="P445" i="8" s="1"/>
  <c r="E745" i="8"/>
  <c r="G392" i="8"/>
  <c r="G393" i="8" s="1"/>
  <c r="B392" i="8"/>
  <c r="E865" i="8"/>
  <c r="H613" i="8"/>
  <c r="B613" i="8"/>
  <c r="H1416" i="9"/>
  <c r="G1486" i="9"/>
  <c r="K1486" i="9" s="1"/>
  <c r="B466" i="8" l="1"/>
  <c r="R445" i="8"/>
  <c r="E656" i="8"/>
  <c r="G662" i="8" s="1"/>
  <c r="G663" i="8" s="1"/>
  <c r="Q445" i="8"/>
  <c r="N500" i="8"/>
  <c r="E786" i="8"/>
  <c r="E816" i="8"/>
  <c r="B518" i="8"/>
  <c r="H518" i="8"/>
  <c r="E789" i="8"/>
  <c r="B469" i="8"/>
  <c r="B470" i="8"/>
  <c r="P433" i="8"/>
  <c r="E771" i="8" s="1"/>
  <c r="Q693" i="8"/>
  <c r="Q694" i="8" s="1"/>
  <c r="Q695" i="8" s="1"/>
  <c r="E901" i="8"/>
  <c r="P693" i="8"/>
  <c r="P694" i="8" s="1"/>
  <c r="P695" i="8" s="1"/>
  <c r="O693" i="8"/>
  <c r="O694" i="8" s="1"/>
  <c r="O695" i="8" s="1"/>
  <c r="N693" i="8"/>
  <c r="N694" i="8" s="1"/>
  <c r="N695" i="8" s="1"/>
  <c r="R693" i="8"/>
  <c r="Q608" i="8"/>
  <c r="P608" i="8"/>
  <c r="R608" i="8"/>
  <c r="N608" i="8"/>
  <c r="N609" i="8" s="1"/>
  <c r="N610" i="8" s="1"/>
  <c r="O608" i="8"/>
  <c r="O609" i="8" s="1"/>
  <c r="O610" i="8" s="1"/>
  <c r="E867" i="8"/>
  <c r="R639" i="8"/>
  <c r="R640" i="8" s="1"/>
  <c r="B395" i="8"/>
  <c r="E748" i="8"/>
  <c r="B396" i="8"/>
  <c r="Q639" i="8"/>
  <c r="Q640" i="8" s="1"/>
  <c r="M1416" i="9"/>
  <c r="N1416" i="9" s="1"/>
  <c r="F1426" i="9"/>
  <c r="G1426" i="9" s="1"/>
  <c r="L1486" i="9"/>
  <c r="K1491" i="9"/>
  <c r="L1491" i="9" s="1"/>
  <c r="F1498" i="9" s="1"/>
  <c r="E810" i="8"/>
  <c r="N446" i="8" l="1"/>
  <c r="E779" i="8" s="1"/>
  <c r="E890" i="8"/>
  <c r="B662" i="8"/>
  <c r="P500" i="8"/>
  <c r="E811" i="8" s="1"/>
  <c r="E818" i="8"/>
  <c r="Q513" i="8"/>
  <c r="Q514" i="8" s="1"/>
  <c r="Q515" i="8" s="1"/>
  <c r="P513" i="8"/>
  <c r="P514" i="8" s="1"/>
  <c r="P515" i="8" s="1"/>
  <c r="O513" i="8"/>
  <c r="O514" i="8" s="1"/>
  <c r="O515" i="8" s="1"/>
  <c r="R513" i="8"/>
  <c r="N513" i="8"/>
  <c r="N514" i="8" s="1"/>
  <c r="N515" i="8" s="1"/>
  <c r="E770" i="8"/>
  <c r="H434" i="8"/>
  <c r="N641" i="8"/>
  <c r="P641" i="8" s="1"/>
  <c r="E882" i="8" s="1"/>
  <c r="P609" i="8"/>
  <c r="P610" i="8" s="1"/>
  <c r="R609" i="8"/>
  <c r="R610" i="8" s="1"/>
  <c r="B667" i="8"/>
  <c r="B665" i="8"/>
  <c r="E893" i="8"/>
  <c r="Q609" i="8"/>
  <c r="Q610" i="8" s="1"/>
  <c r="R694" i="8"/>
  <c r="R695" i="8" s="1"/>
  <c r="N696" i="8" s="1"/>
  <c r="P446" i="8" l="1"/>
  <c r="E780" i="8" s="1"/>
  <c r="H505" i="8"/>
  <c r="E812" i="8" s="1"/>
  <c r="R514" i="8"/>
  <c r="R515" i="8" s="1"/>
  <c r="N516" i="8" s="1"/>
  <c r="E881" i="8"/>
  <c r="H449" i="8"/>
  <c r="E781" i="8" s="1"/>
  <c r="E772" i="8"/>
  <c r="F730" i="8"/>
  <c r="N611" i="8"/>
  <c r="P611" i="8" s="1"/>
  <c r="E869" i="8" s="1"/>
  <c r="P696" i="8"/>
  <c r="E903" i="8" s="1"/>
  <c r="F731" i="8" l="1"/>
  <c r="P516" i="8"/>
  <c r="E820" i="8" s="1"/>
  <c r="G730" i="8"/>
  <c r="J730" i="8" s="1"/>
  <c r="H644" i="8"/>
  <c r="G732" i="8" s="1"/>
  <c r="H614" i="8"/>
  <c r="H699" i="8"/>
  <c r="E902" i="8"/>
  <c r="H519" i="8" l="1"/>
  <c r="E819" i="8"/>
  <c r="E883" i="8"/>
  <c r="E868" i="8"/>
  <c r="F733" i="8"/>
  <c r="J733" i="8" s="1"/>
  <c r="E904" i="8"/>
  <c r="E870" i="8"/>
  <c r="F732" i="8"/>
  <c r="J732" i="8" s="1"/>
  <c r="G731" i="8" l="1"/>
  <c r="J731" i="8" s="1"/>
  <c r="J734" i="8" s="1"/>
  <c r="E821" i="8"/>
  <c r="G251" i="1"/>
  <c r="H260" i="1"/>
  <c r="B93" i="1"/>
  <c r="I32" i="1"/>
  <c r="G137" i="1"/>
  <c r="D951" i="1"/>
  <c r="N193" i="1"/>
  <c r="N221" i="1"/>
  <c r="N195" i="1"/>
  <c r="N218" i="1"/>
  <c r="I200" i="1"/>
  <c r="E210" i="1" s="1"/>
  <c r="I225" i="1"/>
  <c r="G226" i="1" s="1"/>
  <c r="E230" i="1" s="1"/>
  <c r="N196" i="1"/>
  <c r="N219" i="1"/>
  <c r="N194" i="1"/>
  <c r="N220" i="1"/>
  <c r="G138" i="1"/>
  <c r="G139" i="1" s="1"/>
  <c r="G256" i="1"/>
  <c r="D348" i="1" s="1"/>
  <c r="G250" i="1"/>
  <c r="N217" i="1"/>
  <c r="H178" i="1"/>
  <c r="N192" i="1"/>
  <c r="G252" i="1" l="1"/>
  <c r="F348" i="1" s="1"/>
  <c r="H168" i="1"/>
  <c r="C993" i="1" s="1"/>
  <c r="M219" i="1"/>
  <c r="E235" i="1"/>
  <c r="F145" i="1"/>
  <c r="H187" i="1"/>
  <c r="H189" i="1" s="1"/>
  <c r="B218" i="1"/>
  <c r="B243" i="1"/>
  <c r="M218" i="1"/>
  <c r="M217" i="1"/>
  <c r="M216" i="1"/>
  <c r="M220" i="1"/>
  <c r="M221" i="1"/>
  <c r="G345" i="1"/>
  <c r="B348" i="1" s="1"/>
  <c r="G140" i="1"/>
  <c r="G202" i="1"/>
  <c r="E205" i="1" s="1"/>
  <c r="D324" i="1"/>
  <c r="G320" i="1"/>
  <c r="B324" i="1" s="1"/>
  <c r="G254" i="1" l="1"/>
  <c r="H263" i="1" s="1"/>
  <c r="H267" i="1" s="1"/>
  <c r="F269" i="1"/>
  <c r="F274" i="1" s="1"/>
  <c r="F324" i="1"/>
  <c r="F325" i="1" s="1"/>
  <c r="R172" i="1"/>
  <c r="R173" i="1" s="1"/>
  <c r="S172" i="1"/>
  <c r="S173" i="1" s="1"/>
  <c r="Q172" i="1"/>
  <c r="Q174" i="1" s="1"/>
  <c r="C912" i="1"/>
  <c r="P172" i="1"/>
  <c r="P173" i="1" s="1"/>
  <c r="P174" i="1" s="1"/>
  <c r="O172" i="1"/>
  <c r="O173" i="1" s="1"/>
  <c r="O174" i="1" s="1"/>
  <c r="M193" i="1"/>
  <c r="M195" i="1"/>
  <c r="M191" i="1"/>
  <c r="B190" i="1"/>
  <c r="H932" i="1"/>
  <c r="I932" i="1" s="1"/>
  <c r="D325" i="1"/>
  <c r="M196" i="1"/>
  <c r="M192" i="1"/>
  <c r="M194" i="1"/>
  <c r="N222" i="1"/>
  <c r="F144" i="1"/>
  <c r="G173" i="1"/>
  <c r="G175" i="1" s="1"/>
  <c r="F267" i="1" l="1"/>
  <c r="G291" i="1" s="1"/>
  <c r="G293" i="1" s="1"/>
  <c r="B300" i="1" s="1"/>
  <c r="H324" i="1"/>
  <c r="H325" i="1" s="1"/>
  <c r="J327" i="1" s="1"/>
  <c r="E329" i="1" s="1"/>
  <c r="H348" i="1"/>
  <c r="C351" i="1" s="1"/>
  <c r="G360" i="1" s="1"/>
  <c r="C362" i="1" s="1"/>
  <c r="H262" i="1"/>
  <c r="F268" i="1" s="1"/>
  <c r="H305" i="1" s="1"/>
  <c r="B310" i="1" s="1"/>
  <c r="Q173" i="1"/>
  <c r="R174" i="1"/>
  <c r="S174" i="1"/>
  <c r="F147" i="1"/>
  <c r="B147" i="1"/>
  <c r="N197" i="1"/>
  <c r="P220" i="1"/>
  <c r="O220" i="1" s="1"/>
  <c r="P216" i="1"/>
  <c r="O216" i="1" s="1"/>
  <c r="P218" i="1"/>
  <c r="O218" i="1" s="1"/>
  <c r="P219" i="1"/>
  <c r="O219" i="1" s="1"/>
  <c r="P217" i="1"/>
  <c r="O217" i="1" s="1"/>
  <c r="B179" i="1"/>
  <c r="H179" i="1"/>
  <c r="H366" i="1" l="1"/>
  <c r="B368" i="1" s="1"/>
  <c r="H310" i="1"/>
  <c r="P304" i="1" s="1"/>
  <c r="G350" i="1"/>
  <c r="G351" i="1"/>
  <c r="H300" i="1"/>
  <c r="O296" i="1" s="1"/>
  <c r="F273" i="1"/>
  <c r="F275" i="1" s="1"/>
  <c r="G1025" i="1" s="1"/>
  <c r="O175" i="1"/>
  <c r="Q175" i="1" s="1"/>
  <c r="G334" i="1"/>
  <c r="D336" i="1" s="1"/>
  <c r="H342" i="1" s="1"/>
  <c r="E958" i="1" s="1"/>
  <c r="F958" i="1" s="1"/>
  <c r="P193" i="1"/>
  <c r="O193" i="1" s="1"/>
  <c r="P195" i="1"/>
  <c r="O195" i="1" s="1"/>
  <c r="P192" i="1"/>
  <c r="O192" i="1" s="1"/>
  <c r="P194" i="1"/>
  <c r="O194" i="1" s="1"/>
  <c r="P191" i="1"/>
  <c r="O191" i="1" s="1"/>
  <c r="D362" i="1"/>
  <c r="P221" i="1"/>
  <c r="G912" i="1"/>
  <c r="Q180" i="1"/>
  <c r="S180" i="1"/>
  <c r="R180" i="1"/>
  <c r="P180" i="1"/>
  <c r="G993" i="1"/>
  <c r="O180" i="1"/>
  <c r="F148" i="1"/>
  <c r="D1025" i="1"/>
  <c r="S304" i="1" l="1"/>
  <c r="S305" i="1" s="1"/>
  <c r="S306" i="1" s="1"/>
  <c r="Q304" i="1"/>
  <c r="Q305" i="1" s="1"/>
  <c r="Q306" i="1" s="1"/>
  <c r="G919" i="1"/>
  <c r="G1000" i="1"/>
  <c r="H368" i="1"/>
  <c r="G958" i="1" s="1"/>
  <c r="H958" i="1" s="1"/>
  <c r="O304" i="1"/>
  <c r="O305" i="1" s="1"/>
  <c r="O306" i="1" s="1"/>
  <c r="R304" i="1"/>
  <c r="R305" i="1" s="1"/>
  <c r="R306" i="1" s="1"/>
  <c r="C1000" i="1"/>
  <c r="S296" i="1"/>
  <c r="S298" i="1" s="1"/>
  <c r="Q296" i="1"/>
  <c r="Q297" i="1" s="1"/>
  <c r="Q298" i="1" s="1"/>
  <c r="R296" i="1"/>
  <c r="R297" i="1" s="1"/>
  <c r="R298" i="1" s="1"/>
  <c r="P296" i="1"/>
  <c r="P297" i="1" s="1"/>
  <c r="P298" i="1" s="1"/>
  <c r="C919" i="1"/>
  <c r="F277" i="1"/>
  <c r="H278" i="1" s="1"/>
  <c r="B275" i="1"/>
  <c r="E336" i="1"/>
  <c r="Q181" i="1"/>
  <c r="Q182" i="1" s="1"/>
  <c r="C932" i="1"/>
  <c r="E932" i="1" s="1"/>
  <c r="E1025" i="1"/>
  <c r="H149" i="1"/>
  <c r="O297" i="1"/>
  <c r="O298" i="1" s="1"/>
  <c r="O181" i="1"/>
  <c r="O182" i="1" s="1"/>
  <c r="P305" i="1"/>
  <c r="P306" i="1" s="1"/>
  <c r="N228" i="1"/>
  <c r="M228" i="1" s="1"/>
  <c r="N227" i="1"/>
  <c r="M227" i="1" s="1"/>
  <c r="N229" i="1"/>
  <c r="M229" i="1" s="1"/>
  <c r="N230" i="1"/>
  <c r="M230" i="1" s="1"/>
  <c r="N226" i="1"/>
  <c r="M226" i="1" s="1"/>
  <c r="P196" i="1"/>
  <c r="S181" i="1"/>
  <c r="S182" i="1" s="1"/>
  <c r="R181" i="1"/>
  <c r="R182" i="1" s="1"/>
  <c r="P181" i="1"/>
  <c r="P182" i="1" s="1"/>
  <c r="S297" i="1" l="1"/>
  <c r="H1025" i="1"/>
  <c r="C939" i="1"/>
  <c r="E939" i="1" s="1"/>
  <c r="O183" i="1"/>
  <c r="Q183" i="1" s="1"/>
  <c r="N231" i="1"/>
  <c r="P229" i="1" s="1"/>
  <c r="O229" i="1" s="1"/>
  <c r="O307" i="1"/>
  <c r="Q307" i="1" s="1"/>
  <c r="O299" i="1"/>
  <c r="Q299" i="1" s="1"/>
  <c r="N204" i="1"/>
  <c r="M204" i="1" s="1"/>
  <c r="N203" i="1"/>
  <c r="M203" i="1" s="1"/>
  <c r="N205" i="1"/>
  <c r="M205" i="1" s="1"/>
  <c r="N201" i="1"/>
  <c r="M201" i="1" s="1"/>
  <c r="N202" i="1"/>
  <c r="M202" i="1" s="1"/>
  <c r="P228" i="1" l="1"/>
  <c r="O228" i="1" s="1"/>
  <c r="P230" i="1"/>
  <c r="O230" i="1" s="1"/>
  <c r="P226" i="1"/>
  <c r="O226" i="1" s="1"/>
  <c r="P227" i="1"/>
  <c r="O227" i="1" s="1"/>
  <c r="N206" i="1"/>
  <c r="P231" i="1" l="1"/>
  <c r="H231" i="1" s="1"/>
  <c r="G235" i="1" s="1"/>
  <c r="G237" i="1" s="1"/>
  <c r="G238" i="1" s="1"/>
  <c r="E239" i="1" s="1"/>
  <c r="P202" i="1"/>
  <c r="O202" i="1" s="1"/>
  <c r="P203" i="1"/>
  <c r="O203" i="1" s="1"/>
  <c r="P205" i="1"/>
  <c r="O205" i="1" s="1"/>
  <c r="P204" i="1"/>
  <c r="O204" i="1" s="1"/>
  <c r="P201" i="1"/>
  <c r="O201" i="1" s="1"/>
  <c r="B237" i="1" l="1"/>
  <c r="P206" i="1"/>
  <c r="G206" i="1" s="1"/>
  <c r="F239" i="1"/>
  <c r="G210" i="1" l="1"/>
  <c r="B212" i="1" l="1"/>
  <c r="G212" i="1"/>
  <c r="G213" i="1" s="1"/>
  <c r="C214" i="1" s="1"/>
  <c r="D214" i="1" l="1"/>
  <c r="I218" i="1"/>
  <c r="E951" i="1" l="1"/>
  <c r="F951" i="1" s="1"/>
  <c r="H243" i="1"/>
  <c r="G951" i="1" s="1"/>
  <c r="H951" i="1" s="1"/>
  <c r="N552" i="1"/>
  <c r="Q66" i="1"/>
  <c r="G1013" i="1" s="1"/>
  <c r="N426" i="1"/>
  <c r="F545" i="1"/>
  <c r="M560" i="1" s="1"/>
  <c r="F534" i="1"/>
  <c r="M415" i="1" s="1"/>
  <c r="C87" i="1"/>
  <c r="M552" i="1" l="1"/>
  <c r="H435" i="1"/>
  <c r="N418" i="1"/>
  <c r="N429" i="1"/>
  <c r="N430" i="1"/>
  <c r="D953" i="1"/>
  <c r="N551" i="1"/>
  <c r="M551" i="1" s="1"/>
  <c r="N561" i="1"/>
  <c r="M561" i="1" s="1"/>
  <c r="E93" i="1"/>
  <c r="N417" i="1"/>
  <c r="I33" i="1"/>
  <c r="F434" i="1" s="1"/>
  <c r="N427" i="1"/>
  <c r="N419" i="1"/>
  <c r="N420" i="1"/>
  <c r="N428" i="1"/>
  <c r="F497" i="1"/>
  <c r="N562" i="1"/>
  <c r="M562" i="1" s="1"/>
  <c r="D952" i="1"/>
  <c r="Q65" i="1"/>
  <c r="G1012" i="1" s="1"/>
  <c r="F408" i="1"/>
  <c r="F560" i="1"/>
  <c r="F518" i="1"/>
  <c r="N555" i="1"/>
  <c r="M555" i="1" s="1"/>
  <c r="N565" i="1"/>
  <c r="M565" i="1" s="1"/>
  <c r="N553" i="1"/>
  <c r="M553" i="1" s="1"/>
  <c r="I34" i="1"/>
  <c r="F562" i="1" s="1"/>
  <c r="N416" i="1"/>
  <c r="H563" i="1"/>
  <c r="F419" i="1"/>
  <c r="M425" i="1" s="1"/>
  <c r="F432" i="1"/>
  <c r="G373" i="1"/>
  <c r="G392" i="1"/>
  <c r="N564" i="1"/>
  <c r="M564" i="1" s="1"/>
  <c r="N554" i="1"/>
  <c r="M554" i="1" s="1"/>
  <c r="N563" i="1"/>
  <c r="M563" i="1" s="1"/>
  <c r="M416" i="1" l="1"/>
  <c r="M418" i="1"/>
  <c r="M419" i="1"/>
  <c r="N556" i="1"/>
  <c r="P553" i="1" s="1"/>
  <c r="O553" i="1" s="1"/>
  <c r="G375" i="1"/>
  <c r="G374" i="1"/>
  <c r="F561" i="1"/>
  <c r="F564" i="1" s="1"/>
  <c r="F568" i="1" s="1"/>
  <c r="F594" i="1" s="1"/>
  <c r="H612" i="1"/>
  <c r="H601" i="1"/>
  <c r="F569" i="1"/>
  <c r="F573" i="1" s="1"/>
  <c r="M428" i="1"/>
  <c r="F484" i="1"/>
  <c r="F473" i="1"/>
  <c r="N566" i="1"/>
  <c r="M429" i="1"/>
  <c r="H393" i="1"/>
  <c r="G398" i="1"/>
  <c r="M420" i="1"/>
  <c r="M417" i="1"/>
  <c r="M430" i="1"/>
  <c r="M426" i="1"/>
  <c r="H484" i="1"/>
  <c r="E441" i="1"/>
  <c r="F445" i="1" s="1"/>
  <c r="H473" i="1"/>
  <c r="F433" i="1"/>
  <c r="F612" i="1"/>
  <c r="F601" i="1"/>
  <c r="H519" i="1"/>
  <c r="F524" i="1"/>
  <c r="F500" i="1"/>
  <c r="F499" i="1"/>
  <c r="M427" i="1"/>
  <c r="F565" i="1" l="1"/>
  <c r="F567" i="1" s="1"/>
  <c r="F587" i="1" s="1"/>
  <c r="H590" i="1" s="1"/>
  <c r="N421" i="1"/>
  <c r="P417" i="1" s="1"/>
  <c r="O417" i="1" s="1"/>
  <c r="N431" i="1"/>
  <c r="P428" i="1" s="1"/>
  <c r="O428" i="1" s="1"/>
  <c r="P550" i="1"/>
  <c r="O550" i="1" s="1"/>
  <c r="P554" i="1"/>
  <c r="O554" i="1" s="1"/>
  <c r="P551" i="1"/>
  <c r="O551" i="1" s="1"/>
  <c r="P552" i="1"/>
  <c r="O552" i="1" s="1"/>
  <c r="F504" i="1"/>
  <c r="D530" i="1"/>
  <c r="J484" i="1"/>
  <c r="F486" i="1" s="1"/>
  <c r="J473" i="1"/>
  <c r="F475" i="1" s="1"/>
  <c r="E54" i="18"/>
  <c r="I54" i="18" s="1"/>
  <c r="C914" i="1"/>
  <c r="O523" i="1"/>
  <c r="S523" i="1"/>
  <c r="Q523" i="1"/>
  <c r="R523" i="1"/>
  <c r="P523" i="1"/>
  <c r="C995" i="1"/>
  <c r="F608" i="1"/>
  <c r="B609" i="1" s="1"/>
  <c r="H596" i="1"/>
  <c r="F620" i="1"/>
  <c r="B621" i="1" s="1"/>
  <c r="P564" i="1"/>
  <c r="O564" i="1" s="1"/>
  <c r="P562" i="1"/>
  <c r="O562" i="1" s="1"/>
  <c r="P560" i="1"/>
  <c r="O560" i="1" s="1"/>
  <c r="P563" i="1"/>
  <c r="O563" i="1" s="1"/>
  <c r="P561" i="1"/>
  <c r="O561" i="1" s="1"/>
  <c r="F437" i="1"/>
  <c r="J601" i="1"/>
  <c r="F603" i="1" s="1"/>
  <c r="J612" i="1"/>
  <c r="F614" i="1" s="1"/>
  <c r="F523" i="1"/>
  <c r="F503" i="1"/>
  <c r="S396" i="1"/>
  <c r="R396" i="1"/>
  <c r="P396" i="1"/>
  <c r="C913" i="1"/>
  <c r="Q396" i="1"/>
  <c r="O396" i="1"/>
  <c r="C994" i="1"/>
  <c r="D403" i="1"/>
  <c r="F379" i="1"/>
  <c r="F436" i="1"/>
  <c r="E440" i="1" s="1"/>
  <c r="H465" i="1" s="1"/>
  <c r="F572" i="1"/>
  <c r="G397" i="1"/>
  <c r="F378" i="1"/>
  <c r="P427" i="1" l="1"/>
  <c r="O427" i="1" s="1"/>
  <c r="P429" i="1"/>
  <c r="O429" i="1" s="1"/>
  <c r="P425" i="1"/>
  <c r="O425" i="1" s="1"/>
  <c r="P426" i="1"/>
  <c r="O426" i="1" s="1"/>
  <c r="P419" i="1"/>
  <c r="O419" i="1" s="1"/>
  <c r="P565" i="1"/>
  <c r="R563" i="1" s="1"/>
  <c r="Q563" i="1" s="1"/>
  <c r="P418" i="1"/>
  <c r="O418" i="1" s="1"/>
  <c r="P415" i="1"/>
  <c r="O415" i="1" s="1"/>
  <c r="P416" i="1"/>
  <c r="O416" i="1" s="1"/>
  <c r="P555" i="1"/>
  <c r="R551" i="1" s="1"/>
  <c r="Q551" i="1" s="1"/>
  <c r="E613" i="1"/>
  <c r="E614" i="1"/>
  <c r="F616" i="1"/>
  <c r="F617" i="1" s="1"/>
  <c r="H933" i="1"/>
  <c r="I933" i="1" s="1"/>
  <c r="F403" i="1"/>
  <c r="F476" i="1"/>
  <c r="F477" i="1" s="1"/>
  <c r="E474" i="1"/>
  <c r="O397" i="1"/>
  <c r="O398" i="1" s="1"/>
  <c r="R397" i="1"/>
  <c r="R398" i="1"/>
  <c r="P524" i="1"/>
  <c r="P525" i="1" s="1"/>
  <c r="O524" i="1"/>
  <c r="O525" i="1" s="1"/>
  <c r="Q598" i="1"/>
  <c r="C921" i="1"/>
  <c r="C1002" i="1"/>
  <c r="S598" i="1"/>
  <c r="R598" i="1"/>
  <c r="O598" i="1"/>
  <c r="P598" i="1"/>
  <c r="R561" i="1"/>
  <c r="Q561" i="1" s="1"/>
  <c r="F604" i="1"/>
  <c r="F605" i="1" s="1"/>
  <c r="E602" i="1"/>
  <c r="H603" i="1"/>
  <c r="F575" i="1"/>
  <c r="G1027" i="1"/>
  <c r="Q398" i="1"/>
  <c r="Q397" i="1"/>
  <c r="S397" i="1"/>
  <c r="S398" i="1"/>
  <c r="G439" i="1"/>
  <c r="E439" i="1"/>
  <c r="Q606" i="1"/>
  <c r="O606" i="1"/>
  <c r="G921" i="1"/>
  <c r="R606" i="1"/>
  <c r="G1002" i="1"/>
  <c r="S606" i="1"/>
  <c r="P606" i="1"/>
  <c r="R524" i="1"/>
  <c r="R525" i="1"/>
  <c r="H934" i="1"/>
  <c r="I934" i="1" s="1"/>
  <c r="F530" i="1"/>
  <c r="F506" i="1"/>
  <c r="D1027" i="1"/>
  <c r="F380" i="1"/>
  <c r="D1026" i="1"/>
  <c r="Q525" i="1"/>
  <c r="Q524" i="1"/>
  <c r="H399" i="1"/>
  <c r="F426" i="1"/>
  <c r="B427" i="1" s="1"/>
  <c r="F415" i="1"/>
  <c r="B416" i="1" s="1"/>
  <c r="F480" i="1"/>
  <c r="B481" i="1" s="1"/>
  <c r="H467" i="1"/>
  <c r="F491" i="1"/>
  <c r="B492" i="1" s="1"/>
  <c r="P397" i="1"/>
  <c r="P398" i="1" s="1"/>
  <c r="H525" i="1"/>
  <c r="E554" i="1"/>
  <c r="B555" i="1" s="1"/>
  <c r="F541" i="1"/>
  <c r="B542" i="1" s="1"/>
  <c r="H486" i="1"/>
  <c r="F487" i="1"/>
  <c r="F488" i="1" s="1"/>
  <c r="E485" i="1"/>
  <c r="S524" i="1"/>
  <c r="S525" i="1"/>
  <c r="P420" i="1" l="1"/>
  <c r="R418" i="1" s="1"/>
  <c r="Q418" i="1" s="1"/>
  <c r="P430" i="1"/>
  <c r="R552" i="1"/>
  <c r="Q552" i="1" s="1"/>
  <c r="R550" i="1"/>
  <c r="Q550" i="1" s="1"/>
  <c r="R554" i="1"/>
  <c r="Q554" i="1" s="1"/>
  <c r="R553" i="1"/>
  <c r="Q553" i="1" s="1"/>
  <c r="R560" i="1"/>
  <c r="Q560" i="1" s="1"/>
  <c r="R564" i="1"/>
  <c r="Q564" i="1" s="1"/>
  <c r="R562" i="1"/>
  <c r="Q562" i="1" s="1"/>
  <c r="R565" i="1" s="1"/>
  <c r="O399" i="1"/>
  <c r="Q399" i="1" s="1"/>
  <c r="O526" i="1"/>
  <c r="Q526" i="1" s="1"/>
  <c r="G488" i="1"/>
  <c r="H492" i="1"/>
  <c r="G959" i="1" s="1"/>
  <c r="H959" i="1" s="1"/>
  <c r="S473" i="1"/>
  <c r="P473" i="1"/>
  <c r="O473" i="1"/>
  <c r="Q473" i="1"/>
  <c r="R473" i="1"/>
  <c r="G920" i="1"/>
  <c r="G1001" i="1"/>
  <c r="Q607" i="1"/>
  <c r="Q608" i="1" s="1"/>
  <c r="H609" i="1"/>
  <c r="E960" i="1" s="1"/>
  <c r="F960" i="1" s="1"/>
  <c r="G605" i="1"/>
  <c r="R599" i="1"/>
  <c r="R600" i="1"/>
  <c r="Q599" i="1"/>
  <c r="Q600" i="1"/>
  <c r="B509" i="1"/>
  <c r="B508" i="1"/>
  <c r="E1027" i="1"/>
  <c r="C934" i="1"/>
  <c r="E934" i="1" s="1"/>
  <c r="R607" i="1"/>
  <c r="R608" i="1" s="1"/>
  <c r="F444" i="1"/>
  <c r="F459" i="1"/>
  <c r="H462" i="1" s="1"/>
  <c r="B578" i="1"/>
  <c r="H1027" i="1"/>
  <c r="C941" i="1"/>
  <c r="E941" i="1" s="1"/>
  <c r="B577" i="1"/>
  <c r="S599" i="1"/>
  <c r="S600" i="1"/>
  <c r="H621" i="1"/>
  <c r="G960" i="1" s="1"/>
  <c r="H960" i="1" s="1"/>
  <c r="G617" i="1"/>
  <c r="P599" i="1"/>
  <c r="P600" i="1" s="1"/>
  <c r="H481" i="1"/>
  <c r="E959" i="1" s="1"/>
  <c r="F959" i="1" s="1"/>
  <c r="G477" i="1"/>
  <c r="O531" i="1"/>
  <c r="Q531" i="1"/>
  <c r="R531" i="1"/>
  <c r="P531" i="1"/>
  <c r="S531" i="1"/>
  <c r="G995" i="1"/>
  <c r="G914" i="1"/>
  <c r="O404" i="1"/>
  <c r="Q404" i="1"/>
  <c r="P404" i="1"/>
  <c r="S404" i="1"/>
  <c r="R404" i="1"/>
  <c r="G994" i="1"/>
  <c r="G913" i="1"/>
  <c r="P607" i="1"/>
  <c r="P608" i="1" s="1"/>
  <c r="R428" i="1"/>
  <c r="Q428" i="1" s="1"/>
  <c r="R429" i="1"/>
  <c r="Q429" i="1" s="1"/>
  <c r="R425" i="1"/>
  <c r="Q425" i="1" s="1"/>
  <c r="R426" i="1"/>
  <c r="Q426" i="1" s="1"/>
  <c r="R427" i="1"/>
  <c r="Q427" i="1" s="1"/>
  <c r="C933" i="1"/>
  <c r="E933" i="1" s="1"/>
  <c r="B382" i="1"/>
  <c r="E1026" i="1"/>
  <c r="S607" i="1"/>
  <c r="S608" i="1" s="1"/>
  <c r="O607" i="1"/>
  <c r="O608" i="1"/>
  <c r="O599" i="1"/>
  <c r="O600" i="1" s="1"/>
  <c r="R419" i="1" l="1"/>
  <c r="Q419" i="1" s="1"/>
  <c r="R417" i="1"/>
  <c r="Q417" i="1" s="1"/>
  <c r="R415" i="1"/>
  <c r="Q415" i="1" s="1"/>
  <c r="R420" i="1" s="1"/>
  <c r="R555" i="1"/>
  <c r="T552" i="1" s="1"/>
  <c r="S552" i="1" s="1"/>
  <c r="R416" i="1"/>
  <c r="Q416" i="1" s="1"/>
  <c r="R430" i="1"/>
  <c r="T425" i="1" s="1"/>
  <c r="S425" i="1" s="1"/>
  <c r="O601" i="1"/>
  <c r="Q601" i="1" s="1"/>
  <c r="O609" i="1"/>
  <c r="Q609" i="1" s="1"/>
  <c r="P532" i="1"/>
  <c r="P533" i="1" s="1"/>
  <c r="S405" i="1"/>
  <c r="S406" i="1" s="1"/>
  <c r="R532" i="1"/>
  <c r="R533" i="1" s="1"/>
  <c r="T560" i="1"/>
  <c r="S560" i="1" s="1"/>
  <c r="T564" i="1"/>
  <c r="S564" i="1" s="1"/>
  <c r="T561" i="1"/>
  <c r="S561" i="1" s="1"/>
  <c r="T562" i="1"/>
  <c r="S562" i="1" s="1"/>
  <c r="T563" i="1"/>
  <c r="S563" i="1" s="1"/>
  <c r="P474" i="1"/>
  <c r="P475" i="1"/>
  <c r="O405" i="1"/>
  <c r="O406" i="1"/>
  <c r="P405" i="1"/>
  <c r="P406" i="1"/>
  <c r="Q532" i="1"/>
  <c r="Q533" i="1" s="1"/>
  <c r="R464" i="1"/>
  <c r="Q464" i="1"/>
  <c r="S464" i="1"/>
  <c r="C920" i="1"/>
  <c r="C1001" i="1"/>
  <c r="O464" i="1"/>
  <c r="P464" i="1"/>
  <c r="T553" i="1"/>
  <c r="S553" i="1" s="1"/>
  <c r="T550" i="1"/>
  <c r="S550" i="1" s="1"/>
  <c r="R474" i="1"/>
  <c r="R475" i="1" s="1"/>
  <c r="S474" i="1"/>
  <c r="S475" i="1" s="1"/>
  <c r="Q405" i="1"/>
  <c r="Q406" i="1" s="1"/>
  <c r="S532" i="1"/>
  <c r="S533" i="1" s="1"/>
  <c r="O532" i="1"/>
  <c r="O533" i="1"/>
  <c r="G1026" i="1"/>
  <c r="F447" i="1"/>
  <c r="Q475" i="1"/>
  <c r="Q474" i="1"/>
  <c r="R405" i="1"/>
  <c r="R406" i="1" s="1"/>
  <c r="O474" i="1"/>
  <c r="O475" i="1"/>
  <c r="T554" i="1" l="1"/>
  <c r="S554" i="1" s="1"/>
  <c r="T551" i="1"/>
  <c r="S551" i="1" s="1"/>
  <c r="T555" i="1" s="1"/>
  <c r="F536" i="1" s="1"/>
  <c r="F537" i="1" s="1"/>
  <c r="F538" i="1" s="1"/>
  <c r="T428" i="1"/>
  <c r="S428" i="1" s="1"/>
  <c r="T429" i="1"/>
  <c r="S429" i="1" s="1"/>
  <c r="T427" i="1"/>
  <c r="S427" i="1" s="1"/>
  <c r="T426" i="1"/>
  <c r="S426" i="1" s="1"/>
  <c r="O476" i="1"/>
  <c r="Q476" i="1" s="1"/>
  <c r="O407" i="1"/>
  <c r="Q407" i="1" s="1"/>
  <c r="T565" i="1"/>
  <c r="F547" i="1" s="1"/>
  <c r="F548" i="1" s="1"/>
  <c r="F549" i="1" s="1"/>
  <c r="G549" i="1" s="1"/>
  <c r="O534" i="1"/>
  <c r="Q534" i="1" s="1"/>
  <c r="B450" i="1"/>
  <c r="C940" i="1"/>
  <c r="E940" i="1" s="1"/>
  <c r="H1026" i="1"/>
  <c r="B449" i="1"/>
  <c r="O465" i="1"/>
  <c r="O466" i="1" s="1"/>
  <c r="Q465" i="1"/>
  <c r="Q466" i="1"/>
  <c r="R465" i="1"/>
  <c r="R466" i="1"/>
  <c r="P465" i="1"/>
  <c r="P466" i="1" s="1"/>
  <c r="S466" i="1"/>
  <c r="S465" i="1"/>
  <c r="T416" i="1"/>
  <c r="S416" i="1" s="1"/>
  <c r="T418" i="1"/>
  <c r="S418" i="1" s="1"/>
  <c r="T419" i="1"/>
  <c r="S419" i="1" s="1"/>
  <c r="T417" i="1"/>
  <c r="S417" i="1" s="1"/>
  <c r="T415" i="1"/>
  <c r="S415" i="1" s="1"/>
  <c r="T430" i="1" l="1"/>
  <c r="F421" i="1" s="1"/>
  <c r="F422" i="1" s="1"/>
  <c r="F423" i="1" s="1"/>
  <c r="G423" i="1" s="1"/>
  <c r="H555" i="1"/>
  <c r="G953" i="1" s="1"/>
  <c r="H953" i="1" s="1"/>
  <c r="O467" i="1"/>
  <c r="Q467" i="1" s="1"/>
  <c r="T420" i="1"/>
  <c r="F410" i="1" s="1"/>
  <c r="F411" i="1" s="1"/>
  <c r="F412" i="1" s="1"/>
  <c r="G538" i="1"/>
  <c r="H542" i="1"/>
  <c r="E953" i="1" s="1"/>
  <c r="F953" i="1" s="1"/>
  <c r="H427" i="1" l="1"/>
  <c r="G952" i="1" s="1"/>
  <c r="H952" i="1" s="1"/>
  <c r="H416" i="1"/>
  <c r="E952" i="1" s="1"/>
  <c r="F952" i="1" s="1"/>
  <c r="G412" i="1"/>
</calcChain>
</file>

<file path=xl/sharedStrings.xml><?xml version="1.0" encoding="utf-8"?>
<sst xmlns="http://schemas.openxmlformats.org/spreadsheetml/2006/main" count="10894" uniqueCount="2601">
  <si>
    <t>{CALC}</t>
  </si>
  <si>
    <t>/PPAOP1~OUQ</t>
  </si>
  <si>
    <t/>
  </si>
  <si>
    <t>{GETNUMBER "TURN ON PRINTER, ENTER PAGE NO.   ",L1}</t>
  </si>
  <si>
    <t>{LET L2,1}</t>
  </si>
  <si>
    <t>{IF L1&gt;L2}{PAGE}</t>
  </si>
  <si>
    <t>OP66~OFQ</t>
  </si>
  <si>
    <t>{GETLABEL "SET PAPER TO TOP OF PAGE, THEN PRESS &lt;CR&gt;   ",L3}</t>
  </si>
  <si>
    <t>{GETLABEL "DETAILED(D) OR SUMMARY(S) REPORT?  ENTER 'D' OR 'S'  ",L3}</t>
  </si>
  <si>
    <t>RST1~G</t>
  </si>
  <si>
    <t>-</t>
  </si>
  <si>
    <t>OS\015~ML10~MR170~Q</t>
  </si>
  <si>
    <t>{IF L3&lt;&gt;"S"#AND#L3&lt;&gt;"s"}RST11~G</t>
  </si>
  <si>
    <t>OS{ESC}\027\077~ML4~MR98~Q</t>
  </si>
  <si>
    <t xml:space="preserve">    1-1</t>
  </si>
  <si>
    <t>{IF L3&lt;&gt;"S"#AND#L3&lt;&gt;"s"}RST12~G</t>
  </si>
  <si>
    <t xml:space="preserve">    2-2</t>
  </si>
  <si>
    <t>RST2~G</t>
  </si>
  <si>
    <t xml:space="preserve">    3-3</t>
  </si>
  <si>
    <t>H'  =  Height of Wingwall from Apron c/l</t>
  </si>
  <si>
    <t>RST5~G</t>
  </si>
  <si>
    <t>B'  =  Width of Apron from c/l of Wingwalls</t>
  </si>
  <si>
    <t>RST6~GPQ</t>
  </si>
  <si>
    <t>Length of Wingwall  =  (L²  +  ((B - B1)/2)²)^0.5    =</t>
  </si>
  <si>
    <t>m</t>
  </si>
  <si>
    <t>{QUIT}</t>
  </si>
  <si>
    <t>{LET L2,L2+1}P</t>
  </si>
  <si>
    <t>&lt;---  ROUTINE - PAGE</t>
  </si>
  <si>
    <t>KN/m³</t>
  </si>
  <si>
    <t>{IF L1&gt;L2}{BRANCH PAGE}</t>
  </si>
  <si>
    <t>{RETURN}</t>
  </si>
  <si>
    <t>Angle of Internal Friction (ø)  --&gt;</t>
  </si>
  <si>
    <t>°</t>
  </si>
  <si>
    <t>Coeff. of Active Earth Pressure (Ca)  =  (1-sinø)/(1+sinø)  =</t>
  </si>
  <si>
    <t>Ultimate Flexural Strength of Steel (fy) --&gt;</t>
  </si>
  <si>
    <t>KN/m²</t>
  </si>
  <si>
    <t>Ultimate Flexural Strength of Concrete(fc')</t>
  </si>
  <si>
    <t>/d  KN/m²</t>
  </si>
  <si>
    <t>(d = Bar Diameter, mm)</t>
  </si>
  <si>
    <t xml:space="preserve">  OR  --&gt;</t>
  </si>
  <si>
    <t>Modulus of Elasticity of Steel (Es)      --&gt;</t>
  </si>
  <si>
    <t>Modulus of Elasticity of Concrete (Ec)   --&gt;</t>
  </si>
  <si>
    <t>Coverage + 1/2 Dia.Reinforcement (c)     --&gt;</t>
  </si>
  <si>
    <t>mm</t>
  </si>
  <si>
    <t>n  =  Modular Ratio  =  Es / Ec  =</t>
  </si>
  <si>
    <t>r  =  fs /fc     =</t>
  </si>
  <si>
    <t>k  =  n/(n + r)  =</t>
  </si>
  <si>
    <t>j  =  Lever Arm Coefficient  =  1  -  k/3   =</t>
  </si>
  <si>
    <t>R  =  Resisting Moment Coefficient  =  fc*j*k/2   =</t>
  </si>
  <si>
    <t xml:space="preserve">        |</t>
  </si>
  <si>
    <t>STRUCTURE PLAN</t>
  </si>
  <si>
    <t xml:space="preserve">  ------</t>
  </si>
  <si>
    <t xml:space="preserve">    Ta</t>
  </si>
  <si>
    <t>STRUCTURE SECTION</t>
  </si>
  <si>
    <t>DESIGN LOADS, MOMENTS AND SHEARS</t>
  </si>
  <si>
    <t xml:space="preserve">    =</t>
  </si>
  <si>
    <t>H  =  Height of wingwall to Apron Level     =</t>
  </si>
  <si>
    <t>KN</t>
  </si>
  <si>
    <t>KNm</t>
  </si>
  <si>
    <t>MEMBER THICKNESS</t>
  </si>
  <si>
    <t>dr(Moment)       =</t>
  </si>
  <si>
    <t>dr(Shear)        =</t>
  </si>
  <si>
    <t>mm    &lt;-----</t>
  </si>
  <si>
    <t>tr  =  dr  +  c  =</t>
  </si>
  <si>
    <t>&lt;-----</t>
  </si>
  <si>
    <t>HORIZONTAL SHRINKAGE REINFORCEMENT</t>
  </si>
  <si>
    <t>Size(mm)</t>
  </si>
  <si>
    <t>Rounded Spacing(mm</t>
  </si>
  <si>
    <t>Actual Steel(mm²)</t>
  </si>
  <si>
    <t>Excess Steel(mm²)</t>
  </si>
  <si>
    <t>Optimal Size Steel</t>
  </si>
  <si>
    <t>mm ø    @</t>
  </si>
  <si>
    <t>mm  c/c</t>
  </si>
  <si>
    <t>Length of Wingwall        =</t>
  </si>
  <si>
    <t>ta  =  Actual Thickness of Member  =</t>
  </si>
  <si>
    <t xml:space="preserve"> &lt;= 9 m</t>
  </si>
  <si>
    <t xml:space="preserve"> &gt;  9 m</t>
  </si>
  <si>
    <t>Ast(Exposed Face)     =</t>
  </si>
  <si>
    <t>mm²</t>
  </si>
  <si>
    <t xml:space="preserve">      Use</t>
  </si>
  <si>
    <t>mm  c/c     (Ast =</t>
  </si>
  <si>
    <t>mm²)   &lt;-----</t>
  </si>
  <si>
    <t>Ast(Earth Face)       =</t>
  </si>
  <si>
    <t>VERTICAL EXPOSED FACE REINFORCEMENT</t>
  </si>
  <si>
    <t>Ast  =</t>
  </si>
  <si>
    <t>VERTICAL EARTH FACE REINFORCEMENT</t>
  </si>
  <si>
    <t>M   =  Design Moment  =</t>
  </si>
  <si>
    <t>CHECK SHRINKAGE REINFORCEMENT</t>
  </si>
  <si>
    <t xml:space="preserve">      Use   Ast  =</t>
  </si>
  <si>
    <t>mm²    &lt;-----</t>
  </si>
  <si>
    <t>CHECK BOND</t>
  </si>
  <si>
    <t>Use   bs(allow)  =</t>
  </si>
  <si>
    <t>V  =  Design Shear        =</t>
  </si>
  <si>
    <t>BAR CURTAILMENT</t>
  </si>
  <si>
    <t>LOCATION OF 1ST BAR CURTAILMENT</t>
  </si>
  <si>
    <t xml:space="preserve">     1st Test</t>
  </si>
  <si>
    <t xml:space="preserve">     2nd Test</t>
  </si>
  <si>
    <t>y</t>
  </si>
  <si>
    <t>h</t>
  </si>
  <si>
    <t xml:space="preserve">    +</t>
  </si>
  <si>
    <t>* h</t>
  </si>
  <si>
    <t>M(resisting)     =</t>
  </si>
  <si>
    <t xml:space="preserve">     3rd Test</t>
  </si>
  <si>
    <t xml:space="preserve">     4th Test</t>
  </si>
  <si>
    <t>* h³</t>
  </si>
  <si>
    <t>At the location where the bars can be curtailed   M(resisting) = M(actual).</t>
  </si>
  <si>
    <t>* h     =</t>
  </si>
  <si>
    <t>m   &lt;-----</t>
  </si>
  <si>
    <t>* h    =</t>
  </si>
  <si>
    <t xml:space="preserve">      Use   dx  =</t>
  </si>
  <si>
    <t>x      =</t>
  </si>
  <si>
    <t xml:space="preserve">    -</t>
  </si>
  <si>
    <t>H - x   =</t>
  </si>
  <si>
    <t>Ast(Shrinkage)   =</t>
  </si>
  <si>
    <t xml:space="preserve">      Use   x   =</t>
  </si>
  <si>
    <t>m    &lt;-----</t>
  </si>
  <si>
    <t>LOCATION OF 2ND BAR CURTAILMENT</t>
  </si>
  <si>
    <t>da  =</t>
  </si>
  <si>
    <t>m³</t>
  </si>
  <si>
    <t>B' =  Width of Apron from c/l of Wingwalls  =</t>
  </si>
  <si>
    <t>KN/m</t>
  </si>
  <si>
    <t xml:space="preserve">   =  ((Tb-Tt)*H/2 * (2/3*Tt + Tb/3)  +  Tt*H * Tt/2) / ((Tt+Tb)/2*H)  =</t>
  </si>
  <si>
    <t>DESIGN MOMENTS AND SHEARS</t>
  </si>
  <si>
    <t>SHRINKAGE REINFORCEMENT</t>
  </si>
  <si>
    <t>Length of Apron  =</t>
  </si>
  <si>
    <t>TOP REINFORCEMENT</t>
  </si>
  <si>
    <t>BOTTOM REINFORCEMENT</t>
  </si>
  <si>
    <t>* d   +</t>
  </si>
  <si>
    <t>* d² /2</t>
  </si>
  <si>
    <t>* d²</t>
  </si>
  <si>
    <t>From the quadratic equation it is found that:</t>
  </si>
  <si>
    <t xml:space="preserve">     d  =</t>
  </si>
  <si>
    <t>Tb  =  Bottom Wingwall Thickness   =</t>
  </si>
  <si>
    <t>B/2 - x =</t>
  </si>
  <si>
    <t>WINGWALL DESIGN, SECTION 2-2</t>
  </si>
  <si>
    <t>w = Load at Apron Level   =</t>
  </si>
  <si>
    <t>V = Shear at Apron Level  =</t>
  </si>
  <si>
    <t>M = Moment at Apron Level =</t>
  </si>
  <si>
    <t>tr  =</t>
  </si>
  <si>
    <t>ta  =</t>
  </si>
  <si>
    <t>Wingwall Length  =</t>
  </si>
  <si>
    <t>Ast(Exposed Face)=</t>
  </si>
  <si>
    <t>Ast(Earth Face)  =</t>
  </si>
  <si>
    <t>EXPOSED FACE REINFORCEMENT</t>
  </si>
  <si>
    <t>Wingwall Height  =</t>
  </si>
  <si>
    <t>EARTH FACE REINFORCEMENT</t>
  </si>
  <si>
    <t>Ast(Moment)     =</t>
  </si>
  <si>
    <t>Ast(Shrinkage)  =</t>
  </si>
  <si>
    <t>bs(allow)     =</t>
  </si>
  <si>
    <t>KN/m²  OR</t>
  </si>
  <si>
    <t>Use  bs(allow)  =</t>
  </si>
  <si>
    <t>bs(actual)    =</t>
  </si>
  <si>
    <t xml:space="preserve">    1st  Trial</t>
  </si>
  <si>
    <t xml:space="preserve">    2nd  Trial</t>
  </si>
  <si>
    <t xml:space="preserve">    3rd  Trial</t>
  </si>
  <si>
    <t xml:space="preserve">    4th  Trial</t>
  </si>
  <si>
    <t>M(resisting)  =</t>
  </si>
  <si>
    <t xml:space="preserve">    y        h</t>
  </si>
  <si>
    <t>M(actual)     =</t>
  </si>
  <si>
    <t>By trial and error,  h  =</t>
  </si>
  <si>
    <t>x  =</t>
  </si>
  <si>
    <t>Ast(Moment)      =</t>
  </si>
  <si>
    <t>APRON DESIGN, SECTION 2-2</t>
  </si>
  <si>
    <t>W  =  Reaction at Apron End Points =</t>
  </si>
  <si>
    <t>w  =  Uniformly Distributed Load   =</t>
  </si>
  <si>
    <t>M(end)  =  End Moment  =</t>
  </si>
  <si>
    <t>x  =  Distance, Wingwall Centroid to Exposed Face  =</t>
  </si>
  <si>
    <t>M(wing)  = Critical Bottom Tension =</t>
  </si>
  <si>
    <t>M(mid)   = Mid Span Moment         =</t>
  </si>
  <si>
    <t>Moment(Top Tension)     =</t>
  </si>
  <si>
    <t>Moment(Bottom Tension)  =</t>
  </si>
  <si>
    <t>Shear  =</t>
  </si>
  <si>
    <t>Width of Apron (B+2*Tb)  =</t>
  </si>
  <si>
    <t>0  =  M(end)  -  M(d)  -  W*d  +  w*d²/2  =</t>
  </si>
  <si>
    <t>* d    +</t>
  </si>
  <si>
    <t>From quadratic equation:</t>
  </si>
  <si>
    <t>d       =</t>
  </si>
  <si>
    <t>x       =</t>
  </si>
  <si>
    <t>WINGWALL DESIGN, SECTION 3-3</t>
  </si>
  <si>
    <t>APRON DESIGN, SECTION 3-3</t>
  </si>
  <si>
    <t>WINGWALL DESIGN, SECTION 4-4</t>
  </si>
  <si>
    <t>APRON DESIGN, SECTION 4-4</t>
  </si>
  <si>
    <t>WINGWALL DESIGN, SECTION 5-5</t>
  </si>
  <si>
    <t>APRON DESIGN, SECTION 5-5</t>
  </si>
  <si>
    <t>5.4  SUMMARY OF DESIGN INFORMATION</t>
  </si>
  <si>
    <t>REINFORCEMENT</t>
  </si>
  <si>
    <t>MEMBER</t>
  </si>
  <si>
    <t>WINGWALL</t>
  </si>
  <si>
    <t xml:space="preserve">  1-1</t>
  </si>
  <si>
    <t xml:space="preserve">  2-2</t>
  </si>
  <si>
    <t xml:space="preserve">  3-3</t>
  </si>
  <si>
    <t xml:space="preserve">  4-4</t>
  </si>
  <si>
    <t xml:space="preserve">  5-5</t>
  </si>
  <si>
    <t>APRON</t>
  </si>
  <si>
    <t>MEMBER THICKNESS, BOND AND BAR CURTAILMENT</t>
  </si>
  <si>
    <t xml:space="preserve">      -        -      -</t>
  </si>
  <si>
    <t>Member</t>
  </si>
  <si>
    <t>USER DEFINED REINFORCEMENT</t>
  </si>
  <si>
    <t xml:space="preserve">   </t>
  </si>
  <si>
    <t xml:space="preserve"> </t>
  </si>
  <si>
    <t>SECTION</t>
  </si>
  <si>
    <t xml:space="preserve">LENGTH </t>
  </si>
  <si>
    <t xml:space="preserve">WINGWALL </t>
  </si>
  <si>
    <t>S</t>
  </si>
  <si>
    <t>L</t>
  </si>
  <si>
    <t>Tt</t>
  </si>
  <si>
    <t>Tb</t>
  </si>
  <si>
    <t>H</t>
  </si>
  <si>
    <t>Ta</t>
  </si>
  <si>
    <t>B</t>
  </si>
  <si>
    <t>H'</t>
  </si>
  <si>
    <t>B'</t>
  </si>
  <si>
    <t>(Top)</t>
  </si>
  <si>
    <t>(Bot)</t>
  </si>
  <si>
    <t>(m)</t>
  </si>
  <si>
    <t>(mm)</t>
  </si>
  <si>
    <t>from (S1)</t>
  </si>
  <si>
    <t>Thick(mm)</t>
  </si>
  <si>
    <t>Height</t>
  </si>
  <si>
    <t>Thick</t>
  </si>
  <si>
    <t>Width</t>
  </si>
  <si>
    <t xml:space="preserve">Height </t>
  </si>
  <si>
    <t>WINGWALL AND APRON (R/S)</t>
  </si>
  <si>
    <t>1.0  REQUIRED INPUT DATA</t>
  </si>
  <si>
    <t>2.0  WINGWALL DESIGN, SECTION 1-1</t>
  </si>
  <si>
    <t>3.0  APRON DESIGN, SECTION 1-1</t>
  </si>
  <si>
    <t xml:space="preserve">  B</t>
  </si>
  <si>
    <t>KN/m² (whichever is less)</t>
  </si>
  <si>
    <t xml:space="preserve">b  =  Unit Width of Member = </t>
  </si>
  <si>
    <t>dr(moment) = (M/Rb)^0.5 =</t>
  </si>
  <si>
    <t>Use  dr  =</t>
  </si>
  <si>
    <t xml:space="preserve">b  = Unit Width of Member =  </t>
  </si>
  <si>
    <t>Face</t>
  </si>
  <si>
    <t>Earth</t>
  </si>
  <si>
    <t xml:space="preserve">Length of   </t>
  </si>
  <si>
    <t>Exposed</t>
  </si>
  <si>
    <t>mm  c/c        (Ast =</t>
  </si>
  <si>
    <t>Ast(Exposed Face) =</t>
  </si>
  <si>
    <t>Ast(Earth Face) =</t>
  </si>
  <si>
    <t>Length of Member  = Height of Wingwall (H + Ta) =</t>
  </si>
  <si>
    <t>Ast (Exposed face) =</t>
  </si>
  <si>
    <t>da = Effective Depth of Section = ta - c =</t>
  </si>
  <si>
    <t>Ast = M/fs*j*da =</t>
  </si>
  <si>
    <t>Ast (Earth Face) =</t>
  </si>
  <si>
    <t>Use  Ast  =</t>
  </si>
  <si>
    <t>d = dia of bar =</t>
  </si>
  <si>
    <t>bs (allow) = 1.49E+04/d or 1103 K/m2 =</t>
  </si>
  <si>
    <t>bs(actual)  = Actual Bond Stress  = (V/tp*j*da) =</t>
  </si>
  <si>
    <t>tp = Total Perimeter of Steel Bars = 3.14*Diameter Bars / Spacing =</t>
  </si>
  <si>
    <t>=</t>
  </si>
  <si>
    <t>12 * Bar Diameter  = 12 * D =</t>
  </si>
  <si>
    <t>Use   dx  =</t>
  </si>
  <si>
    <t>x = H - h + dx =</t>
  </si>
  <si>
    <t>Ast(shrinkage)   =</t>
  </si>
  <si>
    <t>h =</t>
  </si>
  <si>
    <t xml:space="preserve">By trial and error, it is found that,    </t>
  </si>
  <si>
    <t xml:space="preserve">12 * Bar Diameter  =  </t>
  </si>
  <si>
    <t>Volume Concrete = (Tt + Tb)/2 * H * b =</t>
  </si>
  <si>
    <t>Volume Soil = (Tb - t)/2 * H * b =</t>
  </si>
  <si>
    <t>W = Reaction at apron end points =</t>
  </si>
  <si>
    <r>
      <t>Unit Weight of Concrete  (γ</t>
    </r>
    <r>
      <rPr>
        <vertAlign val="subscript"/>
        <sz val="10"/>
        <rFont val="Arial"/>
        <family val="2"/>
      </rPr>
      <t xml:space="preserve">c) </t>
    </r>
    <r>
      <rPr>
        <sz val="10"/>
        <rFont val="Arial"/>
        <family val="2"/>
      </rPr>
      <t>--&gt;</t>
    </r>
  </si>
  <si>
    <r>
      <t>Unit Weight of Soil (γ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)    --&gt;</t>
    </r>
  </si>
  <si>
    <r>
      <t>Unit Weight of Steel  (γ</t>
    </r>
    <r>
      <rPr>
        <vertAlign val="subscript"/>
        <sz val="10"/>
        <rFont val="Arial"/>
        <family val="2"/>
      </rPr>
      <t>st</t>
    </r>
    <r>
      <rPr>
        <sz val="10"/>
        <rFont val="Arial"/>
        <family val="2"/>
      </rPr>
      <t>)  --&gt;</t>
    </r>
  </si>
  <si>
    <t xml:space="preserve">x  =  Distance from Wingwall Centroid to Wingwall Exposed Face </t>
  </si>
  <si>
    <t>dr(shear) = (V/vb) =</t>
  </si>
  <si>
    <t>Ast (Exposed Face) =</t>
  </si>
  <si>
    <t>Length of Member = Width of Apron (B + 2*Tb) =</t>
  </si>
  <si>
    <t>Use   Ast  =</t>
  </si>
  <si>
    <t xml:space="preserve">M(d)  = 1/2 * M(end) =  </t>
  </si>
  <si>
    <r>
      <t>From the Moment Equation taken at Section(d):  M(d) = M(end) - W*d + w*d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</t>
    </r>
  </si>
  <si>
    <t>d  =</t>
  </si>
  <si>
    <t>x   =  Distance from Exposed Face of Wingwall to Location of 1st Bar Curtailment = d - Tb/2 + dx</t>
  </si>
  <si>
    <t>da  =  Effective Depth of Section  =</t>
  </si>
  <si>
    <t xml:space="preserve">x = </t>
  </si>
  <si>
    <t>If the location of curtailment is less than 1 m from the mid point of the apron (B/2) no curtailment is made.</t>
  </si>
  <si>
    <t>M(d) = 1/4* M(end) =</t>
  </si>
  <si>
    <r>
      <t>From the Moment Equation taken at Section(x): M(d) = M(end) - W*d + w*d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</t>
    </r>
  </si>
  <si>
    <t>Ast(Moment) = 1/4 * Ast(Design Moment, Bottom Tension) =</t>
  </si>
  <si>
    <t>Use   x   =</t>
  </si>
  <si>
    <t>dr(moment) =</t>
  </si>
  <si>
    <t>dr(shear) =</t>
  </si>
  <si>
    <t>tr = dr + c =</t>
  </si>
  <si>
    <t>M(wing) = Bottom Tension moment at Exposed Face of Wingwall =</t>
  </si>
  <si>
    <t>1-1</t>
  </si>
  <si>
    <t>2-2</t>
  </si>
  <si>
    <t>3-3</t>
  </si>
  <si>
    <t>4-4</t>
  </si>
  <si>
    <t>Ast(moment) =</t>
  </si>
  <si>
    <t>H - x =</t>
  </si>
  <si>
    <t>mm  c/c       (Ast =</t>
  </si>
  <si>
    <t>mm  c/c      (Ast =</t>
  </si>
  <si>
    <t>Ast(Moment) =</t>
  </si>
  <si>
    <t>d =</t>
  </si>
  <si>
    <t>x =</t>
  </si>
  <si>
    <t>Ast(Shrinkage) =</t>
  </si>
  <si>
    <t>5-5</t>
  </si>
  <si>
    <t>Ast(shrinkage) =</t>
  </si>
  <si>
    <t>Ast(moment)  =</t>
  </si>
  <si>
    <r>
      <t>(mm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</si>
  <si>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t>Ast (req)</t>
  </si>
  <si>
    <r>
      <t>φ</t>
    </r>
    <r>
      <rPr>
        <sz val="10"/>
        <rFont val="Arial"/>
        <family val="2"/>
      </rPr>
      <t xml:space="preserve"> (dia)</t>
    </r>
  </si>
  <si>
    <t>Spacing</t>
  </si>
  <si>
    <t>Ast (act)</t>
  </si>
  <si>
    <t>EXPOSED</t>
  </si>
  <si>
    <t>EARTH</t>
  </si>
  <si>
    <t>MAIN REINFORCEMENT</t>
  </si>
  <si>
    <t>OK/Not OK</t>
  </si>
  <si>
    <t>OK/not OK</t>
  </si>
  <si>
    <t>tr (mm)</t>
  </si>
  <si>
    <t>ta (mm)</t>
  </si>
  <si>
    <t>Yes/No</t>
  </si>
  <si>
    <r>
      <t>(KN/m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</si>
  <si>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t>Act. Design</t>
  </si>
  <si>
    <t>Allowable</t>
  </si>
  <si>
    <t>Reqd.</t>
  </si>
  <si>
    <t>Act Design.</t>
  </si>
  <si>
    <t>Member Thickness</t>
  </si>
  <si>
    <t>Bond</t>
  </si>
  <si>
    <t>Bar Curtailment</t>
  </si>
  <si>
    <t>Ast(req)</t>
  </si>
  <si>
    <r>
      <t>φ</t>
    </r>
    <r>
      <rPr>
        <sz val="10"/>
        <rFont val="Arial"/>
        <family val="2"/>
      </rPr>
      <t xml:space="preserve"> (bar dia)</t>
    </r>
  </si>
  <si>
    <t>spacing</t>
  </si>
  <si>
    <t>Ast(act)</t>
  </si>
  <si>
    <t xml:space="preserve">    Use</t>
  </si>
  <si>
    <t>the end moment (M(end)).</t>
  </si>
  <si>
    <t xml:space="preserve">At the location where the bars can be curtailed (a distance (d) from the c/l of the wingwalls), the moment is 1/2 </t>
  </si>
  <si>
    <t>If the location of curtailment is less than 1 m from the mid point of apron (B/2) no curtailment should be made.</t>
  </si>
  <si>
    <t>Allowable Flexural Strength of Concrete(fc) = 0.4*f'c =</t>
  </si>
  <si>
    <t>Allowable Shear Stress of Concrete(v)  =2.89*f'c^0.5 =</t>
  </si>
  <si>
    <t>Allowable Bond Stress (bs(allow))=  113.4*f'c^0.5/d =</t>
  </si>
  <si>
    <t>1psi</t>
  </si>
  <si>
    <r>
      <t>6.895 kn/m</t>
    </r>
    <r>
      <rPr>
        <vertAlign val="superscript"/>
        <sz val="10"/>
        <rFont val="Arial"/>
        <family val="2"/>
      </rPr>
      <t>2</t>
    </r>
  </si>
  <si>
    <t>Section width</t>
  </si>
  <si>
    <t>number of Vents,</t>
  </si>
  <si>
    <t>n =</t>
  </si>
  <si>
    <t xml:space="preserve">Width of vent </t>
  </si>
  <si>
    <t>Thickness of pier</t>
  </si>
  <si>
    <t>Ps =</t>
  </si>
  <si>
    <t xml:space="preserve">Flaring Angle </t>
  </si>
  <si>
    <t>φ =</t>
  </si>
  <si>
    <t xml:space="preserve">Section distance  </t>
  </si>
  <si>
    <t>S =</t>
  </si>
  <si>
    <t>nos</t>
  </si>
  <si>
    <t>length of wing wall</t>
  </si>
  <si>
    <t xml:space="preserve">Structure details </t>
  </si>
  <si>
    <t>m PWD</t>
  </si>
  <si>
    <t>Barrel Extension R/S"</t>
  </si>
  <si>
    <t>Barrel Extension C/S"</t>
  </si>
  <si>
    <t>Allowable Flexural Strength of Steel (fs) = 0.45*fy =</t>
  </si>
  <si>
    <t>The wingwall is designed as cantilever. Design moment and shear are calculated at apron c/l.</t>
  </si>
  <si>
    <t>V  =  Shear at Apron Level  =  w*H / 2  =</t>
  </si>
  <si>
    <t>M  =  Moment at Apron Level =  w * H²/ 6 =</t>
  </si>
  <si>
    <t>tr  =  Reqd thickness  =  dr + c</t>
  </si>
  <si>
    <t>dr(shear) = V/(vb) =</t>
  </si>
  <si>
    <t>ta = Thickness Provided =</t>
  </si>
  <si>
    <t>tr  = dr + c =</t>
  </si>
  <si>
    <r>
      <t>w = Load at apron level =  Ca*γ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*H =</t>
    </r>
  </si>
  <si>
    <t>Ast = Required steel area = K1*ta*b</t>
  </si>
  <si>
    <t xml:space="preserve">1/2 and then 3/4 of bars may be curtailed at specified height. No curtailment, If specified height is les than 1 m. </t>
  </si>
  <si>
    <t>M(resisting) = (1/2 Ast) * fs * j * da</t>
  </si>
  <si>
    <t>1/2 Ast = Area of steel  after curtailment =</t>
  </si>
  <si>
    <t>da = Effective depth of Section where curtailment occurs = Tt + (Tb - Tt)*h/H - c =</t>
  </si>
  <si>
    <t xml:space="preserve">     (h = Distance from Top of Wingwall (m))</t>
  </si>
  <si>
    <r>
      <t xml:space="preserve">M(actual) = Ca * </t>
    </r>
    <r>
      <rPr>
        <sz val="10"/>
        <rFont val="Calibri"/>
        <family val="2"/>
      </rPr>
      <t>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 xml:space="preserve"> * h³ / 6 =</t>
    </r>
  </si>
  <si>
    <t>x = Distance from Apron Level to Location of Bar Curtailment = H - h + dx</t>
  </si>
  <si>
    <t>da  =  Effective Depth where curtailment occurs</t>
  </si>
  <si>
    <t>Ast(moment) = 1/2*Ast(moment, at Apron Level) =</t>
  </si>
  <si>
    <t>M(resisting)  =  (1/4 Ast)* fs*j*da =</t>
  </si>
  <si>
    <t>da  =  Actual depth of Section where curtailment occurs = Tt+ (Tb-Tt)*h/H -c =</t>
  </si>
  <si>
    <r>
      <t>M(actual)  =  Ca *</t>
    </r>
    <r>
      <rPr>
        <sz val="10"/>
        <rFont val="Calibri"/>
        <family val="2"/>
      </rPr>
      <t>γ</t>
    </r>
    <r>
      <rPr>
        <sz val="10"/>
        <rFont val="Arial"/>
        <family val="2"/>
      </rPr>
      <t>s * h³ / 6 =</t>
    </r>
  </si>
  <si>
    <t xml:space="preserve">By trial and error,      </t>
  </si>
  <si>
    <t>x  =  H - h + dx</t>
  </si>
  <si>
    <t xml:space="preserve"> dx   =  da      OR    =  12 * Bar Diameter    (whichever value is larger)</t>
  </si>
  <si>
    <t>Ast(moment) = 1/4 * Ast(moment, Apron Level) =</t>
  </si>
  <si>
    <t>w = Distributed Load underneath apron = 2*W/B' =</t>
  </si>
  <si>
    <r>
      <t>W =  Volume concrete *</t>
    </r>
    <r>
      <rPr>
        <sz val="10"/>
        <rFont val="Calibri"/>
        <family val="2"/>
      </rPr>
      <t>γc</t>
    </r>
    <r>
      <rPr>
        <sz val="10"/>
        <rFont val="Arial"/>
        <family val="2"/>
      </rPr>
      <t xml:space="preserve">  + Volume soil *γs </t>
    </r>
  </si>
  <si>
    <t>M(mid) = Mid span moment = M(end) - W*(B/2+x) + w * B'²/8 =</t>
  </si>
  <si>
    <t>Shear =</t>
  </si>
  <si>
    <t>Moment (Bottom Tension) =</t>
  </si>
  <si>
    <t>Moment (Top Tension) =</t>
  </si>
  <si>
    <t>ta  =   Member Thickness Provided  =</t>
  </si>
  <si>
    <t>da =  ta - c =</t>
  </si>
  <si>
    <t>1/2 and then 3/4 of the bars may be curtailed at specified length. No curtailment If specified length is &lt;1.0m</t>
  </si>
  <si>
    <t>From the quadratic equation :</t>
  </si>
  <si>
    <t xml:space="preserve"> dx  =  da   OR  =  12 * Bar Diameter  (whichever value is larger)</t>
  </si>
  <si>
    <r>
      <t>M(wing) = Moment at Exposed Face of Wingwall = M(end) - W*x + w * x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</t>
    </r>
  </si>
  <si>
    <t xml:space="preserve">m </t>
  </si>
  <si>
    <t>El of Wing top adjacent to Barrel Extension</t>
  </si>
  <si>
    <t>Glacis length (1V:3H)</t>
  </si>
  <si>
    <t>Length of wing wall (Lw)</t>
  </si>
  <si>
    <t>El of Wing bottom adjacent to Barrel Extension</t>
  </si>
  <si>
    <t>El of wing bottom at glacis end</t>
  </si>
  <si>
    <t>dx =  da      OR    =  12 * Bar Diameter    (whichever value is larger)</t>
  </si>
  <si>
    <t>Ast (moment) = 1/4 Ast = Area of steel after bar curtailment =</t>
  </si>
  <si>
    <r>
      <t>M(end) = End moment = Ca* 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*H'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/6 =</t>
    </r>
  </si>
  <si>
    <t>Ast(moment)  = 1/2 * Ast (Design Moment, Bottom Tension) =</t>
  </si>
  <si>
    <t xml:space="preserve"> Use   x =</t>
  </si>
  <si>
    <t>x  =  Distance from Exposed Face of Wingwall to Location of 1st Bar Curtailment = d - Tb/2 + dx</t>
  </si>
  <si>
    <t xml:space="preserve"> dx =  da      OR    =  12 * Bar Diameter    (whichever value is larger)</t>
  </si>
  <si>
    <t>Main Reinforcement</t>
  </si>
  <si>
    <t>Top/Exposed</t>
  </si>
  <si>
    <t>Bottom/Earth</t>
  </si>
  <si>
    <t>Wingwall</t>
  </si>
  <si>
    <t>Apron</t>
  </si>
  <si>
    <t>Height or Width (B/2)</t>
  </si>
  <si>
    <t>1st curtailment</t>
  </si>
  <si>
    <t>2nd Curtailment</t>
  </si>
  <si>
    <t>Loc (m)</t>
  </si>
  <si>
    <t>TOP/ EXPOSED</t>
  </si>
  <si>
    <t>BOTTOM/ EARTH</t>
  </si>
  <si>
    <t>Wing Wall</t>
  </si>
  <si>
    <t xml:space="preserve"> 5-5</t>
  </si>
  <si>
    <t>|      Tb      |</t>
  </si>
  <si>
    <t>psi</t>
  </si>
  <si>
    <r>
      <t>lb/ft</t>
    </r>
    <r>
      <rPr>
        <vertAlign val="superscript"/>
        <sz val="10"/>
        <rFont val="Arial"/>
        <family val="2"/>
      </rPr>
      <t>3</t>
    </r>
  </si>
  <si>
    <t>Gate clearance (Cs):</t>
  </si>
  <si>
    <t>Cs</t>
  </si>
  <si>
    <t>* h =</t>
  </si>
  <si>
    <t>WINGWALL AND APRON (C/S)</t>
  </si>
  <si>
    <r>
      <t>Unit Weight of Steel (γ</t>
    </r>
    <r>
      <rPr>
        <vertAlign val="subscript"/>
        <sz val="10"/>
        <rFont val="Arial"/>
        <family val="2"/>
      </rPr>
      <t>st</t>
    </r>
    <r>
      <rPr>
        <sz val="10"/>
        <rFont val="Arial"/>
        <family val="2"/>
      </rPr>
      <t>)   --&gt;</t>
    </r>
  </si>
  <si>
    <r>
      <t>KN/m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 </t>
    </r>
  </si>
  <si>
    <r>
      <t>Unit Weight of Concrete (γ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>) --&gt;</t>
    </r>
  </si>
  <si>
    <r>
      <t>Unit Weight of Soil  (γ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)   --&gt;</t>
    </r>
  </si>
  <si>
    <r>
      <t>Unit Weight of Water  (γ</t>
    </r>
    <r>
      <rPr>
        <vertAlign val="subscript"/>
        <sz val="10"/>
        <rFont val="Arial"/>
        <family val="2"/>
      </rPr>
      <t>w</t>
    </r>
    <r>
      <rPr>
        <sz val="10"/>
        <rFont val="Arial"/>
        <family val="2"/>
      </rPr>
      <t>)  --&gt;</t>
    </r>
  </si>
  <si>
    <t>m/sec/sec</t>
  </si>
  <si>
    <t>Coeff. of Friction (f)  --&gt;</t>
  </si>
  <si>
    <t>Return Wall Top Level   --&gt;</t>
  </si>
  <si>
    <t>Bottom Slab Level       --&gt;</t>
  </si>
  <si>
    <t>Return Wall Top Thick   --&gt;</t>
  </si>
  <si>
    <t>Return Wall Bottom Thick -&gt;</t>
  </si>
  <si>
    <t>Bottom Slab Thickness   --&gt;</t>
  </si>
  <si>
    <t>Height of Return Wall (H)    =</t>
  </si>
  <si>
    <t>Height of Return Wall i/c base (H') =</t>
  </si>
  <si>
    <t>Length of Return Wall   --&gt;</t>
  </si>
  <si>
    <t>Length of Heel          --&gt;</t>
  </si>
  <si>
    <t>P1 =</t>
  </si>
  <si>
    <t>Length of Toe           --&gt;</t>
  </si>
  <si>
    <t>P2 =</t>
  </si>
  <si>
    <t>Total Length (width) of B.Slab    =</t>
  </si>
  <si>
    <t>Ultimate Flexural Strength of Steel (fy) =</t>
  </si>
  <si>
    <t>Ultimate Flexural Strength of Concrete(f'c) =</t>
  </si>
  <si>
    <r>
      <t>Allowable Shear Stress of Concrete(v) = 2.89* f'c</t>
    </r>
    <r>
      <rPr>
        <vertAlign val="superscript"/>
        <sz val="10"/>
        <rFont val="Arial"/>
        <family val="2"/>
      </rPr>
      <t>1/2</t>
    </r>
    <r>
      <rPr>
        <sz val="10"/>
        <rFont val="Arial"/>
        <family val="2"/>
      </rPr>
      <t xml:space="preserve"> =</t>
    </r>
  </si>
  <si>
    <r>
      <t>Allowable Bond Stress (bs(allow)) = 113.40*f'c</t>
    </r>
    <r>
      <rPr>
        <vertAlign val="superscript"/>
        <sz val="10"/>
        <rFont val="Arial"/>
        <family val="2"/>
      </rPr>
      <t>1/2</t>
    </r>
    <r>
      <rPr>
        <sz val="10"/>
        <rFont val="Arial"/>
        <family val="2"/>
      </rPr>
      <t>/d =</t>
    </r>
  </si>
  <si>
    <r>
      <t>/d  KN/m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</t>
    </r>
  </si>
  <si>
    <t xml:space="preserve">KN/m² </t>
  </si>
  <si>
    <t>(whichever is less)</t>
  </si>
  <si>
    <t>Coverage + 1/2 Dia.Reinforcement (c)      --&gt;</t>
  </si>
  <si>
    <t>b  =  Unit Width of Member       =      1.00 m</t>
  </si>
  <si>
    <t xml:space="preserve">     Tt</t>
  </si>
  <si>
    <t xml:space="preserve"> mm</t>
  </si>
  <si>
    <t>m, PWD</t>
  </si>
  <si>
    <t>H (m)</t>
  </si>
  <si>
    <t>H' (m)</t>
  </si>
  <si>
    <r>
      <t>P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</t>
    </r>
  </si>
  <si>
    <r>
      <t>P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</t>
    </r>
  </si>
  <si>
    <t>Lt (m)</t>
  </si>
  <si>
    <t xml:space="preserve">   Tb  '(mm)</t>
  </si>
  <si>
    <t xml:space="preserve"> Lh  '(m)</t>
  </si>
  <si>
    <t>L' (m)</t>
  </si>
  <si>
    <t xml:space="preserve">   RETURN WALL SECTION</t>
  </si>
  <si>
    <t>2.0  RETURN WALL STABILITY ANALYSIS</t>
  </si>
  <si>
    <t>Component</t>
  </si>
  <si>
    <t>Length/ht</t>
  </si>
  <si>
    <t>Weight</t>
  </si>
  <si>
    <t>Load</t>
  </si>
  <si>
    <t>Arm</t>
  </si>
  <si>
    <t xml:space="preserve">   Moment</t>
  </si>
  <si>
    <t>(KN/m3)</t>
  </si>
  <si>
    <t>(KN)</t>
  </si>
  <si>
    <t>(KNm)</t>
  </si>
  <si>
    <t>Bottom Slab</t>
  </si>
  <si>
    <t>Stem (rectangular)</t>
  </si>
  <si>
    <t>Stem (triangular)</t>
  </si>
  <si>
    <t>Earth (triangular)</t>
  </si>
  <si>
    <t>Earth (rectangular)</t>
  </si>
  <si>
    <t>Total</t>
  </si>
  <si>
    <t xml:space="preserve">DESIGN LOADS AND MOMENTS  </t>
  </si>
  <si>
    <t>P' = 0.5 * Ca* (Height of Return Wall (H'))2 * Weight of soil =</t>
  </si>
  <si>
    <t>Moment Overturning = P' * H'/3 =</t>
  </si>
  <si>
    <t>Factor of Safety Against Over Turning = M(resist)/M (ot) =</t>
  </si>
  <si>
    <t>Factor of Safety =</t>
  </si>
  <si>
    <t>Factor of Safety Against Sliding = 0.5*vertical load /P' =</t>
  </si>
  <si>
    <t>Since RCC/Steel cutoff wall have been provided , significant amount of sliding force will</t>
  </si>
  <si>
    <t xml:space="preserve">be resisted .  Therefore , even a marginal  factor of safety is considered adequate. </t>
  </si>
  <si>
    <t>CHECK FOUNDATION PRESSURE</t>
  </si>
  <si>
    <t>Resultant forces act at a distance  x' from toe  = M (net) / V. Load</t>
  </si>
  <si>
    <t xml:space="preserve">    = (M(resist.) - M(over turning)) / V.Load</t>
  </si>
  <si>
    <t>Ecentricity  e  = Total width ob Base slab /2 - x' =</t>
  </si>
  <si>
    <r>
      <t xml:space="preserve">Foundation pressure P1 and P2 = V. Load / Area </t>
    </r>
    <r>
      <rPr>
        <sz val="10"/>
        <rFont val="Arial"/>
        <family val="2"/>
      </rPr>
      <t xml:space="preserve">± </t>
    </r>
    <r>
      <rPr>
        <sz val="10"/>
        <rFont val="Arial"/>
        <family val="2"/>
      </rPr>
      <t>V.Load * e / z ( section modulus )</t>
    </r>
  </si>
  <si>
    <t xml:space="preserve">Section Modulus Z = bh²/6 (b = 1.0 m , h = Width of B.Slab) = </t>
  </si>
  <si>
    <t xml:space="preserve">P1   = </t>
  </si>
  <si>
    <t>P2   =</t>
  </si>
  <si>
    <t xml:space="preserve">P2   is </t>
  </si>
  <si>
    <t>3.0  STEM DESIGN</t>
  </si>
  <si>
    <t>The stem is designed as a cantilever .The design moment and shear are calculated at the bottom slab.</t>
  </si>
  <si>
    <r>
      <t>w  =  Load at Base Slab Level = Ca * Ht. of Return Wall (H) * 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 xml:space="preserve"> =</t>
    </r>
  </si>
  <si>
    <t>H  =  Height of stem =</t>
  </si>
  <si>
    <t>V = Shear at base of stem = w * H / 2 =</t>
  </si>
  <si>
    <t>M  =  Moment at Base Slab Level =  w  *  H²/ 6   =</t>
  </si>
  <si>
    <t>tr  =  Required Member Thickness  =  dr  +  c</t>
  </si>
  <si>
    <t>M  =  Design Moment     =</t>
  </si>
  <si>
    <t xml:space="preserve">V  =  Design Shear  =  </t>
  </si>
  <si>
    <t>ta  =  Actual Member Thickness Provided =</t>
  </si>
  <si>
    <t>Ast  =  Required Area of Steel</t>
  </si>
  <si>
    <t xml:space="preserve">     =  K1  *  ta  *  b           OR         =  K1  *  380  *  b</t>
  </si>
  <si>
    <t xml:space="preserve">        (for ta &lt;= 380 mm)                      (for ta &gt; 380 mm)</t>
  </si>
  <si>
    <t xml:space="preserve">The coefficient K1 depends on the Length of the Member and the Face (Exposed or Earth Face) being </t>
  </si>
  <si>
    <t>designed.  The recommended values for K1 are shown below:</t>
  </si>
  <si>
    <t xml:space="preserve">Length of  </t>
  </si>
  <si>
    <t>Length of Returnwall      =</t>
  </si>
  <si>
    <t xml:space="preserve">  Member </t>
  </si>
  <si>
    <t>b   =  Unit Width of Member  =  1.00 m</t>
  </si>
  <si>
    <t>Ast (exposedface) =</t>
  </si>
  <si>
    <t xml:space="preserve">For the critical load condition there is no exposed face tension.  The Shrinkage reinforcement required  </t>
  </si>
  <si>
    <t>is used for design.</t>
  </si>
  <si>
    <t>Length of Member  =  Height of Returnwall (H + Ta)   =</t>
  </si>
  <si>
    <t xml:space="preserve">ta  =  Actual Thickness of Member  =  </t>
  </si>
  <si>
    <t>Ast = (M/fs*j*da) =</t>
  </si>
  <si>
    <t>Length of Member  =  Height of Wingwall (H + Ta)     =</t>
  </si>
  <si>
    <t xml:space="preserve">ta  =  Thickness of Member  = </t>
  </si>
  <si>
    <t>Ast = (Earth face) =</t>
  </si>
  <si>
    <t>bs(allow)    =</t>
  </si>
  <si>
    <t xml:space="preserve">bs(actual)  = Actual Bond Stress  = (V/tp*j*da) = </t>
  </si>
  <si>
    <t xml:space="preserve">For an economical design, 1/2 and then 3/4 of the bars may be curtailed at a specified height. If the specified </t>
  </si>
  <si>
    <t>height is less than 1 m  from top of returnwall then no curtailment is made.</t>
  </si>
  <si>
    <t>The method used to determine the location of the 1st bar curtailment is complex as the thickness of Returnwall</t>
  </si>
  <si>
    <t>increases between the top and bottom of the member.</t>
  </si>
  <si>
    <t>At the location where the bars can be curtailed (a distance (h) from the top of returnwall), thickness of the member</t>
  </si>
  <si>
    <t xml:space="preserve">and reinforcement provided must be sufficient to withstand the soil pressure acting on the member at that point. </t>
  </si>
  <si>
    <t>M(resisting) = Resisting  Moment = (1/2 Ast) * fs * j * da</t>
  </si>
  <si>
    <t>da  =  Actual Effective Depth of Section where curtailment occurs</t>
  </si>
  <si>
    <t>=  Tt + (Tb - Tt) * h /H - c =</t>
  </si>
  <si>
    <t xml:space="preserve">   (h = Distance from Top of Wingwall (m))</t>
  </si>
  <si>
    <t>M(actual)  =  Ca  *  Weight Soil  *  h³ / 6 =</t>
  </si>
  <si>
    <t xml:space="preserve">By trial and error, it is found that:    </t>
  </si>
  <si>
    <t>x   =  Distance from Base Slab Level to Location of 1st Bar Curtailment = H - h - dx =</t>
  </si>
  <si>
    <t>dx  =  Extra Distance to extend the Bars beyond the theoretical Curtailment Location</t>
  </si>
  <si>
    <t xml:space="preserve">    =  da      OR    =  24 * Bar Diameter    (whichever value is larger)</t>
  </si>
  <si>
    <t>da  = Effective Depth of Section where curtailment occurs =</t>
  </si>
  <si>
    <t xml:space="preserve">24 * Bar Diameter  = </t>
  </si>
  <si>
    <t>If the location of curtailment is less than 1 m from the top of the returnwall no curtailment is made.</t>
  </si>
  <si>
    <t>Ast(moment) = 1/2 * Ast(provided) =</t>
  </si>
  <si>
    <t>Ast(shrinkage)  =</t>
  </si>
  <si>
    <t>M(resisting)  = Resisting  Moment  =  (1/4 Ast) * fs * j * da</t>
  </si>
  <si>
    <t>1/4 Ast  =  Area of Steel available after bar curtailment     =</t>
  </si>
  <si>
    <t xml:space="preserve"> da  =  Tt  +  (Tb - Tt) * h /H  -  c  =</t>
  </si>
  <si>
    <t>M(actual) = Ca * Weight Soil * h³ / 6 =</t>
  </si>
  <si>
    <t>By trial and error, it is found that     h  =</t>
  </si>
  <si>
    <t>x   =  Distance from Base Slab Level to Location of 2nd Bar Curtailment = H - h + dx</t>
  </si>
  <si>
    <t xml:space="preserve">24 * Bar Diameter =  </t>
  </si>
  <si>
    <t>If the location of curtailment is less than 1 m from top of the returnwall no curtailment is made.</t>
  </si>
  <si>
    <t>Ast(moment) = 1/4 * Ast(provided) =</t>
  </si>
  <si>
    <t>5.0 DESIGN OF HEEL AND TOE SLAB</t>
  </si>
  <si>
    <t xml:space="preserve">The heel and toe are designed as cantilever . The design moment and shear are calculated at the face </t>
  </si>
  <si>
    <t xml:space="preserve">of returnwall base. </t>
  </si>
  <si>
    <t>HEEL SLAB</t>
  </si>
  <si>
    <t>Foundation Pressure, P1=</t>
  </si>
  <si>
    <t>KN/m² ;</t>
  </si>
  <si>
    <t>Foundation Pressure   P2  =</t>
  </si>
  <si>
    <t>Length of Heel        Lh  =</t>
  </si>
  <si>
    <t>m   ;</t>
  </si>
  <si>
    <t>Total Length of Base Slab, L =</t>
  </si>
  <si>
    <t xml:space="preserve">Thickness of Heel Slab, Ta = </t>
  </si>
  <si>
    <t>mm  ;</t>
  </si>
  <si>
    <t>Height of Returnwall   H  =</t>
  </si>
  <si>
    <t>M  = Moment at earthface of stem  =</t>
  </si>
  <si>
    <r>
      <t>P2*(Lh)²/2 + ((P1-P2)*Lh /L *(Lh)²/6 - ( H*(Lh)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/2*γ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 xml:space="preserve"> + Ta*(Lh)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/2*γ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>)  =</t>
    </r>
  </si>
  <si>
    <t>( Top tension )</t>
  </si>
  <si>
    <t>V  = Shear at earthface of stem   =</t>
  </si>
  <si>
    <r>
      <t>P2*Lh+((P1-P2)*Lh /L)*Lh /2 - (H*Lh*γ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 xml:space="preserve"> + Ta*Lh*γ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) = </t>
    </r>
  </si>
  <si>
    <t>( Downward )</t>
  </si>
  <si>
    <t>dr(moment)  =  (M/(R*b))^0.5 =</t>
  </si>
  <si>
    <t>dr(shear) = V/(v*b) =</t>
  </si>
  <si>
    <t xml:space="preserve"> Use  dr  =</t>
  </si>
  <si>
    <t>ta  =  Actual Member Thickness Provided     =</t>
  </si>
  <si>
    <t>The coefficient K1 depends on the Length of the Member and the Face (Exposed or Earth Face) being designed.</t>
  </si>
  <si>
    <t>The recommended values for K1 are shown below:</t>
  </si>
  <si>
    <t>Use</t>
  </si>
  <si>
    <t>HORIZONTAL MAIN REINFORCEMENT</t>
  </si>
  <si>
    <t xml:space="preserve">Ast  =  Required Area of Steel  = (M/Fs*j*da) =   </t>
  </si>
  <si>
    <t>da  =  Effective Depth of Section = ta - c =</t>
  </si>
  <si>
    <t>Length of Member  =  Length of Base Slab (L)     =</t>
  </si>
  <si>
    <t>Ast (Earth face) =</t>
  </si>
  <si>
    <t xml:space="preserve">   Use</t>
  </si>
  <si>
    <t>V = Design Shear =</t>
  </si>
  <si>
    <t>tp = Total Perimeter of Bars = 3.14* Bar Diameter / Spacing =</t>
  </si>
  <si>
    <t>bs(actual) = (V/tp*j*da) =</t>
  </si>
  <si>
    <t>TOE SLAB</t>
  </si>
  <si>
    <t>Foundation Pressure   P1  =</t>
  </si>
  <si>
    <t>Length of Toe,  Lt  =</t>
  </si>
  <si>
    <t xml:space="preserve">Thickness of Toe Slab, Ta = </t>
  </si>
  <si>
    <t xml:space="preserve">mm  </t>
  </si>
  <si>
    <t>M  = Moment at exposeface of stem  =</t>
  </si>
  <si>
    <r>
      <t>P2*Lt²/2+(P1-P2)/L*(L-Lt)*Lt²/2+(P1-(P2+(P1-P2)/L*(L-Lt)))*Lt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/3-Ta*Lt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/2*γ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</si>
  <si>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( Bottom tension )</t>
  </si>
  <si>
    <r>
      <t>V = Shear at exposeface of stem = ((P1-P2)*(L-Lt)/L+P2+P1)*Lt/2-Ta*Lt*γ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</si>
  <si>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Kn</t>
  </si>
  <si>
    <t>( Upward )</t>
  </si>
  <si>
    <r>
      <t>dr(moment) = (M/(Rb))</t>
    </r>
    <r>
      <rPr>
        <vertAlign val="superscript"/>
        <sz val="10"/>
        <rFont val="Arial"/>
        <family val="2"/>
      </rPr>
      <t>1/2</t>
    </r>
    <r>
      <rPr>
        <sz val="10"/>
        <rFont val="Arial"/>
        <family val="2"/>
      </rPr>
      <t xml:space="preserve"> =</t>
    </r>
  </si>
  <si>
    <t>dr(Shear)  =  V/(v*b) =</t>
  </si>
  <si>
    <t>ta = Member Thickness Provided =</t>
  </si>
  <si>
    <t>Length of Returnwall =</t>
  </si>
  <si>
    <t>ta = Actual Thickness of Member  =</t>
  </si>
  <si>
    <t>Ast  =  Required Area of Steel  =  M/(fs*j*da) =</t>
  </si>
  <si>
    <t>bs(actual)  = Actual Bond Stress  = V/(tp*j*da) =</t>
  </si>
  <si>
    <t>tp = Total Perimeter of Bars = 3.14*Diameter Bars / Spacing =</t>
  </si>
  <si>
    <r>
      <t>φ</t>
    </r>
    <r>
      <rPr>
        <sz val="10"/>
        <rFont val="Arial"/>
        <family val="2"/>
      </rPr>
      <t xml:space="preserve"> (dia)</t>
    </r>
  </si>
  <si>
    <t>(mm2)</t>
  </si>
  <si>
    <t>STEM</t>
  </si>
  <si>
    <t>HEEL</t>
  </si>
  <si>
    <t>TOE</t>
  </si>
  <si>
    <t>TOP/EXPOSED</t>
  </si>
  <si>
    <t>BOTTOM/EARTH</t>
  </si>
  <si>
    <t>STABILITY</t>
  </si>
  <si>
    <t>LOADS AND MOMENTS</t>
  </si>
  <si>
    <t>Total weight =</t>
  </si>
  <si>
    <t>Resisting moment =</t>
  </si>
  <si>
    <t>Over turning moment =</t>
  </si>
  <si>
    <t>F.S (over turning) =</t>
  </si>
  <si>
    <t xml:space="preserve">    Should be &gt; 1.5</t>
  </si>
  <si>
    <t>F.S (sliding) =</t>
  </si>
  <si>
    <t>FOUNDATION PRESSURE</t>
  </si>
  <si>
    <t>Resultant action point from toe =</t>
  </si>
  <si>
    <t>Ecentricity  e  =</t>
  </si>
  <si>
    <t>Pressure at toe,  P1 =</t>
  </si>
  <si>
    <t>Pressure at heel,   P2 =</t>
  </si>
  <si>
    <t>Member thickness</t>
  </si>
  <si>
    <t xml:space="preserve">  Moment</t>
  </si>
  <si>
    <t xml:space="preserve">  Shear</t>
  </si>
  <si>
    <t xml:space="preserve">Required </t>
  </si>
  <si>
    <t>Provided</t>
  </si>
  <si>
    <t>dr(mom)</t>
  </si>
  <si>
    <t>dr(shear)</t>
  </si>
  <si>
    <t>tr(req)</t>
  </si>
  <si>
    <t>ta(act)</t>
  </si>
  <si>
    <t xml:space="preserve"> STEM</t>
  </si>
  <si>
    <t xml:space="preserve"> HEEL</t>
  </si>
  <si>
    <t>Note:</t>
  </si>
  <si>
    <t>Heel: top tension and shear downward</t>
  </si>
  <si>
    <t>Toe : bottom tension and shear upward</t>
  </si>
  <si>
    <t>REINFORCEMENTS</t>
  </si>
  <si>
    <t xml:space="preserve"> Member</t>
  </si>
  <si>
    <t xml:space="preserve">   Ast requird</t>
  </si>
  <si>
    <t>moment</t>
  </si>
  <si>
    <t>shrink</t>
  </si>
  <si>
    <t>Bar dia</t>
  </si>
  <si>
    <t xml:space="preserve"> Spacing</t>
  </si>
  <si>
    <t>Ast</t>
  </si>
  <si>
    <t xml:space="preserve">    ø    </t>
  </si>
  <si>
    <t>@</t>
  </si>
  <si>
    <t>provided</t>
  </si>
  <si>
    <t>(mm²)</t>
  </si>
  <si>
    <t xml:space="preserve"> (mm c/c)</t>
  </si>
  <si>
    <t xml:space="preserve">  Ver exp face </t>
  </si>
  <si>
    <t xml:space="preserve">  Ver earth face </t>
  </si>
  <si>
    <t xml:space="preserve">  Hor exp face </t>
  </si>
  <si>
    <t xml:space="preserve">  Hor earth face </t>
  </si>
  <si>
    <t xml:space="preserve">  Hor main(top)     </t>
  </si>
  <si>
    <t xml:space="preserve">  Hor.top(long) </t>
  </si>
  <si>
    <t xml:space="preserve">  Hor botm(short)</t>
  </si>
  <si>
    <t xml:space="preserve">  Hor botm(long)</t>
  </si>
  <si>
    <t xml:space="preserve">   TOE</t>
  </si>
  <si>
    <t xml:space="preserve">  Hor main(botm)     </t>
  </si>
  <si>
    <t xml:space="preserve">  Hor top(short)</t>
  </si>
  <si>
    <t>BAR CURTAILMENTS</t>
  </si>
  <si>
    <t>Curt. ht.</t>
  </si>
  <si>
    <t xml:space="preserve"> Depth of</t>
  </si>
  <si>
    <t>Curt. pt.</t>
  </si>
  <si>
    <t>from top</t>
  </si>
  <si>
    <t xml:space="preserve"> sectn.at</t>
  </si>
  <si>
    <t xml:space="preserve">  24ø    </t>
  </si>
  <si>
    <t>above bot</t>
  </si>
  <si>
    <t xml:space="preserve"> curt.pt.</t>
  </si>
  <si>
    <t>slab, x</t>
  </si>
  <si>
    <t>momt.</t>
  </si>
  <si>
    <t xml:space="preserve"> da  (mm)</t>
  </si>
  <si>
    <t xml:space="preserve">   (m)</t>
  </si>
  <si>
    <t xml:space="preserve">  1st curtailment</t>
  </si>
  <si>
    <t xml:space="preserve">  2nd curtailment</t>
  </si>
  <si>
    <t>BOND</t>
  </si>
  <si>
    <t>Bar</t>
  </si>
  <si>
    <t>Max(allow</t>
  </si>
  <si>
    <t xml:space="preserve">Design </t>
  </si>
  <si>
    <t>Total bar</t>
  </si>
  <si>
    <t xml:space="preserve"> dia.</t>
  </si>
  <si>
    <t xml:space="preserve"> allowab</t>
  </si>
  <si>
    <t>able)bond</t>
  </si>
  <si>
    <t>shear</t>
  </si>
  <si>
    <t>perimeter</t>
  </si>
  <si>
    <t xml:space="preserve">  develop</t>
  </si>
  <si>
    <t>bs(allow)</t>
  </si>
  <si>
    <t>stress</t>
  </si>
  <si>
    <t xml:space="preserve"> V</t>
  </si>
  <si>
    <t>tp</t>
  </si>
  <si>
    <t xml:space="preserve"> bs(ac.)</t>
  </si>
  <si>
    <t>(KN/m²)</t>
  </si>
  <si>
    <t xml:space="preserve"> TOE</t>
  </si>
  <si>
    <t xml:space="preserve">RETURN WALL (C/S) </t>
  </si>
  <si>
    <t>N =</t>
  </si>
  <si>
    <t>C/S</t>
  </si>
  <si>
    <t>R/S</t>
  </si>
  <si>
    <t>x</t>
  </si>
  <si>
    <t>DRAINAGE MODE</t>
  </si>
  <si>
    <t>{GETNUMBER "TURN ON PRINTER, ENTER PAGE NO.   ",N1}</t>
  </si>
  <si>
    <t>REQUIRED INPUT DATA</t>
  </si>
  <si>
    <t>{LET N2,1}</t>
  </si>
  <si>
    <t>{IF N1&gt;N2}{PAGE}</t>
  </si>
  <si>
    <t>Design U/S Water Level   --&gt;</t>
  </si>
  <si>
    <t>Design D/S Water Level   --&gt;</t>
  </si>
  <si>
    <t>{GETLABEL "SET PAPER TO TOP OF PAGE, THEN PRESS &lt;CR&gt;   ",N3}</t>
  </si>
  <si>
    <t>No. of Vents             --&gt;</t>
  </si>
  <si>
    <t>{IF FLOW="1"}RST21~GPQ{QUIT}</t>
  </si>
  <si>
    <t>Dist.between box Abutments(Ba)-&gt;</t>
  </si>
  <si>
    <t>{IF FLOW="3"}RST23~GRST3~GPQ{QUIT}</t>
  </si>
  <si>
    <t>Inside Barrel Height (Hb)--&gt;</t>
  </si>
  <si>
    <t>{IF FLOW="4"}RST24~GPQ{QUIT}</t>
  </si>
  <si>
    <t>Inside Barrel Width (Bb) --&gt;</t>
  </si>
  <si>
    <t>{IF FLOW="5"}RST25~GRST3~GPQ{QUIT}</t>
  </si>
  <si>
    <t>Barrel Invert Level      --&gt;</t>
  </si>
  <si>
    <t>{LET N2,N2+1}P</t>
  </si>
  <si>
    <t>{IF N1&gt;N2}{BRANCH PAGE}</t>
  </si>
  <si>
    <t>Gate Clearance Side (Cs) --&gt;</t>
  </si>
  <si>
    <t>Gate Clearance Bottom(Cb) -&gt;</t>
  </si>
  <si>
    <t>Glacis Length (Gl)       --&gt;</t>
  </si>
  <si>
    <t>Basin Flare Angle (ø)    --&gt;</t>
  </si>
  <si>
    <t>Protective Apron Side Slope; (Ss) --&gt; (1 :</t>
  </si>
  <si>
    <t>) Vertical:Horizontal</t>
  </si>
  <si>
    <t>//\\//\</t>
  </si>
  <si>
    <t>Barrel</t>
  </si>
  <si>
    <t>Glacis</t>
  </si>
  <si>
    <t xml:space="preserve">   Basin</t>
  </si>
  <si>
    <t xml:space="preserve">Protective </t>
  </si>
  <si>
    <t>Appron side</t>
  </si>
  <si>
    <t>Slope1:</t>
  </si>
  <si>
    <t xml:space="preserve">  Protective</t>
  </si>
  <si>
    <t xml:space="preserve"> Pier</t>
  </si>
  <si>
    <t>Basin</t>
  </si>
  <si>
    <t xml:space="preserve">    Apron</t>
  </si>
  <si>
    <t>FLOW CONDITION AND DESIGN DISCHARGE</t>
  </si>
  <si>
    <t xml:space="preserve">The analysis assumes that only valid flow conditions are Type 3 qnd Type 5. Only these </t>
  </si>
  <si>
    <t>flow conditions generate hydraulic jumps that necessitate a stilling basin.</t>
  </si>
  <si>
    <t>Flow Condition Type 1 occurs when   H &gt; Hb       and   Htw &gt; Hb</t>
  </si>
  <si>
    <t>Flow Condition Type 3 occurs when   H &gt; 1.5 Hb   and   Htw &lt; Hb</t>
  </si>
  <si>
    <t>Flow Condition Type 4 occurs when   H &lt; 1.5 Hb   and   Htw &gt; 2/3 H</t>
  </si>
  <si>
    <t>Flow Condition Type 5 occurs when   H &lt; 1.5 Hb   and   Htw &lt; 2/3 H</t>
  </si>
  <si>
    <t xml:space="preserve">H =  </t>
  </si>
  <si>
    <t>ter Level  -  Barrel Invert Level =</t>
  </si>
  <si>
    <t xml:space="preserve">Htw  = </t>
  </si>
  <si>
    <t>Hb   =  Height of Barrel =</t>
  </si>
  <si>
    <t>H    =</t>
  </si>
  <si>
    <t>Hb</t>
  </si>
  <si>
    <t>Htw  =</t>
  </si>
  <si>
    <t xml:space="preserve"> The Flow Condition is Type</t>
  </si>
  <si>
    <t>&lt;------</t>
  </si>
  <si>
    <t>FLOW CONDITION TYPE 1;   ( H &gt; Hb   and   Htw &gt; Hb )</t>
  </si>
  <si>
    <t>Flow Condition Type 1 has a submerged outlet and does not result in a hydraulic jump</t>
  </si>
  <si>
    <t xml:space="preserve"> that necessitates a stilling basin.</t>
  </si>
  <si>
    <t>FLOW CONDITION TYPE 3;   ( H &gt; 1.5 Hb   and   Htw &lt; Hb )</t>
  </si>
  <si>
    <t xml:space="preserve">Q  =  Design Discharge for Flow Condition Type 3 = No vents*Co*Ab*(2gH)^0.5 </t>
  </si>
  <si>
    <t xml:space="preserve">  Hb/H</t>
  </si>
  <si>
    <t xml:space="preserve">  Co</t>
  </si>
  <si>
    <t>Discharge Coefficient (Co) is determined from a "Co  vs  Hb/H" curve.</t>
  </si>
  <si>
    <t>For a "Hb/H" value equal to</t>
  </si>
  <si>
    <t>Co  =</t>
  </si>
  <si>
    <t>Ab  =  Barrel Area =</t>
  </si>
  <si>
    <t>m²</t>
  </si>
  <si>
    <t xml:space="preserve">g  =  acceleration of gravity  =  </t>
  </si>
  <si>
    <t xml:space="preserve"> m/sec²</t>
  </si>
  <si>
    <t>Q =  No.Vents * Co * Ab * ( 2g H )^0.5 =</t>
  </si>
  <si>
    <t>m³/sec</t>
  </si>
  <si>
    <t>FLOW CONDITION TYPE 4;   ( H &lt; 1.5 Hb   and   Htw &gt; dc )</t>
  </si>
  <si>
    <t>Flow Condition Type 4 has subcritical flow and does not result in a hydraulic jump that</t>
  </si>
  <si>
    <t xml:space="preserve"> necessitates a stilling basin.</t>
  </si>
  <si>
    <t>FLOW CONDITION TYPE 5;   ( H &lt; 1.5 Hb   and   Htw &lt; dc )</t>
  </si>
  <si>
    <t xml:space="preserve">Q = Design Discharge for Flow Condition Type 5 = No.Vents*Cw*Bb*H^1.5 </t>
  </si>
  <si>
    <t>Typical values of Discharge Coefficient (Cw) are given below.  For stilling basin design</t>
  </si>
  <si>
    <t xml:space="preserve"> a higher value of Cw is more conservative.</t>
  </si>
  <si>
    <t>Entrance Type</t>
  </si>
  <si>
    <t xml:space="preserve">   Cw</t>
  </si>
  <si>
    <t>Warped Transition</t>
  </si>
  <si>
    <t xml:space="preserve">     Use Cw  =</t>
  </si>
  <si>
    <t xml:space="preserve">  &lt;-------</t>
  </si>
  <si>
    <t>Cylinder Quadrant</t>
  </si>
  <si>
    <t>Simplified Straight Line</t>
  </si>
  <si>
    <t>User Defined Value for  --&gt;</t>
  </si>
  <si>
    <t>Straight Line Transition</t>
  </si>
  <si>
    <t>Discharge Coefficient Cw</t>
  </si>
  <si>
    <t>Square Ended Transition</t>
  </si>
  <si>
    <t>(Flow Condition Type 5)</t>
  </si>
  <si>
    <t>Q  =  No.Vents * Cw*Bb*H^1.5 =</t>
  </si>
  <si>
    <t>SUPERCRITICAL CONJUGATE DEPTH</t>
  </si>
  <si>
    <t>Design Discharge (Q):</t>
  </si>
  <si>
    <t xml:space="preserve">Determine supercritical conjugate depth (d1) by applying Bernoulli's </t>
  </si>
  <si>
    <t>Energy Equation over the Critical Depth Section (c) and Section (1).</t>
  </si>
  <si>
    <t>V1 can be put in terms of d1 by knowing the width (B1) at Section (1) and</t>
  </si>
  <si>
    <t>and applying the equation of continuity.</t>
  </si>
  <si>
    <t>B1 = Ba + 2*Cs + 2*Gl*(tan ø) =</t>
  </si>
  <si>
    <t>V1 = Q/A1 = Q/(B1d1) =</t>
  </si>
  <si>
    <t xml:space="preserve">.1/d1) </t>
  </si>
  <si>
    <t>At critical depth,  in a rectangular section, following two equations can be applied</t>
  </si>
  <si>
    <t xml:space="preserve">and </t>
  </si>
  <si>
    <t>&lt;------------</t>
  </si>
  <si>
    <t>It is asumed that the critical depth occurs on the Barrel Extension Floor.</t>
  </si>
  <si>
    <t>m³/sec per m</t>
  </si>
  <si>
    <t xml:space="preserve">dc = </t>
  </si>
  <si>
    <t>Zc  =  elevation change between Section (c) and (1)</t>
  </si>
  <si>
    <t>m   &lt;--------</t>
  </si>
  <si>
    <t>When the above results are entered into the Bernoulli's Energy Equation, it becomes</t>
  </si>
  <si>
    <t>dc+dc/2+</t>
  </si>
  <si>
    <t>,= d1 +</t>
  </si>
  <si>
    <t>*</t>
  </si>
  <si>
    <t>+</t>
  </si>
  <si>
    <t>d1 +</t>
  </si>
  <si>
    <r>
      <t>1/d1</t>
    </r>
    <r>
      <rPr>
        <vertAlign val="superscript"/>
        <sz val="8"/>
        <rFont val="Arial"/>
        <family val="2"/>
      </rPr>
      <t>2</t>
    </r>
  </si>
  <si>
    <t>By trial and error,</t>
  </si>
  <si>
    <t>CHECK SUPERCRITICAL CONJUGATE DEPTH</t>
  </si>
  <si>
    <t xml:space="preserve">Check the supercritical conjugate depth (d1) by applying Bernoulli's Energy Equation </t>
  </si>
  <si>
    <t>over Section (0) and (1).</t>
  </si>
  <si>
    <t xml:space="preserve">Assuming no energy loss between Section (0) and (1), and that the upstream velocity </t>
  </si>
  <si>
    <t xml:space="preserve"> is essentually zero, the formula becomes:</t>
  </si>
  <si>
    <t>H = Hgt difference between Inlet Water Level and Basin Invert Level =</t>
  </si>
  <si>
    <t>As formulated above</t>
  </si>
  <si>
    <t>Entering  the values for H and V1, the Energy Equation becomes:</t>
  </si>
  <si>
    <t>By trial and error, it is found that</t>
  </si>
  <si>
    <t>Two calculated values  for (d1) are now compared and smallest value is assumed as the</t>
  </si>
  <si>
    <t xml:space="preserve"> critical design condition.</t>
  </si>
  <si>
    <t>FROUDE NO. AND BASIN TYPE</t>
  </si>
  <si>
    <t>Froude No. at Section (1)</t>
  </si>
  <si>
    <t>m/sec</t>
  </si>
  <si>
    <t>The default USBR Stilling Basin, for various values of Froude No. is given below,</t>
  </si>
  <si>
    <t>for        F &lt;= 2.5     use     USBR Stilling Basin Type I</t>
  </si>
  <si>
    <t xml:space="preserve">     2.5 &lt; F &lt;  4.5             USBR Stilling Basin Type IV</t>
  </si>
  <si>
    <t xml:space="preserve">           F &gt;= 4.5             USBR Stilling Basin Type II</t>
  </si>
  <si>
    <t>If desired, the user may override the default USBR Stilling Basin,</t>
  </si>
  <si>
    <t>User defined value for  ---&gt;</t>
  </si>
  <si>
    <t>or select the Indian Standard Stilling Basin I (used for  2 &lt; F &lt; 4.5).</t>
  </si>
  <si>
    <t>Stilling Basin Type:</t>
  </si>
  <si>
    <t>&lt;---------</t>
  </si>
  <si>
    <t>Default Value ---  0</t>
  </si>
  <si>
    <t>USBR Type I   ---  1</t>
  </si>
  <si>
    <t>USBR Type II  ---  2</t>
  </si>
  <si>
    <t xml:space="preserve">SUBCRITICAL CONJUGATE DEPTH </t>
  </si>
  <si>
    <t>USBR Type IV  ---  4</t>
  </si>
  <si>
    <t>Indian Type I ---  3</t>
  </si>
  <si>
    <t>Determine the subcritical conjugate depth (d2) use the general formula:</t>
  </si>
  <si>
    <t>Stilling Basin Type No. from the default</t>
  </si>
  <si>
    <t>or user defined value:</t>
  </si>
  <si>
    <t>TAILWATER DEPTH</t>
  </si>
  <si>
    <t xml:space="preserve">     USBR I</t>
  </si>
  <si>
    <t xml:space="preserve">    USBR II</t>
  </si>
  <si>
    <t>Available tailwater depth (TWD) should be greater than the minimum allowable tailwater</t>
  </si>
  <si>
    <t>depth (TWD min).</t>
  </si>
  <si>
    <t xml:space="preserve">   F</t>
  </si>
  <si>
    <t xml:space="preserve">  L/d2</t>
  </si>
  <si>
    <t>TWD min  =  minimum allowable tailwater depth  =  K1 * d2</t>
  </si>
  <si>
    <t>The coefficient (K1) depends on the Stilling Basin Type</t>
  </si>
  <si>
    <t>Basin Type</t>
  </si>
  <si>
    <t xml:space="preserve">   K1</t>
  </si>
  <si>
    <t xml:space="preserve"> USBR I</t>
  </si>
  <si>
    <t xml:space="preserve">   For</t>
  </si>
  <si>
    <t xml:space="preserve"> USBR II</t>
  </si>
  <si>
    <t xml:space="preserve">   use  K1   =</t>
  </si>
  <si>
    <t>&lt;--------</t>
  </si>
  <si>
    <t xml:space="preserve"> USBR IV</t>
  </si>
  <si>
    <t xml:space="preserve"> Indian I</t>
  </si>
  <si>
    <t>TWD min  =</t>
  </si>
  <si>
    <t xml:space="preserve">   *</t>
  </si>
  <si>
    <t xml:space="preserve">   =</t>
  </si>
  <si>
    <t>TWD = available tailwater depth = D/S Water Level- Basin Invert Level =</t>
  </si>
  <si>
    <t>L  =  Length of Stilling Basin  =  K2  *  d2</t>
  </si>
  <si>
    <t>Coefficient (K2) is determined from "L/d2 vs Fr No." curves for type of stilling basin</t>
  </si>
  <si>
    <t>For Froude No. equal to</t>
  </si>
  <si>
    <t>and using</t>
  </si>
  <si>
    <t>K2  =</t>
  </si>
  <si>
    <t>L = Length of stilling Basin =</t>
  </si>
  <si>
    <t>L =</t>
  </si>
  <si>
    <t>m  &lt;--------------</t>
  </si>
  <si>
    <t xml:space="preserve">    USBR IV</t>
  </si>
  <si>
    <t xml:space="preserve">   Indian I</t>
  </si>
  <si>
    <t>TAILWATER VELOCITY</t>
  </si>
  <si>
    <t>To ensure that there is no excessive scouring, the maximum permissible tailwater velocity</t>
  </si>
  <si>
    <t>at the protective apron (V3) must be less than 1.0 m/sec.</t>
  </si>
  <si>
    <t>V3 =  Q/A3</t>
  </si>
  <si>
    <r>
      <t>A3 = area of flow at the Protective Apron = B3*TWD+SS*TWD</t>
    </r>
    <r>
      <rPr>
        <vertAlign val="superscript"/>
        <sz val="8"/>
        <rFont val="Arial"/>
        <family val="2"/>
      </rPr>
      <t>2</t>
    </r>
  </si>
  <si>
    <t>B3 =</t>
  </si>
  <si>
    <t>TWD  =  available tailwater depth =</t>
  </si>
  <si>
    <t>Ss = Protective Apron Side Slope = (1 :</t>
  </si>
  <si>
    <t>User Defined value for Length   --&gt;</t>
  </si>
  <si>
    <t>A3 = B3*TWD + Ss*TWD² =</t>
  </si>
  <si>
    <t>of Stilling Basin (L)</t>
  </si>
  <si>
    <t>V3 = Q/A3 =</t>
  </si>
  <si>
    <t>User Defined value for Width   --&gt;</t>
  </si>
  <si>
    <t>of D/S Apron at Section (2)</t>
  </si>
  <si>
    <t>CUT-OFF WALL DEPTH</t>
  </si>
  <si>
    <t xml:space="preserve">q = </t>
  </si>
  <si>
    <t>f =   Silt Factor =</t>
  </si>
  <si>
    <t>(for silty sand)</t>
  </si>
  <si>
    <t>R =</t>
  </si>
  <si>
    <t>m (C/S)</t>
  </si>
  <si>
    <t>m (R/S)</t>
  </si>
  <si>
    <t>d(u)= U/S Cut-off Wall Depth = Rus-(Hw+Du) =</t>
  </si>
  <si>
    <t>&lt;---------------</t>
  </si>
  <si>
    <t>User Defined value for</t>
  </si>
  <si>
    <t>d(d)= D/S Cut-off Wall Depth = D/S Scour Depth-D/S Water Depth =</t>
  </si>
  <si>
    <t>U/S cut-off depth  --&gt;</t>
  </si>
  <si>
    <t>Accepted d(u)=</t>
  </si>
  <si>
    <t>D/S cut-off depth  --&gt;</t>
  </si>
  <si>
    <t>Accepted d(d)=</t>
  </si>
  <si>
    <t>PROTECTIVE WORKS LENGTH</t>
  </si>
  <si>
    <t>Length of protective works is determined by multiplying the cutoff wall depth by</t>
  </si>
  <si>
    <t>appropriate co-efficients.</t>
  </si>
  <si>
    <t>C/S Protective Works</t>
  </si>
  <si>
    <t>Protective Works  =  C/S Cut-off Wall Depth * Co-efficient =</t>
  </si>
  <si>
    <t xml:space="preserve">  Use</t>
  </si>
  <si>
    <t>&lt;-----------------</t>
  </si>
  <si>
    <t>Launching Apron  =  C/S Cut-off Wall Depth * Co-efficient</t>
  </si>
  <si>
    <t>R/S Protective Works</t>
  </si>
  <si>
    <t>Protective Works  =  R/S Cut-off Wall Depth * Co-efficient</t>
  </si>
  <si>
    <t xml:space="preserve">  Use </t>
  </si>
  <si>
    <t>Launching Apron =  R/S Cut-off Wall Depth * Co-efficient =</t>
  </si>
  <si>
    <t xml:space="preserve">Final Result </t>
  </si>
  <si>
    <t>Total discharge =</t>
  </si>
  <si>
    <t>Value of d1 =</t>
  </si>
  <si>
    <t>Subsequent d1 =</t>
  </si>
  <si>
    <t>Basin Type:</t>
  </si>
  <si>
    <t>TWD (available) =</t>
  </si>
  <si>
    <t>TW min</t>
  </si>
  <si>
    <t>Value of d2 =</t>
  </si>
  <si>
    <t>Use co-efficient=</t>
  </si>
  <si>
    <t>Length of Jump =</t>
  </si>
  <si>
    <t>Value of X =</t>
  </si>
  <si>
    <t>Value of X used =</t>
  </si>
  <si>
    <t>Flaring angle</t>
  </si>
  <si>
    <t>Height of Chute =</t>
  </si>
  <si>
    <t>Vale of B3 =</t>
  </si>
  <si>
    <t>Used value =</t>
  </si>
  <si>
    <t>Velocity V3 =</t>
  </si>
  <si>
    <t>Value of A3</t>
  </si>
  <si>
    <t>Silt Factor =</t>
  </si>
  <si>
    <t xml:space="preserve">Scour depth (Regime) = </t>
  </si>
  <si>
    <t>U/S scour depth =</t>
  </si>
  <si>
    <t>D/S scour depth =</t>
  </si>
  <si>
    <t>U/S cut off wall=</t>
  </si>
  <si>
    <t xml:space="preserve">Use </t>
  </si>
  <si>
    <t>D/S Cut-off wall=</t>
  </si>
  <si>
    <t>C/S block Prot. =</t>
  </si>
  <si>
    <t>C/S Loose apron =</t>
  </si>
  <si>
    <t>R/S Block Prot.=</t>
  </si>
  <si>
    <t>R/S Loose apron =</t>
  </si>
  <si>
    <t>Flow Condition=</t>
  </si>
  <si>
    <t>||\027\014</t>
  </si>
  <si>
    <t>2.0  STRUCTURAL ANALYSIS OF BARREL</t>
  </si>
  <si>
    <t>2.1  REQUIRED INPUT DATA</t>
  </si>
  <si>
    <t>Embankment Crest Level  --&gt;</t>
  </si>
  <si>
    <t>Top Slab Level          --&gt;</t>
  </si>
  <si>
    <t>(maintenance period)</t>
  </si>
  <si>
    <t>{IF D&lt;=L#OR#D&lt;=2.5}RST21~G</t>
  </si>
  <si>
    <t>Operating Deck Slab level</t>
  </si>
  <si>
    <t>RST22~G</t>
  </si>
  <si>
    <t>H20</t>
  </si>
  <si>
    <t>OMT0~Q</t>
  </si>
  <si>
    <t>RST3~G</t>
  </si>
  <si>
    <t>Unit Weight of Steel    --&gt;</t>
  </si>
  <si>
    <t>Unit Weight of Concrete --&gt;</t>
  </si>
  <si>
    <t>RST4~G</t>
  </si>
  <si>
    <t>Unit Weight of Soil     --&gt;</t>
  </si>
  <si>
    <t>OMT3~S{ESC}\027\077~ML4~MR98~Q</t>
  </si>
  <si>
    <t>Unit Weight of Water    --&gt;</t>
  </si>
  <si>
    <t>{IF VENTS&gt;1}RST6~G</t>
  </si>
  <si>
    <t>Angle of Internal Friction (ø)   --&gt;</t>
  </si>
  <si>
    <t>RST7~GPQ</t>
  </si>
  <si>
    <t>Top Slab Thickness      --&gt;</t>
  </si>
  <si>
    <t>Pier Thickness          --&gt;</t>
  </si>
  <si>
    <t>No. of Vents            --&gt;</t>
  </si>
  <si>
    <t>Inside Height of Barrel --&gt;</t>
  </si>
  <si>
    <t>Inside Width of Barrel  --&gt;</t>
  </si>
  <si>
    <t>Length of Barrel        --&gt;</t>
  </si>
  <si>
    <t xml:space="preserve">m  </t>
  </si>
  <si>
    <t>Length of Barrel =</t>
  </si>
  <si>
    <t>Barrel Ext.Length (C/S) --&gt;</t>
  </si>
  <si>
    <t>Barrel Ext.Length (R/S) --&gt;</t>
  </si>
  <si>
    <t>STRUCTURAL DESIGN OF BARREL</t>
  </si>
  <si>
    <t>Allowable Shear Stress of Concrete(v) = 2.89*(fc')^0.5 =</t>
  </si>
  <si>
    <t>SCHEMATIC VIEW OF BARREL</t>
  </si>
  <si>
    <t>\\\///\\\///\\\///</t>
  </si>
  <si>
    <t xml:space="preserve">mm </t>
  </si>
  <si>
    <t>|::</t>
  </si>
  <si>
    <t>Extended Barrel Length = 2 Nos.Barrel Extension Length+ Barrel Length=</t>
  </si>
  <si>
    <t>Width of Barrel = No.Vents*Width+No.Abutments*Width + No.Piers*Width =</t>
  </si>
  <si>
    <t>(at Bottom Slab)</t>
  </si>
  <si>
    <t>Length of Top Member Adjacent to Abutment (Member AC)=</t>
  </si>
  <si>
    <t>Length of Bottom Member Adjacent to Abutment (member BD)=</t>
  </si>
  <si>
    <t>Length of Interior Top and Bottom Members=</t>
  </si>
  <si>
    <t>(Member CE,EG,GI,DF,FH,&amp;JL)</t>
  </si>
  <si>
    <t>Length of Piers and Abutments=</t>
  </si>
  <si>
    <t>Member AB,CD,EF,GH,&amp;IJ)</t>
  </si>
  <si>
    <t>2.2  DESIGN LOADS</t>
  </si>
  <si>
    <t>LIVE LOAD</t>
  </si>
  <si>
    <t>Depth of Fill(D) =</t>
  </si>
  <si>
    <t>Distance between Abutments (L) =</t>
  </si>
  <si>
    <t>Live Load  =  Load of Rear Wheels  /  Distributed Area</t>
  </si>
  <si>
    <t>Load of Rear Wheels = No.Wheels * Load Distribution * Load</t>
  </si>
  <si>
    <t>Load =</t>
  </si>
  <si>
    <t>Load of Rear Wheels = 2*0.4*Load =</t>
  </si>
  <si>
    <t>Distributed Area = Length along Embankment * Length traverse to Embankment</t>
  </si>
  <si>
    <t>Length along Embankment = 1.75*Depth of Fill =</t>
  </si>
  <si>
    <t>Length traverse to Embankment = 1.75*Depth of Fill + Wheel Spacing =</t>
  </si>
  <si>
    <t>OR</t>
  </si>
  <si>
    <t xml:space="preserve">     =  Length of Barrel  =</t>
  </si>
  <si>
    <t>whichever value is less</t>
  </si>
  <si>
    <t xml:space="preserve">      Use </t>
  </si>
  <si>
    <t>Distributed Area =</t>
  </si>
  <si>
    <t xml:space="preserve">    *</t>
  </si>
  <si>
    <t>Live Load        =</t>
  </si>
  <si>
    <t xml:space="preserve">    /</t>
  </si>
  <si>
    <t>Live load        =</t>
  </si>
  <si>
    <t>LOAD ON TOP SLAB</t>
  </si>
  <si>
    <t>Earth Embk.Load  =  Height * Weight of Soil =</t>
  </si>
  <si>
    <t>Top Slab Load = Thickness * Weight of Concrete =</t>
  </si>
  <si>
    <t>Live Load =</t>
  </si>
  <si>
    <t>Total Load =</t>
  </si>
  <si>
    <t>LOAD ON BOTTOM SLAB</t>
  </si>
  <si>
    <t>Abutment Load = (No.*Hgt*Avg.Thick*Wt of Concrete)/Barrel Width=</t>
  </si>
  <si>
    <t>Pier Load = (No*Ht*Thick* Wt. of Concrete)/Barrel Width =</t>
  </si>
  <si>
    <t>Load on Top Slab =</t>
  </si>
  <si>
    <t>Total Load       =</t>
  </si>
  <si>
    <t>LOAD ON ABUTMENTS</t>
  </si>
  <si>
    <t>Top Slab C/l  =  Ca * (Hgt Soil + Hgt Soil Surcharge) * Wt of Soil =</t>
  </si>
  <si>
    <t>(Hgt of soil+Hgt of soil surcharge)=</t>
  </si>
  <si>
    <t>The Height of Soil Surcharge is the equivalent height of soil due to the Live Vehicle</t>
  </si>
  <si>
    <t>Loading.</t>
  </si>
  <si>
    <t>Bottom Slab C/l  = Ca * (Hgt Soil + Hgt Soil Surcharge) * Wt of Soil =</t>
  </si>
  <si>
    <t>{Hgt of soil+ Hgt of soil surcharge) =</t>
  </si>
  <si>
    <t>LOAD ON PIERS</t>
  </si>
  <si>
    <t>The critical design condition for piers is during the maintenance period, when one vent is full</t>
  </si>
  <si>
    <t xml:space="preserve"> of water and the adjacent vent is empty.</t>
  </si>
  <si>
    <t>Maximum Water Level (maintenance period)  =</t>
  </si>
  <si>
    <t>Top Slab C/l = Hgt * Wt of Water =</t>
  </si>
  <si>
    <t>Height =</t>
  </si>
  <si>
    <t>Bottom Slab C/l = Hgt * Wt of Water =</t>
  </si>
  <si>
    <t>SUMMARY OF LOADS</t>
  </si>
  <si>
    <t>Load on Top Slab        =</t>
  </si>
  <si>
    <t>Load on Bottom Slab     =</t>
  </si>
  <si>
    <t>Load on Abutments</t>
  </si>
  <si>
    <t>(Top of Member)         =</t>
  </si>
  <si>
    <t>(Bottom of Member)      =</t>
  </si>
  <si>
    <t>Load on Piers</t>
  </si>
  <si>
    <t>2.3  DISTRIBUTION FACTOR</t>
  </si>
  <si>
    <t xml:space="preserve">   BARREL VENTS, JOINTS AND MEMBERS</t>
  </si>
  <si>
    <t>A</t>
  </si>
  <si>
    <t>C</t>
  </si>
  <si>
    <t>E</t>
  </si>
  <si>
    <t>G</t>
  </si>
  <si>
    <t>I       K</t>
  </si>
  <si>
    <t>*--------</t>
  </si>
  <si>
    <t>*----   *</t>
  </si>
  <si>
    <t>|</t>
  </si>
  <si>
    <t>|    1</t>
  </si>
  <si>
    <t>|    2</t>
  </si>
  <si>
    <t>|    3</t>
  </si>
  <si>
    <t>|    4</t>
  </si>
  <si>
    <t>|    5</t>
  </si>
  <si>
    <t>D</t>
  </si>
  <si>
    <t>F</t>
  </si>
  <si>
    <t>J       L</t>
  </si>
  <si>
    <t>Joint    Member    Thick(t)  Length(l)  t³/l  Sum(t³/l)  Dis.Fct.</t>
  </si>
  <si>
    <t xml:space="preserve">                      (m)      (m)</t>
  </si>
  <si>
    <t>AB</t>
  </si>
  <si>
    <t>AC</t>
  </si>
  <si>
    <t>BA</t>
  </si>
  <si>
    <t>BD</t>
  </si>
  <si>
    <t>CA</t>
  </si>
  <si>
    <t>CD</t>
  </si>
  <si>
    <t>CE</t>
  </si>
  <si>
    <t>DB</t>
  </si>
  <si>
    <t>DC</t>
  </si>
  <si>
    <t>DF</t>
  </si>
  <si>
    <t>||</t>
  </si>
  <si>
    <t>EC</t>
  </si>
  <si>
    <t>EF</t>
  </si>
  <si>
    <t>EG</t>
  </si>
  <si>
    <t>FD</t>
  </si>
  <si>
    <t>FE</t>
  </si>
  <si>
    <t>FH</t>
  </si>
  <si>
    <t>GE</t>
  </si>
  <si>
    <t>GH</t>
  </si>
  <si>
    <t>GI</t>
  </si>
  <si>
    <t>HF</t>
  </si>
  <si>
    <t>HG</t>
  </si>
  <si>
    <t>HJ</t>
  </si>
  <si>
    <t>I</t>
  </si>
  <si>
    <t>IG</t>
  </si>
  <si>
    <t>IJ</t>
  </si>
  <si>
    <t>IK</t>
  </si>
  <si>
    <t>J</t>
  </si>
  <si>
    <t>JH</t>
  </si>
  <si>
    <t>JI</t>
  </si>
  <si>
    <t>JL</t>
  </si>
  <si>
    <t>2.4  MOMENT DISTRIBUTION</t>
  </si>
  <si>
    <t xml:space="preserve">   TRIAL 1</t>
  </si>
  <si>
    <t xml:space="preserve">   TRIAL 2</t>
  </si>
  <si>
    <t xml:space="preserve">   TRIAL 3</t>
  </si>
  <si>
    <t xml:space="preserve">   TRIAL 4</t>
  </si>
  <si>
    <t>Joint</t>
  </si>
  <si>
    <t xml:space="preserve">  Dis.Fct.</t>
  </si>
  <si>
    <t xml:space="preserve">     FEM</t>
  </si>
  <si>
    <t xml:space="preserve">     DM</t>
  </si>
  <si>
    <t xml:space="preserve">     RM</t>
  </si>
  <si>
    <t xml:space="preserve">     COM</t>
  </si>
  <si>
    <t xml:space="preserve">      RM</t>
  </si>
  <si>
    <t>2.5  SHEAR AND MOMENT ANALYSIS</t>
  </si>
  <si>
    <t xml:space="preserve">   Joint</t>
  </si>
  <si>
    <t xml:space="preserve">        End</t>
  </si>
  <si>
    <t>Loc/zs(m)</t>
  </si>
  <si>
    <t xml:space="preserve">  Mid Span</t>
  </si>
  <si>
    <t xml:space="preserve">     Moment(KNm)</t>
  </si>
  <si>
    <t xml:space="preserve">    Reaction(KN)</t>
  </si>
  <si>
    <t xml:space="preserve">  from</t>
  </si>
  <si>
    <t>(1)     (2)</t>
  </si>
  <si>
    <t xml:space="preserve">    (1)</t>
  </si>
  <si>
    <t xml:space="preserve">    (2)</t>
  </si>
  <si>
    <t>Joint(1)</t>
  </si>
  <si>
    <t xml:space="preserve">  Max(KNm)</t>
  </si>
  <si>
    <t>TOP SLAB</t>
  </si>
  <si>
    <t>K</t>
  </si>
  <si>
    <t>BOTTOM SLAB</t>
  </si>
  <si>
    <t>ABUTMENT</t>
  </si>
  <si>
    <t>PIER (water in right vent)</t>
  </si>
  <si>
    <t>PIER (water in left vent)</t>
  </si>
  <si>
    <t>DESIGN MOMENTS</t>
  </si>
  <si>
    <t xml:space="preserve">Once the moments and shears for all members have been calculated, the maximum values are </t>
  </si>
  <si>
    <t xml:space="preserve"> chosen for the design of member thickness and reinforcement.</t>
  </si>
  <si>
    <t>Top Tension               =</t>
  </si>
  <si>
    <t>Bottom Tension            =</t>
  </si>
  <si>
    <t>ABUTMENTS</t>
  </si>
  <si>
    <t>PIERS</t>
  </si>
  <si>
    <t>Exposed Face Tension      =</t>
  </si>
  <si>
    <t>Earth Face(Top) Tension   =</t>
  </si>
  <si>
    <t>Earth Face(Bottom) Tension=</t>
  </si>
  <si>
    <t>DESIGN SHEARS</t>
  </si>
  <si>
    <t>TOP SLAB                  =</t>
  </si>
  <si>
    <t>(Top of Member)           =</t>
  </si>
  <si>
    <t>(Bottom of Member)        =</t>
  </si>
  <si>
    <t>3.0  STRUCTURAL DESIGN OF BARREL</t>
  </si>
  <si>
    <t>3.1  INPUT DATA AND DESIGN COEFFICIENTS</t>
  </si>
  <si>
    <t>Allowable Flexural Strength of Steel (fs) = 0.45 x fy =</t>
  </si>
  <si>
    <t>Allowable Flexural Strength of Concrete(fc) = 0.4 x fc' =</t>
  </si>
  <si>
    <t>3.2  TOP SLAB</t>
  </si>
  <si>
    <t>MEMBER THICKNESS (Top Slab)</t>
  </si>
  <si>
    <t>Effective depth of the member (dr) is calculated for both the moment and shear condition.</t>
  </si>
  <si>
    <t>dr(Moment)  =  (M/(R*b))^0.5</t>
  </si>
  <si>
    <t>R  =  Resisting Moment Coef.   =</t>
  </si>
  <si>
    <t>b  =  Unit Width of Member     =        1.00 m</t>
  </si>
  <si>
    <t>dr(Shear)  =  V/(v*b)</t>
  </si>
  <si>
    <t>v  =  Allowable Shear Stress of Concrete  =</t>
  </si>
  <si>
    <t>Effective depth values for moment and shear are compared and the maximum is used for design.</t>
  </si>
  <si>
    <t xml:space="preserve">        Use  dr  =</t>
  </si>
  <si>
    <t>SHRINKAGE REINFORCEMENT (Top Slab)</t>
  </si>
  <si>
    <t xml:space="preserve">The coefficient K1 depends on the Length of the Member and the Face (Exposed </t>
  </si>
  <si>
    <t>or Earth Face) being designed.  The recommended values for K1 are shown below:</t>
  </si>
  <si>
    <t>Length of  Exposed  Earth</t>
  </si>
  <si>
    <t xml:space="preserve">  Member    Face     Face</t>
  </si>
  <si>
    <t>User Defined   --&gt;</t>
  </si>
  <si>
    <t>Steel Requirement</t>
  </si>
  <si>
    <t>Ast(Earth Face)=</t>
  </si>
  <si>
    <t>TOP REINFORCEMENT (TOP SLAB)</t>
  </si>
  <si>
    <t xml:space="preserve">Ast = Required Area of Steel = M/(fs*j*da)  </t>
  </si>
  <si>
    <t>da =  Actual Member thickness - c = ta-c =</t>
  </si>
  <si>
    <t xml:space="preserve">Ast  = </t>
  </si>
  <si>
    <t>Length of Member  =  Width of Barrel (at Top Slab)   =</t>
  </si>
  <si>
    <t xml:space="preserve">ta  =  Actual thickness of Member  =  </t>
  </si>
  <si>
    <t>K1 (Earth Face)       =</t>
  </si>
  <si>
    <t>BOTTOM REINFORCEMENT (TOP SLAB)</t>
  </si>
  <si>
    <t>Ast = Reqd Area of Steel =  M/(fs*j*da) =</t>
  </si>
  <si>
    <t>K1 (Exposed Face)     =</t>
  </si>
  <si>
    <t xml:space="preserve">    *    1000    =</t>
  </si>
  <si>
    <t>mm²   &lt;-----</t>
  </si>
  <si>
    <t>3.3  BOTTOM SLAB</t>
  </si>
  <si>
    <t>MEMBER THICKNESS (BOTTOM SLAB)</t>
  </si>
  <si>
    <t>M  =  Design Moment  =</t>
  </si>
  <si>
    <t>dr(Moment)    =</t>
  </si>
  <si>
    <t>SHRINKAGE REINFORCEMENT (BOTTOM SLAB)</t>
  </si>
  <si>
    <t>Length of Extended Barrel =</t>
  </si>
  <si>
    <t>TOP REINFORCEMENT (Bottom Slab)</t>
  </si>
  <si>
    <t>da =  Actual Member Thickness  - c = ta-c =</t>
  </si>
  <si>
    <t>Length of Member  =  Width of Barrel(at Bottom Slab) =</t>
  </si>
  <si>
    <t>K1 (Exposed Face)       =</t>
  </si>
  <si>
    <t>BOTTOM REINFORCEMENT (Bottom Slab)</t>
  </si>
  <si>
    <t>Ast = Required Area of Steel =  M/(fs*j*da) =</t>
  </si>
  <si>
    <t>Ast  (Shr) =</t>
  </si>
  <si>
    <t>3.4  ABUTMENTS</t>
  </si>
  <si>
    <t>MEMBER THICKNESS (Abutment)</t>
  </si>
  <si>
    <t>THICKNESS AT TOP OF MEMBER (Abutment)</t>
  </si>
  <si>
    <t>dr(Moment) = (M/(R*b))^0.5 =</t>
  </si>
  <si>
    <t>dr(Shear)=</t>
  </si>
  <si>
    <t>tr  =  dr + c =</t>
  </si>
  <si>
    <t>THICKNESS AT BOTTOM OF MEMBER (Abutment)</t>
  </si>
  <si>
    <t>dr(Moment)=</t>
  </si>
  <si>
    <t>dr(Shear) =</t>
  </si>
  <si>
    <t>SHRINKAGE REINFORCEMENT (Abutment)</t>
  </si>
  <si>
    <t>EXPOSED FACE REINFORCEMENT (Abutment)</t>
  </si>
  <si>
    <t>Ast = Required Area of Steel =   M/(fs*j*da)</t>
  </si>
  <si>
    <t xml:space="preserve"> Effective Depth of Section is calculated at the point of Zero Shear (Max. moment), because the</t>
  </si>
  <si>
    <t xml:space="preserve"> thickness of the abutments often increases between top and bottom of the member.</t>
  </si>
  <si>
    <t>ta(top) =  Member Thickness at Top of Member =</t>
  </si>
  <si>
    <t>ta(bottom)=  Member Thickness at Bottom of Member=</t>
  </si>
  <si>
    <t>l =  Length of Member =</t>
  </si>
  <si>
    <t>d(zs) = Distance to Zero Shear (from top of member) =</t>
  </si>
  <si>
    <t>ta(zs) = Member Thickness at point of Zero Shear</t>
  </si>
  <si>
    <t xml:space="preserve">        =  ta(top) + [ta(bottom)-ta(top)] / l * d(zs) =</t>
  </si>
  <si>
    <t>da = Effective Depth of Section = ta (zs) - c =</t>
  </si>
  <si>
    <t>Ast =</t>
  </si>
  <si>
    <t>Length of Member  =  Hgt of Barrel(plus top &amp; bottom slab) =</t>
  </si>
  <si>
    <t>EARTH FACE REINFORCEMENT (Abutment)</t>
  </si>
  <si>
    <t xml:space="preserve">Steel Requirement is calculated at both top and bottom of the member, as the thickness of </t>
  </si>
  <si>
    <t>the abutments often increases between top and bottom.</t>
  </si>
  <si>
    <t>Ast = Required Area of Steel = M/(fs*j*da)</t>
  </si>
  <si>
    <t>M(top) =  Design Moment(top) =</t>
  </si>
  <si>
    <t>da(top) = ta(top) - c =</t>
  </si>
  <si>
    <t xml:space="preserve">Ast(top) = </t>
  </si>
  <si>
    <t>M(bottom) = Design Moment(bottom) =</t>
  </si>
  <si>
    <t>da(bottom) = ta(bottom) - c =</t>
  </si>
  <si>
    <t xml:space="preserve">Ast (bottom)=  </t>
  </si>
  <si>
    <t>Steel Requirement at the top and bottom of the member are compared and the maximum value is</t>
  </si>
  <si>
    <t xml:space="preserve"> taken for design purposes.</t>
  </si>
  <si>
    <t>Length of Member  =  Height of Barrel(plus Top &amp; Bottom Slab) =</t>
  </si>
  <si>
    <t xml:space="preserve">ta = Actual thickness of Member =  </t>
  </si>
  <si>
    <t>3.5  PIERS</t>
  </si>
  <si>
    <t>MEMBER THICKNESS (Pier)</t>
  </si>
  <si>
    <t>ta  =  Member Thickness Provided =</t>
  </si>
  <si>
    <t>SHRINKAGE REINFORCEMENT (Pier)</t>
  </si>
  <si>
    <t>Length of  Exposed</t>
  </si>
  <si>
    <t xml:space="preserve">  Member    Face</t>
  </si>
  <si>
    <t>EXPOSED FACE REINFORCEMENT (Pier)</t>
  </si>
  <si>
    <t>Ast  =  Required Area of Steel =   M/(fs*j*da)</t>
  </si>
  <si>
    <t>da = ta-c =</t>
  </si>
  <si>
    <t xml:space="preserve">Ast = </t>
  </si>
  <si>
    <t xml:space="preserve"> QUANTITY OF MATERIALS</t>
  </si>
  <si>
    <t>CONCRETE</t>
  </si>
  <si>
    <t xml:space="preserve">      No.</t>
  </si>
  <si>
    <t xml:space="preserve">   Thick</t>
  </si>
  <si>
    <t xml:space="preserve">   Length</t>
  </si>
  <si>
    <t xml:space="preserve">  Wid/Hgt</t>
  </si>
  <si>
    <t xml:space="preserve">   Volume</t>
  </si>
  <si>
    <t xml:space="preserve">    (mm)</t>
  </si>
  <si>
    <t xml:space="preserve">    (m)</t>
  </si>
  <si>
    <t xml:space="preserve">    (m³)</t>
  </si>
  <si>
    <t>Top Slab</t>
  </si>
  <si>
    <t>Abutments</t>
  </si>
  <si>
    <t>Piers</t>
  </si>
  <si>
    <t>M.S.ROD</t>
  </si>
  <si>
    <t xml:space="preserve">     MAIN REINFOR.</t>
  </si>
  <si>
    <t xml:space="preserve">   SHRINK.REINFOR.</t>
  </si>
  <si>
    <t xml:space="preserve">   Weight</t>
  </si>
  <si>
    <t xml:space="preserve">   Top/Exp  Bot/Ear  Exposed   Earth</t>
  </si>
  <si>
    <t xml:space="preserve">    (Kg)</t>
  </si>
  <si>
    <t xml:space="preserve">    (mm²)    (mm²)    (mm²)    (mm²)</t>
  </si>
  <si>
    <t>\M ====&gt;</t>
  </si>
  <si>
    <t>{goto}a1001~/rve453..e453~e1008~</t>
  </si>
  <si>
    <t>STRUCT2 : DESIGN ABSTRUCTS</t>
  </si>
  <si>
    <t>/rvd456..d456~e1009~</t>
  </si>
  <si>
    <t>/rve459..e459~e1010~</t>
  </si>
  <si>
    <t>STRUCTURAL ANALYSIS OF BARREL</t>
  </si>
  <si>
    <t>/rvd461..d461~e1011~</t>
  </si>
  <si>
    <t>/rvh470..h470~e1012~</t>
  </si>
  <si>
    <t>/rvg472..g472~e1013~</t>
  </si>
  <si>
    <t>{d}</t>
  </si>
  <si>
    <t>Design Moment          M =</t>
  </si>
  <si>
    <t>Reqd. depth      dr(mom) =</t>
  </si>
  <si>
    <t>Design Shear           V =</t>
  </si>
  <si>
    <t>/rvj493..j493~e1017~</t>
  </si>
  <si>
    <t>Reqd. depth    dr(shear) =</t>
  </si>
  <si>
    <t>Reqd.Thickness        tr =</t>
  </si>
  <si>
    <t>/rvc495..c495~e1019~</t>
  </si>
  <si>
    <t>Provided thickness    ta =</t>
  </si>
  <si>
    <t>/rve495..e495~e1020~</t>
  </si>
  <si>
    <t>/rvh495..h495~e1021~</t>
  </si>
  <si>
    <t>SHRINKAGE REINF (top slab).</t>
  </si>
  <si>
    <t>Ast  (reqd. exp.face)    =</t>
  </si>
  <si>
    <t>Ast  (provided)</t>
  </si>
  <si>
    <t>/rvi518..i518~e1025~</t>
  </si>
  <si>
    <t>Bar dia.    (ø) =</t>
  </si>
  <si>
    <t>/rvh528..h528~e1026~</t>
  </si>
  <si>
    <t>Bar spacing c/c =</t>
  </si>
  <si>
    <t>Ast (Actual)    =</t>
  </si>
  <si>
    <t>/rvc533..c533~e1028~</t>
  </si>
  <si>
    <t>Ast(reqd, earth face)</t>
  </si>
  <si>
    <t>/rve533..e533~e1029~</t>
  </si>
  <si>
    <t>Ast provided</t>
  </si>
  <si>
    <t>/rvh533..h533~e1030~</t>
  </si>
  <si>
    <t>/rvi544..i544~e1034~</t>
  </si>
  <si>
    <t>TOP REINF (Top Slab).</t>
  </si>
  <si>
    <t>/rvh554..h554~e1035~</t>
  </si>
  <si>
    <t>Ast  (mom.)              =</t>
  </si>
  <si>
    <t>/rvc559..c559~e1037~</t>
  </si>
  <si>
    <t>Ast  (shrinkage)         =</t>
  </si>
  <si>
    <t>/rve559..e559~e1038~</t>
  </si>
  <si>
    <t>/rvh559..h559~e1039~</t>
  </si>
  <si>
    <t>BOTTOM REINF.(Top slab)</t>
  </si>
  <si>
    <t>/rve574..e574~e1047~</t>
  </si>
  <si>
    <t>/rvd577..d577~e1048~</t>
  </si>
  <si>
    <t>/rve580..e580~e1049~</t>
  </si>
  <si>
    <t>/rvd582..d582~e1050~</t>
  </si>
  <si>
    <t>/rvh591..h591~e1051~</t>
  </si>
  <si>
    <t>/rvg593..g593~e1052~</t>
  </si>
  <si>
    <t>/rvj614..j614~e1056~</t>
  </si>
  <si>
    <t>/rvc616..c616~e1058~</t>
  </si>
  <si>
    <t>/rve616..e616~e1059~</t>
  </si>
  <si>
    <t>/rvh616..h616~e1060~</t>
  </si>
  <si>
    <t>/rvj619..j619~e1062~</t>
  </si>
  <si>
    <t>SHRINKAGE REINF (Bottom Slab).</t>
  </si>
  <si>
    <t>/rvc621..c621~e1064~</t>
  </si>
  <si>
    <t>/rve621..e621~e1065~</t>
  </si>
  <si>
    <t>/rvh621..h621~e1066~</t>
  </si>
  <si>
    <t>Ast  (reqd.earth face)   =</t>
  </si>
  <si>
    <t>/rvi638..i638~e1070~</t>
  </si>
  <si>
    <t>/rvh648..h648~e1071~</t>
  </si>
  <si>
    <t>/rvc653..c653~e1073~</t>
  </si>
  <si>
    <t>/rve653..e653~e1074~</t>
  </si>
  <si>
    <t>/rvh653..h653~e1075~</t>
  </si>
  <si>
    <t>TOP REINF.(Bottom Slab)</t>
  </si>
  <si>
    <t>/rvi664..i664~e1079~</t>
  </si>
  <si>
    <t>Ast  (provided)=</t>
  </si>
  <si>
    <t>/rvh674..h674~e1080~</t>
  </si>
  <si>
    <t>/rvc679..c679~e1082~</t>
  </si>
  <si>
    <t>/rve679..e679~e1083~</t>
  </si>
  <si>
    <t>/rvh679..h679~e1084~</t>
  </si>
  <si>
    <t>BOTTOM REINF (Bottom Slab).</t>
  </si>
  <si>
    <t>/rve702..e702~e1091~</t>
  </si>
  <si>
    <t>/rvd705..d705~e1092~</t>
  </si>
  <si>
    <t>/rve708..e708~e1093~</t>
  </si>
  <si>
    <t>/rvd710..d710~e1094~</t>
  </si>
  <si>
    <t>/rvh719..h719~e1095~</t>
  </si>
  <si>
    <t xml:space="preserve">ABUTMENTS </t>
  </si>
  <si>
    <t>/rvg721..g721~e1096~</t>
  </si>
  <si>
    <t>Design Moment(Top)     M =</t>
  </si>
  <si>
    <t>/rve737..e737~e1098~</t>
  </si>
  <si>
    <t>/rvd740..d740~e1099~</t>
  </si>
  <si>
    <t>Design Shear(Top)      V =</t>
  </si>
  <si>
    <t>/rve743..e743~e1100~</t>
  </si>
  <si>
    <t>/rvd745..d745~e1101~</t>
  </si>
  <si>
    <t>/rvh754..h754~e1102~</t>
  </si>
  <si>
    <t>/rvg756..g756~e1103~</t>
  </si>
  <si>
    <t>Design Moment(Bottom)  M =</t>
  </si>
  <si>
    <t>Design Shear(Bottom)   V =</t>
  </si>
  <si>
    <t>/rvj777..j777~e1107~</t>
  </si>
  <si>
    <t>/rvc779..c779~e1109~</t>
  </si>
  <si>
    <t>/rve779..e779~e1110~</t>
  </si>
  <si>
    <t>/rvh779..h779~e1111~</t>
  </si>
  <si>
    <t>SHRINKAGE REINF (Abutment).</t>
  </si>
  <si>
    <t>/rvj782..j782~e1113~</t>
  </si>
  <si>
    <t>Ast  (exp.face)          =</t>
  </si>
  <si>
    <t>/rvc784..c784~e1115~</t>
  </si>
  <si>
    <t>/rve784..e784~e1116~</t>
  </si>
  <si>
    <t>/rvh784..h784~e1117~</t>
  </si>
  <si>
    <t>Ast  (earth face)        =</t>
  </si>
  <si>
    <t>/rve794..e794~e1121~</t>
  </si>
  <si>
    <t>/rvi802..i802~e1122~</t>
  </si>
  <si>
    <t>/rvi803..i803~e1123~</t>
  </si>
  <si>
    <t>/rvi804..i804~e1124~</t>
  </si>
  <si>
    <t>/rvi805..i805~e1125~</t>
  </si>
  <si>
    <t>/rvc809..c809~e1126~</t>
  </si>
  <si>
    <t>EXPOSED FACE REINF.(Abutment)</t>
  </si>
  <si>
    <t>/rvi816..i816~e1128~</t>
  </si>
  <si>
    <t>Design moment          M =</t>
  </si>
  <si>
    <t>/rvh826..h826~e1129~</t>
  </si>
  <si>
    <t>Top thickness    ta(top) =</t>
  </si>
  <si>
    <t>Bottom thickness ta(bot) =</t>
  </si>
  <si>
    <t>/rvc831..c831~e1131~</t>
  </si>
  <si>
    <t>Length of member       l =</t>
  </si>
  <si>
    <t>/rve831..e831~e1132~</t>
  </si>
  <si>
    <t>Depth at zero shear d(zs)=</t>
  </si>
  <si>
    <t>/rvh831..h831~e1133~</t>
  </si>
  <si>
    <t>Actual thickness  ta(zs) =</t>
  </si>
  <si>
    <t>Ast  (mom)               =</t>
  </si>
  <si>
    <t>/rvf844..f844~e1139~</t>
  </si>
  <si>
    <t>/rvj848..j848~e1140~</t>
  </si>
  <si>
    <t>/rvg852..g852~e1141~</t>
  </si>
  <si>
    <t>/rvj856..j856~e1142~</t>
  </si>
  <si>
    <t>/rvh871..h871~e1143~</t>
  </si>
  <si>
    <t>EARTH FACE REINF (Abutment, contd).</t>
  </si>
  <si>
    <t>/rvc876..c876~e1145~</t>
  </si>
  <si>
    <t>Moment at top     M(top) =</t>
  </si>
  <si>
    <t>/rve876..e876~e1146~</t>
  </si>
  <si>
    <t>Reinf.top   Ast(top,mom) =</t>
  </si>
  <si>
    <t>/rvh876..h876~e1147~</t>
  </si>
  <si>
    <t>Moment at bottom  M(bot) =</t>
  </si>
  <si>
    <t>Reinf.botm. Ast(bot,mom) =</t>
  </si>
  <si>
    <t>Shrinkage reinf. Ast(sk) =</t>
  </si>
  <si>
    <t>/rve891..e891~e1153~</t>
  </si>
  <si>
    <t>/rvd894..d894~e1154~</t>
  </si>
  <si>
    <t>/rve897..e897~e1155~</t>
  </si>
  <si>
    <t>/rvd899..d899~e1156~</t>
  </si>
  <si>
    <t>/rvh908..h908~e1157~</t>
  </si>
  <si>
    <t>/rvg910..g910~e1158~</t>
  </si>
  <si>
    <t>/rvi951..i951~e1162~</t>
  </si>
  <si>
    <t>/rvh961..h961~e1163~</t>
  </si>
  <si>
    <t>/rvc966..c966~e1165~</t>
  </si>
  <si>
    <t>/rve966..e966~e1166~</t>
  </si>
  <si>
    <t>/rvh966..h966~e1167~</t>
  </si>
  <si>
    <t>REINFORCEMENTS (Pier)</t>
  </si>
  <si>
    <t>{goto}a1001~</t>
  </si>
  <si>
    <t>\N</t>
  </si>
  <si>
    <t>/PPOH{?}~QRA1..K51~GP</t>
  </si>
  <si>
    <t>R{BS}A213..F225~GLLLLLR{BS}A387..K410~GP</t>
  </si>
  <si>
    <t>R{BS}A1001..F1039~GP</t>
  </si>
  <si>
    <t>R{BS}A1043..F1084~GP</t>
  </si>
  <si>
    <t>R{BS}A1087..F1133~GP</t>
  </si>
  <si>
    <t>R{BS}A1135..F1167~GPQ</t>
  </si>
  <si>
    <t>4.0  OTHER BARREL COMPONENTS (STRUCT3/123)</t>
  </si>
  <si>
    <t>4.1  REQUIRED INPUT DATA</t>
  </si>
  <si>
    <t>RST11~G</t>
  </si>
  <si>
    <t>RST12~G</t>
  </si>
  <si>
    <t>Unit Cost of Steel      --&gt;</t>
  </si>
  <si>
    <t>Tk/Kg</t>
  </si>
  <si>
    <t>RST13~G</t>
  </si>
  <si>
    <t>Unit Cost of Concrete   --&gt;</t>
  </si>
  <si>
    <t>Tk/m³</t>
  </si>
  <si>
    <t>{IF L3&lt;&gt;"S"#AND#L3&lt;&gt;"s"}RST14~G</t>
  </si>
  <si>
    <t>{IF L3&lt;&gt;"S"#AND#L3&lt;&gt;"s"#AND#VENTS&gt;1}RST2~G</t>
  </si>
  <si>
    <t>Live Vehicle Loading    --&gt;</t>
  </si>
  <si>
    <t>{IF L3&lt;&gt;"S"#AND#L3&lt;&gt;"s"}RST3~G</t>
  </si>
  <si>
    <t xml:space="preserve">        (H10 or H20)    --&gt;</t>
  </si>
  <si>
    <t>RST41~G</t>
  </si>
  <si>
    <t>Live Pedestrian Loading --&gt;</t>
  </si>
  <si>
    <t>Gate and Hoist Load     --&gt;</t>
  </si>
  <si>
    <t>RST42~G</t>
  </si>
  <si>
    <t>RST6~G</t>
  </si>
  <si>
    <t>Headwall Top Level      --&gt;</t>
  </si>
  <si>
    <t>RST7~G</t>
  </si>
  <si>
    <t>OF{ESC}    NHCL:db  Oct/88|#~QP</t>
  </si>
  <si>
    <t>OF{ESC}|#~QQ</t>
  </si>
  <si>
    <t>Headwall Top Thickness  --&gt;</t>
  </si>
  <si>
    <t>Headwall Bottom Thickness-&gt;</t>
  </si>
  <si>
    <t>Abutment(Ext) Top Thick --&gt;</t>
  </si>
  <si>
    <t>Abutment(Bar) Top Thick --&gt;</t>
  </si>
  <si>
    <t>Operation Deck Thickness -&gt;</t>
  </si>
  <si>
    <t>Embankment Crest Width  --&gt;</t>
  </si>
  <si>
    <t>Barrel Length           --&gt;</t>
  </si>
  <si>
    <t>Barrel Extension Length --&gt;</t>
  </si>
  <si>
    <t>Railing Post Spacing c/c -&gt;</t>
  </si>
  <si>
    <t>Coverage + 1/2 Dia.Reinforcement for Major Members (c)      --&gt;</t>
  </si>
  <si>
    <t>Coverage + 1/2 Dia.Reinforcement for Operation Deck (c')    --&gt;</t>
  </si>
  <si>
    <t>Barrel Width     =  No.Vents * Width  +  2 Nos.Abutment * Width  +  No.Piers * Width</t>
  </si>
  <si>
    <t>(at Headwall Top)=</t>
  </si>
  <si>
    <t>(at Top Slab)    =</t>
  </si>
  <si>
    <t>(at Bottom Slab) =</t>
  </si>
  <si>
    <t xml:space="preserve">Extended Barrel Length    =  2 Nos.Barrel Extension Length  +  Barrel Length  </t>
  </si>
  <si>
    <t xml:space="preserve">        =</t>
  </si>
  <si>
    <t>Embankment</t>
  </si>
  <si>
    <t xml:space="preserve">     ////</t>
  </si>
  <si>
    <t>\\\///\\\\\\\</t>
  </si>
  <si>
    <t>/////////</t>
  </si>
  <si>
    <t xml:space="preserve">    -----</t>
  </si>
  <si>
    <t xml:space="preserve">     |</t>
  </si>
  <si>
    <t xml:space="preserve">        /</t>
  </si>
  <si>
    <t xml:space="preserve">     STRUCTURE SECTION</t>
  </si>
  <si>
    <t>--------</t>
  </si>
  <si>
    <t xml:space="preserve">    |</t>
  </si>
  <si>
    <t xml:space="preserve">   Headwall  |</t>
  </si>
  <si>
    <t xml:space="preserve">      |</t>
  </si>
  <si>
    <t xml:space="preserve">   Barrel</t>
  </si>
  <si>
    <t>m   |</t>
  </si>
  <si>
    <t xml:space="preserve">        \</t>
  </si>
  <si>
    <t>STRUCTURE END VIEW</t>
  </si>
  <si>
    <t>`</t>
  </si>
  <si>
    <t>4.2  BASE SLAB EXTENSION</t>
  </si>
  <si>
    <t>(BASE SLAB EXTENSION)</t>
  </si>
  <si>
    <t>Foundation Pressure  =  Dead Load / Foundation Area  +  Live loading</t>
  </si>
  <si>
    <t>DEAD LOAD</t>
  </si>
  <si>
    <t>Earth abv Headwall</t>
  </si>
  <si>
    <t>Earth blw Headwall</t>
  </si>
  <si>
    <t>Headwall</t>
  </si>
  <si>
    <t>Base Slab</t>
  </si>
  <si>
    <t>Abutment(Bar)</t>
  </si>
  <si>
    <t>Abutment(Ext)</t>
  </si>
  <si>
    <t>Pier(Bar)</t>
  </si>
  <si>
    <t>Pier(Ext)</t>
  </si>
  <si>
    <t>Operating Deck</t>
  </si>
  <si>
    <t>Gate &amp; Hoist Load</t>
  </si>
  <si>
    <t>Foundation Area  =  Barrel Width  *  Extended Barrel Length  =</t>
  </si>
  <si>
    <t>LIVE LOADING</t>
  </si>
  <si>
    <t>Live Vehicle Loading      =</t>
  </si>
  <si>
    <t>Live Loading</t>
  </si>
  <si>
    <t>Foundation Pressure     =  Dead Load    / Foundation Area +   Live loading</t>
  </si>
  <si>
    <t xml:space="preserve">      =</t>
  </si>
  <si>
    <t>Moment and Shear values are determined using standard ACI Coefficients (Km &amp; Ks)</t>
  </si>
  <si>
    <t>for a continuous equal-span beam with a uniformly distributed load.  The beam is</t>
  </si>
  <si>
    <t>considered as built integrally with its supports.</t>
  </si>
  <si>
    <t>Moment  =  Km * w * l²</t>
  </si>
  <si>
    <t>Shear   =  Ks * w * l / 2</t>
  </si>
  <si>
    <t>ACI COEFFICIENTS  (Km &amp; Ks)</t>
  </si>
  <si>
    <t>Moment</t>
  </si>
  <si>
    <t xml:space="preserve">    Top Tension</t>
  </si>
  <si>
    <t xml:space="preserve">    Bottom Tension</t>
  </si>
  <si>
    <t>Shear</t>
  </si>
  <si>
    <t>l  =  Clear Span Length            =</t>
  </si>
  <si>
    <t>No. of Vents     =</t>
  </si>
  <si>
    <t>Moment (Top Tension)      =</t>
  </si>
  <si>
    <t>Moment (Bottom Tension)   =</t>
  </si>
  <si>
    <t>Shear                     =</t>
  </si>
  <si>
    <t>c   =  Coverage + 1/2 Dia.Reinforcement     =</t>
  </si>
  <si>
    <t xml:space="preserve">     +</t>
  </si>
  <si>
    <t xml:space="preserve">     =</t>
  </si>
  <si>
    <t xml:space="preserve">      *</t>
  </si>
  <si>
    <t>fs  =  Allowable Flexural Strength of Steel     =</t>
  </si>
  <si>
    <t>j   =  Lever Arm Coef.  =</t>
  </si>
  <si>
    <t>da  =  Actual Effective Depth of Section</t>
  </si>
  <si>
    <t xml:space="preserve">    =  Actual Member Thickness  -  (Coverage + 1/2 Dia.Reinforcement)</t>
  </si>
  <si>
    <t xml:space="preserve">    =  ta  -  c  =</t>
  </si>
  <si>
    <t xml:space="preserve">      -</t>
  </si>
  <si>
    <t>Length of Member  =  Length of Extended Barrel       =</t>
  </si>
  <si>
    <t xml:space="preserve">     *</t>
  </si>
  <si>
    <t>4.3  ABUTMENT EXTENSION</t>
  </si>
  <si>
    <t>DESIGN OF ABUTMENT WALL</t>
  </si>
  <si>
    <t>(ABUTMENT WALL)</t>
  </si>
  <si>
    <t>Moment  =  Km * w * b²</t>
  </si>
  <si>
    <t>Shear   =  Ks * w * b</t>
  </si>
  <si>
    <t>Load on Abutment Ext.(w)  =  Ca  *  Height of Soil  *  Weight of Soil</t>
  </si>
  <si>
    <t>(Bottom Slab Level)       =</t>
  </si>
  <si>
    <t>The table below summarizes the Maximum Moment and Shear Coefficients (Km &amp; Ks) from</t>
  </si>
  <si>
    <t>the book "Moments and Reactions for Rectangular Plates" by Moody (Figure 30), for</t>
  </si>
  <si>
    <t>various slabs cantilevered in two directions and with a triangularly distributed load.</t>
  </si>
  <si>
    <t>a  =  Barrel Extension Length      =</t>
  </si>
  <si>
    <t>b  =  Abutment Extension Height    =</t>
  </si>
  <si>
    <t>^ y</t>
  </si>
  <si>
    <t>|   a</t>
  </si>
  <si>
    <t xml:space="preserve">       //</t>
  </si>
  <si>
    <t>----------</t>
  </si>
  <si>
    <t xml:space="preserve">       \\</t>
  </si>
  <si>
    <t>| b</t>
  </si>
  <si>
    <t>|    x</t>
  </si>
  <si>
    <t>---------------&gt;</t>
  </si>
  <si>
    <t xml:space="preserve">       //\\\///\\\///</t>
  </si>
  <si>
    <t xml:space="preserve">   a/b  =</t>
  </si>
  <si>
    <t xml:space="preserve">       Use  Coefficients for a/b =</t>
  </si>
  <si>
    <t>Exposed Face Tension</t>
  </si>
  <si>
    <t>Moment x     =</t>
  </si>
  <si>
    <t>²   =</t>
  </si>
  <si>
    <t>Moment y     =</t>
  </si>
  <si>
    <t>Earth Face Tension</t>
  </si>
  <si>
    <t>Shear x      =</t>
  </si>
  <si>
    <t>Shear y      =</t>
  </si>
  <si>
    <t>THICKNESS AT TOP OF MEMBER</t>
  </si>
  <si>
    <t>THICKNESS AT BOTTOM OF MEMBER</t>
  </si>
  <si>
    <t>HORIZONTAL EXPOSED FACE REINFORCEMENT</t>
  </si>
  <si>
    <t>M   =  Design Moment(Mx)  =</t>
  </si>
  <si>
    <t xml:space="preserve">    =  ta(top)  -  c      =</t>
  </si>
  <si>
    <t>ta(bottom)  =  Actual thickness of Member   =</t>
  </si>
  <si>
    <t>HORIZONTAL EARTH FACE REINFORCEMENT</t>
  </si>
  <si>
    <t>da  =  ta(top)  -  c      =</t>
  </si>
  <si>
    <t>M   =  Design Moment(My)  =</t>
  </si>
  <si>
    <t>Length of Member  =  Height of Abutment (Extension)  =</t>
  </si>
  <si>
    <t>"Moment y" (Vertical Earth Face Tension) is maximum along the base of the wall, so</t>
  </si>
  <si>
    <t>the abutment bottom thickness is used to determine the required area of steel.</t>
  </si>
  <si>
    <t>da  =  ta(bottom)  -  c   =</t>
  </si>
  <si>
    <t>DESIGN CHECK OF ABUTMENT AS A COUNTERFORT</t>
  </si>
  <si>
    <t>(ABUTMENT WALL AS COUNTERFORT)</t>
  </si>
  <si>
    <t>w1  =  Load at Headwall Top Level</t>
  </si>
  <si>
    <t xml:space="preserve">    =  Ca  *  (Height Soil + Height Soil Surcharge)  *  Weight of Soil</t>
  </si>
  <si>
    <t>Height Soil      =  Embankment Crest Level  -  Headwall Top Level</t>
  </si>
  <si>
    <t>w1      =</t>
  </si>
  <si>
    <t>w2  =  Load at Top Slab Level</t>
  </si>
  <si>
    <t>l   =  Headwall Top Level - Top Slab Level  =</t>
  </si>
  <si>
    <t>b   =  Abutment(Bar) Top Thick  +  Inside Width of Barrel/2   =</t>
  </si>
  <si>
    <t>Shear at Top Slab Level  =  (w1 * l  +  (w2-w1) * l / 2)  *  b         =</t>
  </si>
  <si>
    <t>Moment at Top Slab Level =  (w1 * l² / 2  +  (w2-w1) * l² / 6)  *  b   =</t>
  </si>
  <si>
    <t>b  =  Unit Width of Member     =</t>
  </si>
  <si>
    <t>ta  =  Actual Member Thickness Provided</t>
  </si>
  <si>
    <t xml:space="preserve">    =  Extended Barrel Length  +  Bottom Headwall Thickness   =</t>
  </si>
  <si>
    <t>ADDITIONAL REINFORCEMENT</t>
  </si>
  <si>
    <t>M   =  Design Moment      =</t>
  </si>
  <si>
    <t xml:space="preserve">    =  ta   -  c      =</t>
  </si>
  <si>
    <t xml:space="preserve">Vertical Exposed Face Reinforcement  =  1 No. </t>
  </si>
  <si>
    <t>mm ø  Bar</t>
  </si>
  <si>
    <t xml:space="preserve">Vertical Earth Face Reinforcement  =    1 No. </t>
  </si>
  <si>
    <t>This previously provided reinforcement is equivalent to  Ast  =</t>
  </si>
  <si>
    <t>Additional Required Steel =</t>
  </si>
  <si>
    <t>No.Bars</t>
  </si>
  <si>
    <t>Required Thick(mm)</t>
  </si>
  <si>
    <t xml:space="preserve">  Nos.  -</t>
  </si>
  <si>
    <t>mm ø</t>
  </si>
  <si>
    <t>Available Thickness  =  Member Thickness  -  2 * (Coverage + Dia. Rein.)</t>
  </si>
  <si>
    <t>mm ø       (Ast  =</t>
  </si>
  <si>
    <t>4.4  PIER EXTENSION</t>
  </si>
  <si>
    <t>DESIGN OF PIER WALL</t>
  </si>
  <si>
    <t>(PIER WALL)</t>
  </si>
  <si>
    <t>Load on Pier Extension(w) =  Height of Water  *  Weight of Water</t>
  </si>
  <si>
    <t>^</t>
  </si>
  <si>
    <t>b  =  Height of Water              =</t>
  </si>
  <si>
    <t xml:space="preserve">    =  ta  -  c           =</t>
  </si>
  <si>
    <t>da  =  ta  -  c           =</t>
  </si>
  <si>
    <t>Length of Member  =  Height of Pier (Extension)      =</t>
  </si>
  <si>
    <t>DESIGN CHECK OF PIER WALL AS A COUNTERFORT</t>
  </si>
  <si>
    <t>(PIER WALL AS COUNTERFORT)</t>
  </si>
  <si>
    <t>b   =  Pier Thickness  +  Inside Width of Barrel     =</t>
  </si>
  <si>
    <t xml:space="preserve">Vertical Exposed Face Reinforcement  = 2 Nos. </t>
  </si>
  <si>
    <t xml:space="preserve"> HEADWALL</t>
  </si>
  <si>
    <t>(HEADWALL)</t>
  </si>
  <si>
    <t>Exposed Face Tens.</t>
  </si>
  <si>
    <t>w  =  Uniformly Distributed Load</t>
  </si>
  <si>
    <t>TOP OF MEMBER</t>
  </si>
  <si>
    <t>Moment (Exposed Face Tension)      =</t>
  </si>
  <si>
    <t>Moment (Earth Face Tension)        =</t>
  </si>
  <si>
    <t>Shear                              =</t>
  </si>
  <si>
    <t>BOTTOM OF MEMBER</t>
  </si>
  <si>
    <t>To take into consideration the variable headwall thickness, the member thickness</t>
  </si>
  <si>
    <t>is checked at both the top and bottom.</t>
  </si>
  <si>
    <t xml:space="preserve">      Height of Headwall  =</t>
  </si>
  <si>
    <t xml:space="preserve">      ta(bot) = Actual Thickness of Member  =</t>
  </si>
  <si>
    <t xml:space="preserve">      b  =  Unit Width of Member  =  1.00 m</t>
  </si>
  <si>
    <t>The Steel Requirement is calculated at both the top and bottom of the member,</t>
  </si>
  <si>
    <t>because the thickness of the headwall often increases between the top and bottom.</t>
  </si>
  <si>
    <t>M(top)   =  Design Moment(top)    =</t>
  </si>
  <si>
    <t>da(top)  =  ta(top)  -  c         =</t>
  </si>
  <si>
    <t>M(bottom)   =  Design Moment(bottom)     =</t>
  </si>
  <si>
    <t>da(bottom)  =  ta(bottom)  -  c    =</t>
  </si>
  <si>
    <t xml:space="preserve">The Steel Requirement at the top and bottom of the member are compared and the </t>
  </si>
  <si>
    <t>maximum value is taken for design purposes.</t>
  </si>
  <si>
    <t>K1 (Earth Face)         =</t>
  </si>
  <si>
    <t xml:space="preserve"> OPERATING PLATFORM</t>
  </si>
  <si>
    <t>DESIGN OF OPERATING PLATFORM BEAM</t>
  </si>
  <si>
    <t xml:space="preserve">Dead Load (w)  =  Thickness of Operating Platform * Width of Beam * Weight of Concrete </t>
  </si>
  <si>
    <t>Gate and Hoist Load (p)   =</t>
  </si>
  <si>
    <t>DEAD LOAD; MOMENTS AND SHEARS</t>
  </si>
  <si>
    <t>GATE AND HOIST LOAD; MOMENTS AND SHEARS</t>
  </si>
  <si>
    <t>Moment and Shear values for the concentrated gate and hoist load at mid span are</t>
  </si>
  <si>
    <t>based on coefficients (Cm &amp; Cs) from the "Reinforced Concrete Designer's Handbook"</t>
  </si>
  <si>
    <t>by Reynolds (Table 32) for Continuous Beams with equal loads on equal spans.</t>
  </si>
  <si>
    <t>Moment  =  Cm * p * l</t>
  </si>
  <si>
    <t>Shear   =  Cs * p</t>
  </si>
  <si>
    <t>REYNOLDS COEFFICIENTS  (Cm &amp; Cs)</t>
  </si>
  <si>
    <t>COMBINED LOAD; MOMENTS AND SHEARS</t>
  </si>
  <si>
    <t>The Moment and Shear values for the combined load are determined by adding the values</t>
  </si>
  <si>
    <t>calculated for the dead load and the gate and hoist load.</t>
  </si>
  <si>
    <t>Moment (Bottom Tension)</t>
  </si>
  <si>
    <t>Moment (Top Tension)</t>
  </si>
  <si>
    <t>Length of Barrel Extension         =</t>
  </si>
  <si>
    <t xml:space="preserve">    *     300    =</t>
  </si>
  <si>
    <t>Available Thickness     --&gt;</t>
  </si>
  <si>
    <t>Length of Member  =  Width of Barrel (Top Headwall)  =</t>
  </si>
  <si>
    <t>b   = Unit Width of Member  =  0.30 m</t>
  </si>
  <si>
    <t>The size of the required steel bars is determined taking into consideration</t>
  </si>
  <si>
    <t>the available beam width (300 mm) and assuming a minimum bar spacing of 25 mm.</t>
  </si>
  <si>
    <t>A minimum of 2 bars are accepted.</t>
  </si>
  <si>
    <t>STIRRUPS</t>
  </si>
  <si>
    <t>9 mm ø stirrups are provided at 225 mm c/c spacing.  The length of the stirrups</t>
  </si>
  <si>
    <t>depends on the thickness of the operating platform.</t>
  </si>
  <si>
    <t>Stirrup Length  =  2 * (Thick.Operating Platform + 300 mm Beam Width - 4 * Coverage)</t>
  </si>
  <si>
    <t>Thickness Operating Platform       =</t>
  </si>
  <si>
    <t>Coverage +1/2 Dia.Reinforcement    =</t>
  </si>
  <si>
    <t>Stirrup Length   =</t>
  </si>
  <si>
    <t>mm ø    -</t>
  </si>
  <si>
    <t>mm long @</t>
  </si>
  <si>
    <t>mm  c/c    (Ast  =</t>
  </si>
  <si>
    <t>mm²)</t>
  </si>
  <si>
    <t>COMBINED STEEL REQUIREMENT</t>
  </si>
  <si>
    <t>The combined steel requirement per meter length of beam is calculated below:</t>
  </si>
  <si>
    <t xml:space="preserve">   Ast(mm²)</t>
  </si>
  <si>
    <t>Top Reinforcement</t>
  </si>
  <si>
    <t>Bottom Reinforcement</t>
  </si>
  <si>
    <t>Stirrups</t>
  </si>
  <si>
    <t>DESIGN OF OPERATING PLATFORM SLAB</t>
  </si>
  <si>
    <t xml:space="preserve">Dead Load      =  Thickness of Operating Platform  *  Weight of Concrete </t>
  </si>
  <si>
    <t>Live Pedestrian Load                             =</t>
  </si>
  <si>
    <t>Combined Load</t>
  </si>
  <si>
    <t xml:space="preserve"> RAILING</t>
  </si>
  <si>
    <t>DIMENSIONS</t>
  </si>
  <si>
    <t>Railing Bar      =</t>
  </si>
  <si>
    <t>mm wide x</t>
  </si>
  <si>
    <t>mm high</t>
  </si>
  <si>
    <t>Railing Post     =</t>
  </si>
  <si>
    <t>Top Railing Bar Height    =</t>
  </si>
  <si>
    <t>Bottom Railing Bar Height =</t>
  </si>
  <si>
    <t>Curb Height               =</t>
  </si>
  <si>
    <t>Railing Post Spacing c/c  =</t>
  </si>
  <si>
    <t xml:space="preserve">   ---/--</t>
  </si>
  <si>
    <t>c/s</t>
  </si>
  <si>
    <t xml:space="preserve">    |   -</t>
  </si>
  <si>
    <t>----   ---</t>
  </si>
  <si>
    <t>r/s</t>
  </si>
  <si>
    <t xml:space="preserve">    |   |</t>
  </si>
  <si>
    <t xml:space="preserve">   |   |</t>
  </si>
  <si>
    <t>No.railing spans (c/s)</t>
  </si>
  <si>
    <t>mm  |   -</t>
  </si>
  <si>
    <t>No.railing spans (r/s)</t>
  </si>
  <si>
    <t>----   --</t>
  </si>
  <si>
    <t xml:space="preserve">    |   </t>
  </si>
  <si>
    <t xml:space="preserve">   Operating Platform</t>
  </si>
  <si>
    <t xml:space="preserve">      /--</t>
  </si>
  <si>
    <t>-----/</t>
  </si>
  <si>
    <t>m    |</t>
  </si>
  <si>
    <t>Railing Bar</t>
  </si>
  <si>
    <t>Longitudinal Bar</t>
  </si>
  <si>
    <t>----</t>
  </si>
  <si>
    <t xml:space="preserve">  (Ast  =</t>
  </si>
  <si>
    <t>Railing Post</t>
  </si>
  <si>
    <t>SUMMARY OF DESIGN INFORMATION</t>
  </si>
  <si>
    <t xml:space="preserve">    SHRINKAGE/HORIZONTAL REINFORCEMENT</t>
  </si>
  <si>
    <t xml:space="preserve"> |</t>
  </si>
  <si>
    <t xml:space="preserve">       MAIN/VERTICAL REINFORCEMENT</t>
  </si>
  <si>
    <t xml:space="preserve">         EXPOSED</t>
  </si>
  <si>
    <t xml:space="preserve">         EARTH</t>
  </si>
  <si>
    <t xml:space="preserve">      TOP/EXPOSED</t>
  </si>
  <si>
    <t xml:space="preserve">      BOTTOM/EARTH</t>
  </si>
  <si>
    <t xml:space="preserve"> | Ast(req)     ø      spc  Ast(act)</t>
  </si>
  <si>
    <t xml:space="preserve"> |  (mm²)     (mm)    (mm)    (mm²)</t>
  </si>
  <si>
    <t>Base Ext.</t>
  </si>
  <si>
    <t>Abut.Ext.</t>
  </si>
  <si>
    <t>Pier Ext.</t>
  </si>
  <si>
    <t>Oper.Beam</t>
  </si>
  <si>
    <t xml:space="preserve">   -----------------  Refer to Additional Reinforcement  ---------------</t>
  </si>
  <si>
    <t>Oper.Slab</t>
  </si>
  <si>
    <t>MEMBER                         Total  Previous   Addit.   No.of      ø     Addit.      |         Thickness     Design</t>
  </si>
  <si>
    <t xml:space="preserve">                              Requir. Provided   Requir.  Bars            Provided     |     Avail.  Required  OK or</t>
  </si>
  <si>
    <t xml:space="preserve">                               (mm²)    (mm²)    (mm²)             (mm)     (mm²)      |      (mm)     (mm)    Not OK</t>
  </si>
  <si>
    <t>Abutment Extension</t>
  </si>
  <si>
    <t>Pier Extension</t>
  </si>
  <si>
    <t>Operat.Platform Beam Top</t>
  </si>
  <si>
    <t>Operat.Platform Beam Bottom</t>
  </si>
  <si>
    <t>DESIGN MOMENT AND SHEAR, AND MEMBER THICKNESS</t>
  </si>
  <si>
    <t>Base Slab Extension</t>
  </si>
  <si>
    <t xml:space="preserve">    Top of Member</t>
  </si>
  <si>
    <t xml:space="preserve">    Bottom of Member</t>
  </si>
  <si>
    <t xml:space="preserve">    Counterfort Check</t>
  </si>
  <si>
    <t>Operating Platform Beam</t>
  </si>
  <si>
    <t>Operating Platform Slab</t>
  </si>
  <si>
    <t xml:space="preserve"> QUANTITY AND COST OF MATERIALS</t>
  </si>
  <si>
    <t>Unit Cost of Concrete   =</t>
  </si>
  <si>
    <t xml:space="preserve">   Cost</t>
  </si>
  <si>
    <t xml:space="preserve"> (Tk Mil)</t>
  </si>
  <si>
    <t>Base Slab Extens.</t>
  </si>
  <si>
    <t>Operation Platform</t>
  </si>
  <si>
    <t>Unit Cost of Steel     =</t>
  </si>
  <si>
    <t xml:space="preserve">   (Tk)</t>
  </si>
  <si>
    <t>MAIN SECTIONS</t>
  </si>
  <si>
    <t xml:space="preserve">     ---</t>
  </si>
  <si>
    <t>Operat.Plat.Slab</t>
  </si>
  <si>
    <t>ADDITIONAL STEEL</t>
  </si>
  <si>
    <t>Operat.Plat.Beam</t>
  </si>
  <si>
    <t>MATERIAL COST</t>
  </si>
  <si>
    <t>Cost of Concrete and Steel    =  Tk</t>
  </si>
  <si>
    <t xml:space="preserve">       -</t>
  </si>
  <si>
    <t>USER DEFINED ADDITIONAL REINFORCEMENT</t>
  </si>
  <si>
    <t>Wing wall top surface slope to GL (1V:xH)</t>
  </si>
  <si>
    <t xml:space="preserve">Elevation of Operating Deck </t>
  </si>
  <si>
    <t>Design Data</t>
  </si>
  <si>
    <t>Embankment side slope</t>
  </si>
  <si>
    <t>Allowable Flexural Strength of Concrete(fc) = 0.4* f'c =</t>
  </si>
  <si>
    <t>Allowable Flexural Strength of Steel (fs) = 0.45* fy =</t>
  </si>
  <si>
    <t xml:space="preserve">Live load is considered negligible when the depth of fill is greater than the distance between abutments </t>
  </si>
  <si>
    <t>and is greater than 2.5 m.</t>
  </si>
  <si>
    <t>Top Tension      =</t>
  </si>
  <si>
    <t>Bottom Tension   =</t>
  </si>
  <si>
    <t>Exposed Face Tension =</t>
  </si>
  <si>
    <t>BOTTOM SLAB  =</t>
  </si>
  <si>
    <t>PIERS       =</t>
  </si>
  <si>
    <t>R = Resisting Moment Coefficient = fc*j*k/2 =</t>
  </si>
  <si>
    <t xml:space="preserve">Thickness of the abutments often increases between the top and bottom of the member, because the soil </t>
  </si>
  <si>
    <t>pressure increases with depth. To take into consideration the variable abutment thickness, the member</t>
  </si>
  <si>
    <t>thickness is checked at both the top and bottom.</t>
  </si>
  <si>
    <t xml:space="preserve">  Member    </t>
  </si>
  <si>
    <t>Embankment Crest width</t>
  </si>
  <si>
    <t>Coeff. of Active Earth Pressure (Ca) = (1-sinø) =</t>
  </si>
  <si>
    <t>The Moment-distribution Method developed by Hardy Cross is used to determine the moments at each joint in the</t>
  </si>
  <si>
    <t>barrel. A brief description of the Moment-distribution method is given below.</t>
  </si>
  <si>
    <t>1.  The end moments of each member are first approximated by considering the members as fixed at both ends.</t>
  </si>
  <si>
    <t>2.  For equilibrium, the sum of the bending moments at each joint must be equal to zero. The sum of the Fixed</t>
  </si>
  <si>
    <t xml:space="preserve">    at each joint.</t>
  </si>
  <si>
    <t xml:space="preserve">3.  The balancing moment at each joint is distributed amongst all the members meeting at that point in proportion </t>
  </si>
  <si>
    <t xml:space="preserve">     to their relative stiffness.  The relative stiffness of each member is determined by its Distribution Factor</t>
  </si>
  <si>
    <t xml:space="preserve">    (Dis.Fct.). The Distributed Moment (DM) applied at the ends of each member is calculated by multiplying the </t>
  </si>
  <si>
    <t xml:space="preserve">    balancing moment by the member's  Distribution Factor.</t>
  </si>
  <si>
    <t xml:space="preserve">    End Moments (FEM) calculated above are unlikely to equal zero, so a balancing moment must be inyroduced</t>
  </si>
  <si>
    <t xml:space="preserve">4.  The effect of applying the Distributed Moment at one end of a member, is to produce a moment of half the </t>
  </si>
  <si>
    <t xml:space="preserve">     is called the Carry-over Moment (COM).</t>
  </si>
  <si>
    <t xml:space="preserve">    magnitude but the same sign at the other end of the member. This moment at the remote end of the member,</t>
  </si>
  <si>
    <t xml:space="preserve">5.  The Carry-over Moments produce further unbalanced moments at each joint, which are then distributed. The </t>
  </si>
  <si>
    <t xml:space="preserve">    carry-over procedure must then be repeated. Successive operations (trials) are continued until the unbalanced</t>
  </si>
  <si>
    <t xml:space="preserve">    moments are negligible. A Resultant Moment (RM) at each moment is calculated after each operation to </t>
  </si>
  <si>
    <t xml:space="preserve">    document how fast the unbalanced moments converge to zero.</t>
  </si>
  <si>
    <t xml:space="preserve"> of zero shear (Loc/sz) and the maximum mid span moments for each member in the barrel.</t>
  </si>
  <si>
    <t xml:space="preserve"> Once the loads and end moments have been determined, it is possible to calculate the end moments, the locations </t>
  </si>
  <si>
    <t xml:space="preserve"> Clockwise rotation is considered positive, for both end and mid span moments. The mid span moments are </t>
  </si>
  <si>
    <t xml:space="preserve">  calculated at the location of zero shear and are the summation of all moments taken from Joint (1) to the location </t>
  </si>
  <si>
    <t xml:space="preserve">  of zero shear.</t>
  </si>
  <si>
    <r>
      <t>The Distribution Factor (Dis.Fct.) of each member is calculated by dividing the member's Stiffness Factor (t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/l) by </t>
    </r>
  </si>
  <si>
    <r>
      <t xml:space="preserve"> the summation of all Stiffness Factors at each joint (Sum(t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/l)).</t>
    </r>
  </si>
  <si>
    <t xml:space="preserve"> A sketch giving the barrel vent, joint and member designation is shown below. Only half of the barrel is analyzed,</t>
  </si>
  <si>
    <t xml:space="preserve">  the second half is assumed symmetric to the first.</t>
  </si>
  <si>
    <t>Top/Exp</t>
  </si>
  <si>
    <t>Bot/Earth</t>
  </si>
  <si>
    <t xml:space="preserve">Length of wing wall from Op Deck end to GL </t>
  </si>
  <si>
    <t>DEPTH Of SECTION</t>
  </si>
  <si>
    <t>tr (req)</t>
  </si>
  <si>
    <t>ta (Prov)</t>
  </si>
  <si>
    <t xml:space="preserve"> 1-1</t>
  </si>
  <si>
    <t xml:space="preserve"> 2-2</t>
  </si>
  <si>
    <t xml:space="preserve"> 3-3</t>
  </si>
  <si>
    <t xml:space="preserve"> 4-4</t>
  </si>
  <si>
    <t>dr (req)</t>
  </si>
  <si>
    <t>EXPOSED FACE</t>
  </si>
  <si>
    <t>EARTH FACE</t>
  </si>
  <si>
    <t xml:space="preserve">    4-4</t>
  </si>
  <si>
    <t xml:space="preserve">    5-5</t>
  </si>
  <si>
    <t>Embankment slope (C/S), 1V:xH</t>
  </si>
  <si>
    <t>Barrel Invert Level/Sill Level</t>
  </si>
  <si>
    <t xml:space="preserve">El of Wing top just above Glacis End </t>
  </si>
  <si>
    <t>El of Wing Top adjacent to Barrel Extension</t>
  </si>
  <si>
    <t>El of Wing Top just above Glacis End</t>
  </si>
  <si>
    <t xml:space="preserve">(KN/m³) </t>
  </si>
  <si>
    <t>Wid/Hgt</t>
  </si>
  <si>
    <t>Length</t>
  </si>
  <si>
    <t>No</t>
  </si>
  <si>
    <t xml:space="preserve">Component             </t>
  </si>
  <si>
    <t xml:space="preserve">The base slab extension is designed as a continuous slab supported by the abutment and pier extensions. </t>
  </si>
  <si>
    <t xml:space="preserve">The Live Pedestrian Loading only acts on the operating platform.  To get the effect on the foundation slab, the </t>
  </si>
  <si>
    <t>loading must be multiplied by the operating platform area and then divided by the foundation area.</t>
  </si>
  <si>
    <t xml:space="preserve">For the derivation of the Live Vehicle Loading refer to Section 2.2, Design Loads for the Structural Analysis of the </t>
  </si>
  <si>
    <t>Barrel.  The Live Vehicle Loading is assumed to act over the entire foundation area.</t>
  </si>
  <si>
    <t>Live Pedestrian Loading =</t>
  </si>
  <si>
    <t xml:space="preserve">Moment and Shear values are determined using standard ACI Coefficients (Km &amp; Ks) for a continuous equal-soan </t>
  </si>
  <si>
    <t xml:space="preserve"> beam with a uniformly distributed load.  The beam is considered as built integrally with its supports.</t>
  </si>
  <si>
    <t>&gt; 2 span</t>
  </si>
  <si>
    <t>2 span</t>
  </si>
  <si>
    <t>1 Soan</t>
  </si>
  <si>
    <t>Allowable Flexural Strength of Steel (fs) = 0.45 * fy =</t>
  </si>
  <si>
    <t>psf</t>
  </si>
  <si>
    <t>b  =  Unit Width of Member  =  1.00 m</t>
  </si>
  <si>
    <t>Ast (Exposed Face)     =</t>
  </si>
  <si>
    <t>Ast (Earth Face)       =</t>
  </si>
  <si>
    <t>Ast  =  Required Area of Steel  =  M/(fs*j*da)</t>
  </si>
  <si>
    <t xml:space="preserve">Ast  =  </t>
  </si>
  <si>
    <t>Length of Member = Length of Extended Barrel =</t>
  </si>
  <si>
    <t>b  =  Unit Width of Member  =   1.00 m</t>
  </si>
  <si>
    <t>Ast  =  Required Area of Steel  =   M/(fs*j*da)</t>
  </si>
  <si>
    <t>Ast  (Exposed face) =</t>
  </si>
  <si>
    <t>Ast  (Earth Face) =</t>
  </si>
  <si>
    <t>Length of Member = Height of Abutment (Extension) =</t>
  </si>
  <si>
    <t>M   =  Design Moment (My)  =</t>
  </si>
  <si>
    <t>Ast  =  Required Area of Steel  = M/(fs*j*da)</t>
  </si>
  <si>
    <t>Length of Member  =  Length of Extended Barrel =</t>
  </si>
  <si>
    <r>
      <t>dc + Vc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/2g + Zc = d1 + V1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/2g</t>
    </r>
  </si>
  <si>
    <r>
      <t>dc = (qc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/g)^0.33</t>
    </r>
  </si>
  <si>
    <r>
      <t>Vc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/2g = dc/2</t>
    </r>
  </si>
  <si>
    <r>
      <t>R = Regime Scour Depth = 1.35 * (q</t>
    </r>
    <r>
      <rPr>
        <vertAlign val="superscript"/>
        <sz val="8"/>
        <rFont val="Arial"/>
        <family val="2"/>
      </rPr>
      <t>2</t>
    </r>
    <r>
      <rPr>
        <sz val="10"/>
        <rFont val="Arial"/>
        <family val="2"/>
      </rPr>
      <t xml:space="preserve">/f)^0.33 </t>
    </r>
  </si>
  <si>
    <r>
      <t>R</t>
    </r>
    <r>
      <rPr>
        <sz val="7"/>
        <rFont val="Arial"/>
        <family val="2"/>
      </rPr>
      <t>us</t>
    </r>
    <r>
      <rPr>
        <sz val="10"/>
        <rFont val="Arial"/>
        <family val="2"/>
      </rPr>
      <t xml:space="preserve"> = U/S Scour Depth = 1.25 x R = </t>
    </r>
  </si>
  <si>
    <r>
      <t>R</t>
    </r>
    <r>
      <rPr>
        <sz val="7"/>
        <rFont val="Arial"/>
        <family val="2"/>
      </rPr>
      <t>ds</t>
    </r>
    <r>
      <rPr>
        <sz val="10"/>
        <rFont val="Arial"/>
        <family val="2"/>
      </rPr>
      <t xml:space="preserve"> = D/S Scour Depth = 1.5 x R =</t>
    </r>
  </si>
  <si>
    <r>
      <t>./(d1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* 2*9.81) </t>
    </r>
  </si>
  <si>
    <t>Distance between abutments (Ba)</t>
  </si>
  <si>
    <t xml:space="preserve">Pier Thickness </t>
  </si>
  <si>
    <t xml:space="preserve">Invert Level </t>
  </si>
  <si>
    <t>Maximum Water Level  (monsoon)   --&gt;</t>
  </si>
  <si>
    <t>Abutment Top Thickness  (Barrel)--&gt;</t>
  </si>
  <si>
    <t>Abutment Bottom Thickness (Barrel)-&gt;</t>
  </si>
  <si>
    <t>Abutment Bottom Thickness (Ext) -&gt;</t>
  </si>
  <si>
    <t>Flat /Horizontal floor adjacent to barrel extension</t>
  </si>
  <si>
    <t>El of wing wall at end (top)/GL(River side)</t>
  </si>
  <si>
    <t>El of wing wall at end (top)/GL (Country side)</t>
  </si>
  <si>
    <t>If desired, the user may override the default USBR Stilling Basin, or select the Indian</t>
  </si>
  <si>
    <t>Standard Stilling Basin I (used for  2 &lt; F &lt; 4.5).</t>
  </si>
  <si>
    <t>Regulator/Structure:</t>
  </si>
  <si>
    <t>District:</t>
  </si>
  <si>
    <t>FLUSHING MODE</t>
  </si>
  <si>
    <t>The stem is designed as a cantilever. Design moment and shear are calculated at the bottom slab.</t>
  </si>
  <si>
    <t>M1</t>
  </si>
  <si>
    <t>M2</t>
  </si>
  <si>
    <t>X=</t>
  </si>
  <si>
    <t>Use X =</t>
  </si>
  <si>
    <t xml:space="preserve">X = </t>
  </si>
  <si>
    <t>Name of Sluice:</t>
  </si>
  <si>
    <t xml:space="preserve">Embankment type: </t>
  </si>
  <si>
    <t>(a) Crest Level:</t>
  </si>
  <si>
    <t>(b) Crest width:</t>
  </si>
  <si>
    <t xml:space="preserve">© Side Slope: </t>
  </si>
  <si>
    <t>Drainage area:</t>
  </si>
  <si>
    <t>Lowest Basin Level</t>
  </si>
  <si>
    <t>qc = unit discharge at Section © = Q/(No Vents*Bb+2*Cs) =</t>
  </si>
  <si>
    <r>
      <t>H  =  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 + V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/2g</t>
    </r>
  </si>
  <si>
    <r>
      <t>V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 =  </t>
    </r>
  </si>
  <si>
    <r>
      <t>1/d</t>
    </r>
    <r>
      <rPr>
        <vertAlign val="subscript"/>
        <sz val="10"/>
        <rFont val="Arial"/>
        <family val="2"/>
      </rPr>
      <t>1</t>
    </r>
  </si>
  <si>
    <r>
      <t xml:space="preserve"> = 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+  </t>
    </r>
  </si>
  <si>
    <r>
      <t>1/d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2</t>
    </r>
  </si>
  <si>
    <r>
      <t>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 =</t>
    </r>
  </si>
  <si>
    <r>
      <t xml:space="preserve">   use   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 =</t>
    </r>
  </si>
  <si>
    <r>
      <t>V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= Q/(B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*d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)=</t>
    </r>
  </si>
  <si>
    <r>
      <t>F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 V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/(g*d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)^0.5</t>
    </r>
  </si>
  <si>
    <r>
      <t>F</t>
    </r>
    <r>
      <rPr>
        <vertAlign val="subscript"/>
        <sz val="10"/>
        <rFont val="Arial"/>
        <family val="2"/>
      </rPr>
      <t xml:space="preserve">1 </t>
    </r>
    <r>
      <rPr>
        <sz val="10"/>
        <rFont val="Arial"/>
        <family val="2"/>
      </rPr>
      <t>=</t>
    </r>
  </si>
  <si>
    <r>
      <t>d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 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/2 *((1 + 8*F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²)^0.5 - 1) =</t>
    </r>
  </si>
  <si>
    <t>B3 = Bed Width of Protective Apron = Ba+2*Cs+2*(Gl+L)*Tan φ =</t>
  </si>
  <si>
    <t>dm =</t>
  </si>
  <si>
    <r>
      <t>f =1.76.dm</t>
    </r>
    <r>
      <rPr>
        <vertAlign val="superscript"/>
        <sz val="10"/>
        <rFont val="Arial"/>
        <family val="2"/>
      </rPr>
      <t xml:space="preserve">0.5 </t>
    </r>
    <r>
      <rPr>
        <sz val="10"/>
        <rFont val="Arial"/>
        <family val="2"/>
      </rPr>
      <t>=</t>
    </r>
  </si>
  <si>
    <r>
      <t>/d</t>
    </r>
    <r>
      <rPr>
        <vertAlign val="subscript"/>
        <sz val="10"/>
        <rFont val="Arial"/>
        <family val="2"/>
      </rPr>
      <t>1</t>
    </r>
  </si>
  <si>
    <r>
      <t>/d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2</t>
    </r>
  </si>
  <si>
    <r>
      <t>A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 B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*TWD + Ss*TWD² =</t>
    </r>
  </si>
  <si>
    <r>
      <t>V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 Q/A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</t>
    </r>
  </si>
  <si>
    <r>
      <t>f = 1.76.dm</t>
    </r>
    <r>
      <rPr>
        <vertAlign val="superscript"/>
        <sz val="10"/>
        <rFont val="Arial"/>
        <family val="2"/>
      </rPr>
      <t xml:space="preserve">1/2 </t>
    </r>
    <r>
      <rPr>
        <sz val="10"/>
        <rFont val="Arial"/>
        <family val="2"/>
      </rPr>
      <t>=</t>
    </r>
  </si>
  <si>
    <t>Flow Type =</t>
  </si>
  <si>
    <r>
      <t>Value of 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</si>
  <si>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Subsequent 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</si>
  <si>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Total discharge  (Q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>)=</t>
    </r>
  </si>
  <si>
    <t>Critical depth  (dc)=</t>
  </si>
  <si>
    <r>
      <t>Value of d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</t>
    </r>
  </si>
  <si>
    <r>
      <t>Velocity V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</t>
    </r>
  </si>
  <si>
    <r>
      <t>Value of A</t>
    </r>
    <r>
      <rPr>
        <vertAlign val="subscript"/>
        <sz val="10"/>
        <rFont val="Arial"/>
        <family val="2"/>
      </rPr>
      <t>3</t>
    </r>
  </si>
  <si>
    <t>Silt Factor  (f) =</t>
  </si>
  <si>
    <t>Level Adjacent to Barrel</t>
  </si>
  <si>
    <t>Basin Level (U/S)</t>
  </si>
  <si>
    <t xml:space="preserve">Glacis Length (Gl) --&gt; </t>
  </si>
  <si>
    <t>Use basin length (L) =</t>
  </si>
  <si>
    <r>
      <t>Froude no  (F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 =</t>
    </r>
  </si>
  <si>
    <t>Critical depth (dc) =</t>
  </si>
  <si>
    <t xml:space="preserve">Basin Level adjacent to Barrel </t>
  </si>
  <si>
    <t>Froude no  (F1) =</t>
  </si>
  <si>
    <t>Glacis Length (Gl) =</t>
  </si>
  <si>
    <t>Ast = M/fsjda =</t>
  </si>
  <si>
    <t>Ast  =  Required Area of Steel  =  M/(fs.j.da) =</t>
  </si>
  <si>
    <t>Basin Level (D/S)</t>
  </si>
  <si>
    <t>Allowable Flexural Strength of Concrete(fc) = 0.40* f'c =</t>
  </si>
  <si>
    <t>Ground Level (near Structure)</t>
  </si>
  <si>
    <t>Ground Level (near structure)</t>
  </si>
  <si>
    <t>Ast  =  Required Area of Steel  =  M/(fs.j.da)</t>
  </si>
  <si>
    <t xml:space="preserve">Ast(top)      = </t>
  </si>
  <si>
    <t xml:space="preserve">Ast(bottom)   = </t>
  </si>
  <si>
    <t>Ast  =  Required Area of Steel  =  M/(fs.J.da)</t>
  </si>
  <si>
    <t xml:space="preserve">Ast(top)      =  </t>
  </si>
  <si>
    <t>The effective depth of the member (dr) is calculated for both the moment and shear conditions</t>
  </si>
  <si>
    <t>The effective depth values for moment and shear are compared and the maximum is used for design</t>
  </si>
  <si>
    <t xml:space="preserve">b   =  Unit Width of Member    =   </t>
  </si>
  <si>
    <t>Ast  =  Required Area of Steel  =   M/(fs.j.da)</t>
  </si>
  <si>
    <t xml:space="preserve">b   =  Unit Width of Member  =  </t>
  </si>
  <si>
    <t>Ast  =  Required Area of Steel  =   m/(fs. J. da) =</t>
  </si>
  <si>
    <t>No design is required for the railings.  The standard railing dimensions and reinforcements are</t>
  </si>
  <si>
    <t xml:space="preserve"> given below.  The railing post spacing usually varies between 1.5m and 2.2m.</t>
  </si>
  <si>
    <t>spc</t>
  </si>
  <si>
    <t xml:space="preserve"> (mm²)</t>
  </si>
  <si>
    <t xml:space="preserve"> (mm) </t>
  </si>
  <si>
    <t>MAIN/VERTICAL REINFORCEMENT</t>
  </si>
  <si>
    <t xml:space="preserve"> (mm)</t>
  </si>
  <si>
    <t>Reqd (Ast)</t>
  </si>
  <si>
    <t>Provided (Ast)</t>
  </si>
  <si>
    <t>Addl Reqd</t>
  </si>
  <si>
    <t>Thickness</t>
  </si>
  <si>
    <t>Available</t>
  </si>
  <si>
    <t>Regd</t>
  </si>
  <si>
    <t>Design</t>
  </si>
  <si>
    <t>Ok or not Ok</t>
  </si>
  <si>
    <t xml:space="preserve">No of </t>
  </si>
  <si>
    <t>bars</t>
  </si>
  <si>
    <t>Addl</t>
  </si>
  <si>
    <t xml:space="preserve">MEMBER                         </t>
  </si>
  <si>
    <r>
      <t>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</si>
  <si>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.1/(d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* 2*9.81) </t>
    </r>
  </si>
  <si>
    <r>
      <t>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+</t>
    </r>
  </si>
  <si>
    <r>
      <t>,= 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+</t>
    </r>
  </si>
  <si>
    <r>
      <t>V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  Q/A</t>
    </r>
    <r>
      <rPr>
        <vertAlign val="subscript"/>
        <sz val="10"/>
        <rFont val="Arial"/>
        <family val="2"/>
      </rPr>
      <t>3</t>
    </r>
  </si>
  <si>
    <r>
      <t>A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 area of flow at the Protective Apron = B3*TWD+SS*TWD</t>
    </r>
    <r>
      <rPr>
        <vertAlign val="superscript"/>
        <sz val="8"/>
        <rFont val="Arial"/>
        <family val="2"/>
      </rPr>
      <t>2</t>
    </r>
  </si>
  <si>
    <r>
      <t>B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</t>
    </r>
  </si>
  <si>
    <t>Number of Vents,</t>
  </si>
  <si>
    <t xml:space="preserve">Barrel Invert Level </t>
  </si>
  <si>
    <t xml:space="preserve">Elevation of Operation Deck </t>
  </si>
  <si>
    <t>Length of wing wall from OP deck end to Gl/Ground</t>
  </si>
  <si>
    <r>
      <t>d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+</t>
    </r>
  </si>
  <si>
    <t>Bb =</t>
  </si>
  <si>
    <r>
      <t>W=nBb+2*Cs+(n-1)*Ps+2*S1*tan</t>
    </r>
    <r>
      <rPr>
        <sz val="10"/>
        <rFont val="Calibri"/>
        <family val="2"/>
      </rPr>
      <t>φ</t>
    </r>
  </si>
  <si>
    <r>
      <t>W=nBb+28Cs+(n-1)*Ps+2*S1*tan</t>
    </r>
    <r>
      <rPr>
        <sz val="10"/>
        <rFont val="Calibri"/>
        <family val="2"/>
      </rPr>
      <t>φ</t>
    </r>
  </si>
  <si>
    <t>Size:</t>
  </si>
  <si>
    <t xml:space="preserve">Sec 0-0, W0 </t>
  </si>
  <si>
    <t>Sec 1-1, W1</t>
  </si>
  <si>
    <t>Sec2-2,W2</t>
  </si>
  <si>
    <t>Sec3-3,W3</t>
  </si>
  <si>
    <t>Sec4-4,W4</t>
  </si>
  <si>
    <t>Sec 5-5,W5</t>
  </si>
  <si>
    <t>Sec 0-0, W0</t>
  </si>
  <si>
    <t xml:space="preserve">The abutment extension is a vertical wall cantilevered in two directions.  It is fixed at the bottom slab and </t>
  </si>
  <si>
    <t>the headwall.  The abutment extension is designed to withstand the earth pressure behind it. In addition,</t>
  </si>
  <si>
    <t>the abutment extension is designed as a counterfort to withstand the earth oressure from behind the headwall.</t>
  </si>
  <si>
    <t>The table below summarizes the Maximum Moment and Shear Coefficients (Km &amp; Ks) from the book</t>
  </si>
  <si>
    <t xml:space="preserve">"Moments and Reactions for Rectangular Plates" by Moody (Figure 30), for various slabs cantilevered in </t>
  </si>
  <si>
    <t>two directions and with a triangularly distributed load.</t>
  </si>
  <si>
    <t>The thickness of the abutment extension often increases between the top and bottom of the member,</t>
  </si>
  <si>
    <t>because the soil pressure increases with depth.  To take into consideration the variable abutment thickness,</t>
  </si>
  <si>
    <t xml:space="preserve">the member thickness is checked at both the top and bottom. "Moment y" is maximum along the base of </t>
  </si>
  <si>
    <t xml:space="preserve">the wall and is used to check the bottom thickness. "Moment x" is maximum at various locations along the </t>
  </si>
  <si>
    <t>headwall and is used to check the top abutment thickness.</t>
  </si>
  <si>
    <t xml:space="preserve">The pier extension is designed on the same  concept as the abutment extension.  The pier extension is </t>
  </si>
  <si>
    <t>a wall cantilevered in two directions.  It is fixed at the bottom slab and the headwall. The pier extension</t>
  </si>
  <si>
    <t>is designed to withstand water pressure during the maintenance period, when one vent is full of water</t>
  </si>
  <si>
    <t>and the adjacent vent is empty. In addition, the pier extension is designed as a cointerfort to withstand</t>
  </si>
  <si>
    <t>the earth pressure from behind the headwall.</t>
  </si>
  <si>
    <t>The operating platform is designed as a continuous beam supported by the abutment and pier extension.</t>
  </si>
  <si>
    <t xml:space="preserve">The design is divided into two parts: a 300 mm beam withstanding the gate and hoist load, and the remaining </t>
  </si>
  <si>
    <t xml:space="preserve"> portion as a slab withstanding the live pedestrian load</t>
  </si>
  <si>
    <t xml:space="preserve">Moment and Shear values for the uniformly distributed dead load are determined using standard </t>
  </si>
  <si>
    <t xml:space="preserve">ACI Coefficients (Km &amp; Ks) for a continuous equal-span beam.  The beam is considered as built integrally </t>
  </si>
  <si>
    <t xml:space="preserve"> with its supports.</t>
  </si>
  <si>
    <t>Sec dist</t>
  </si>
  <si>
    <t>Sec</t>
  </si>
  <si>
    <t>Sec #</t>
  </si>
  <si>
    <t>Width (m)</t>
  </si>
  <si>
    <t>sec</t>
  </si>
  <si>
    <t>height (m)</t>
  </si>
  <si>
    <t>Dist (m)</t>
  </si>
  <si>
    <t>width (m)</t>
  </si>
  <si>
    <t>Volume of Concrete</t>
  </si>
  <si>
    <t>Ht (m)</t>
  </si>
  <si>
    <t>Wing wall</t>
  </si>
  <si>
    <t>Wing T (mm)</t>
  </si>
  <si>
    <t xml:space="preserve">BaseT (mm) </t>
  </si>
  <si>
    <t>bottom</t>
  </si>
  <si>
    <t>top</t>
  </si>
  <si>
    <t xml:space="preserve">Total Concret Volume: </t>
  </si>
  <si>
    <r>
      <t>Vol (m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</t>
    </r>
  </si>
  <si>
    <t>Concrete Volume:</t>
  </si>
  <si>
    <t xml:space="preserve">Stem </t>
  </si>
  <si>
    <t xml:space="preserve">Ht (m) </t>
  </si>
  <si>
    <t>Botttom</t>
  </si>
  <si>
    <t>Top</t>
  </si>
  <si>
    <t>Thickness (mm)</t>
  </si>
  <si>
    <t>Length (m)</t>
  </si>
  <si>
    <t xml:space="preserve">Base </t>
  </si>
  <si>
    <t>Base Width</t>
  </si>
  <si>
    <t>Volume of Concrete:</t>
  </si>
  <si>
    <r>
      <t>Volume (m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</t>
    </r>
  </si>
  <si>
    <t>Box bottom width (outside)</t>
  </si>
  <si>
    <t>Length of Barrel i/c extensions:</t>
  </si>
  <si>
    <t>D/S Floor length i/c glacis</t>
  </si>
  <si>
    <t>U/S Floor length i/c glacis</t>
  </si>
  <si>
    <t>D/S Floor extension (Return wall  toe)</t>
  </si>
  <si>
    <t>U/S Floor extension (Return wall  toe)</t>
  </si>
  <si>
    <t xml:space="preserve">Total Floor Length: </t>
  </si>
  <si>
    <t>Name of Project:</t>
  </si>
  <si>
    <t>Location:</t>
  </si>
  <si>
    <t>Name of Structure:</t>
  </si>
  <si>
    <t>Maximum Water Level C/S &amp; R/S</t>
  </si>
  <si>
    <t>Highest High Water Level (observed)</t>
  </si>
  <si>
    <t xml:space="preserve">Maximum Water Level C/S </t>
  </si>
  <si>
    <t>Drainage Mode (R/S Floor Thickness)</t>
  </si>
  <si>
    <t>Design C/S Water Level --&gt;</t>
  </si>
  <si>
    <t>Design R/S Water Level</t>
  </si>
  <si>
    <t>Flushing Mode (C/S Floor Thickness)</t>
  </si>
  <si>
    <t>Design C/S Water Level   --&gt;</t>
  </si>
  <si>
    <t>Monsoon WL</t>
  </si>
  <si>
    <t>Design R/S Water Level   --&gt;</t>
  </si>
  <si>
    <t>1 in 20 year WL</t>
  </si>
  <si>
    <t>U/S Apron Level --&gt;</t>
  </si>
  <si>
    <t>D/S Apron Level --&gt;</t>
  </si>
  <si>
    <t>Elevation at bottom of U/S Cutoff Wall --&gt;</t>
  </si>
  <si>
    <t>Elevation at bottom of D/S Cutoff Wall --&gt;</t>
  </si>
  <si>
    <t>Cut off depth,c/s</t>
  </si>
  <si>
    <t>Cut off depth,r/s</t>
  </si>
  <si>
    <t>Elevation underneath apron at U/S Cutoff Wall-&gt;</t>
  </si>
  <si>
    <t>Elevation underneath apron at D/S Cutoff Wall -&gt;</t>
  </si>
  <si>
    <t>Appron End Thickness</t>
  </si>
  <si>
    <t>Provided (U/S)</t>
  </si>
  <si>
    <t>Required</t>
  </si>
  <si>
    <t>Provided (D/S)</t>
  </si>
  <si>
    <t>Total Floor Length (b)  --&gt;</t>
  </si>
  <si>
    <t>Distance between U/S and D/S Cutoff Walls (b')-&gt;</t>
  </si>
  <si>
    <t>Intermediate Points where Floor Thickness is Desired:</t>
  </si>
  <si>
    <t>Section   Length (m) from</t>
  </si>
  <si>
    <t xml:space="preserve">   Section 1 (U/S)</t>
  </si>
  <si>
    <t xml:space="preserve">   1 (U/S)</t>
  </si>
  <si>
    <t xml:space="preserve">   2</t>
  </si>
  <si>
    <t xml:space="preserve">   3</t>
  </si>
  <si>
    <t>SCHEMATIC VIEW OF STRUCTURE</t>
  </si>
  <si>
    <t xml:space="preserve">   4</t>
  </si>
  <si>
    <t xml:space="preserve">   5</t>
  </si>
  <si>
    <t>Drainage Mode Water Levels   ---------</t>
  </si>
  <si>
    <t xml:space="preserve">   6 (D/S)</t>
  </si>
  <si>
    <t xml:space="preserve">Flushing Mode Water Levels   - - - - - </t>
  </si>
  <si>
    <t xml:space="preserve">    Barrel</t>
  </si>
  <si>
    <t>=Bank</t>
  </si>
  <si>
    <t>U/S</t>
  </si>
  <si>
    <t>D/S</t>
  </si>
  <si>
    <t>=B3</t>
  </si>
  <si>
    <t xml:space="preserve">    2</t>
  </si>
  <si>
    <t xml:space="preserve">  3</t>
  </si>
  <si>
    <t xml:space="preserve">    4</t>
  </si>
  <si>
    <t xml:space="preserve">  5</t>
  </si>
  <si>
    <t>&lt;-- Cutoff</t>
  </si>
  <si>
    <t xml:space="preserve">   EXIT GRADIENT</t>
  </si>
  <si>
    <t>Exit gradient is calculated using Khosla's equation.</t>
  </si>
  <si>
    <t>Drainage Mode</t>
  </si>
  <si>
    <t xml:space="preserve">                         </t>
  </si>
  <si>
    <t xml:space="preserve">Ge = Exit Gradient =  </t>
  </si>
  <si>
    <t>H/d*(1/pi*r^0.5)</t>
  </si>
  <si>
    <t xml:space="preserve">                          </t>
  </si>
  <si>
    <t>H = Design Head = U/S Water Level - D/S Water Level =</t>
  </si>
  <si>
    <t>d  =  Length (depth) of D/S Cutoff Wall</t>
  </si>
  <si>
    <t>b  =  Total Floor Length  =</t>
  </si>
  <si>
    <t>a  =  b/d  =</t>
  </si>
  <si>
    <t>r  =  (1 + (1 + a^2)^0.5)/2  =</t>
  </si>
  <si>
    <t xml:space="preserve">Ge  =  </t>
  </si>
  <si>
    <t>Flushing Mode</t>
  </si>
  <si>
    <t xml:space="preserve">        </t>
  </si>
  <si>
    <t>H  =  Design Head  =</t>
  </si>
  <si>
    <t>d = Length (depth) of U/S Cutoff Wall =</t>
  </si>
  <si>
    <t>UPLIFT PRESSURE</t>
  </si>
  <si>
    <t>The method used to determine the percentage uplift at various key points underneath the structure was</t>
  </si>
  <si>
    <t xml:space="preserve"> developed by Khosla.  The key points at the U/S and D/S cut-off walls are defined in the figure below.</t>
  </si>
  <si>
    <t xml:space="preserve">     E1</t>
  </si>
  <si>
    <t>C1</t>
  </si>
  <si>
    <t xml:space="preserve">   E6 </t>
  </si>
  <si>
    <t>C6</t>
  </si>
  <si>
    <t>D1</t>
  </si>
  <si>
    <t>D6</t>
  </si>
  <si>
    <t>Upstream Cutoff Wall</t>
  </si>
  <si>
    <t>d  =  Length  (depth) of U/S Cutoff Wall =</t>
  </si>
  <si>
    <t>øE1  =  100%</t>
  </si>
  <si>
    <t>øC1  =  100%  -  acos((r-2)/r)/pi  =</t>
  </si>
  <si>
    <t>øD1  =  100%  -  acos((r-1)/r)/pi  =</t>
  </si>
  <si>
    <t>øC1 must be corrected for the following conditions:</t>
  </si>
  <si>
    <t>c1  =  correction due to effect of D/S Cutoff Wall</t>
  </si>
  <si>
    <t>c2  =  correction due to thickness of floor</t>
  </si>
  <si>
    <r>
      <t>c</t>
    </r>
    <r>
      <rPr>
        <vertAlign val="subscript"/>
        <sz val="10"/>
        <rFont val="Arial"/>
        <family val="2"/>
      </rPr>
      <t xml:space="preserve">1 </t>
    </r>
    <r>
      <rPr>
        <sz val="10"/>
        <rFont val="Arial"/>
        <family val="2"/>
      </rPr>
      <t>= 19 * (d"/b')^0.5 * (d'+d")/b</t>
    </r>
  </si>
  <si>
    <t>b   =  Total Floor Length  =</t>
  </si>
  <si>
    <t>b'  =  Distance between U/S and D/S Cutoff Walls  =</t>
  </si>
  <si>
    <t>d'  =  Elevation underneath apron at U/S Cutoff Wall minus</t>
  </si>
  <si>
    <t xml:space="preserve">       Elevation at bottom of U/s Cutoff Wall</t>
  </si>
  <si>
    <t>d"  =  Elevation underneath apron at D/S Cutoff Wall minus</t>
  </si>
  <si>
    <t xml:space="preserve">       Elevation at bottom of D/S Cutoff Wall</t>
  </si>
  <si>
    <r>
      <t>c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 =  </t>
    </r>
  </si>
  <si>
    <t xml:space="preserve">  (+ve)</t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</si>
  <si>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 [(øD1 - øC1)*Tc1]/d1</t>
    </r>
  </si>
  <si>
    <t xml:space="preserve">    </t>
  </si>
  <si>
    <t>Tc1  =  Thickness of Concrete at Section 1 (U/S)</t>
  </si>
  <si>
    <t xml:space="preserve">     =  U/S Apron Level - Elev. underneath apron at U/S Cutoff Wall =</t>
  </si>
  <si>
    <t>d1   =  Depth of U/s Cutoff Wall =</t>
  </si>
  <si>
    <t xml:space="preserve">        U/S Apron Level - Elevation at bottom of U/S Cutoff Wall  =</t>
  </si>
  <si>
    <t xml:space="preserve">c2 =       </t>
  </si>
  <si>
    <t xml:space="preserve">  </t>
  </si>
  <si>
    <t xml:space="preserve">      </t>
  </si>
  <si>
    <t>øC1 (corrected)  =  øC1  +  c1  +  c2  =</t>
  </si>
  <si>
    <t>Downstream Cutoff Wall</t>
  </si>
  <si>
    <t>øC6  =  0%</t>
  </si>
  <si>
    <t>øE6  =  acos((r-2)/r)/pi  =</t>
  </si>
  <si>
    <t>øD6  =  acos((r-1)/r)/pi  =</t>
  </si>
  <si>
    <t xml:space="preserve">øE6 must be corrected for the effect  of the U/S Cutoff Wall (c1) and thickness of floor (C2) </t>
  </si>
  <si>
    <t>c1  =  19  *  (d"/b')^0.5  *  (d'+d")/b =</t>
  </si>
  <si>
    <t xml:space="preserve">  (-ve)</t>
  </si>
  <si>
    <t>c2  =  [(øE6 - øD6)* Tc6]/d6</t>
  </si>
  <si>
    <t>øE6 (corrected)  =  øE6  +  c1  +  c2  =</t>
  </si>
  <si>
    <t>Required Concrete Thickness</t>
  </si>
  <si>
    <t>Design Head (H)  =  U/S Water Level  -  D/S Water Level  =</t>
  </si>
  <si>
    <t xml:space="preserve">u = submerged unit weight of concrete= unit weight of concrete / unit weight of water = </t>
  </si>
  <si>
    <t xml:space="preserve">Section   </t>
  </si>
  <si>
    <t>Length from</t>
  </si>
  <si>
    <t>φ%</t>
  </si>
  <si>
    <t xml:space="preserve">Concrete </t>
  </si>
  <si>
    <t>Uplift Pressure</t>
  </si>
  <si>
    <t>Used (t)</t>
  </si>
  <si>
    <t>upstream end (m)</t>
  </si>
  <si>
    <t>Thickness (m)</t>
  </si>
  <si>
    <t>(Kn/m2)</t>
  </si>
  <si>
    <t>R/S (m)</t>
  </si>
  <si>
    <t>øC1  =  0%</t>
  </si>
  <si>
    <t>øE1  =  acos((r-2)/r)/pi  =</t>
  </si>
  <si>
    <t>øD1  =  acos((r-1)/r)/pi  =</t>
  </si>
  <si>
    <t xml:space="preserve">øE1 must be corrected for the effect  of the D/S Cutoff Wall (c1) and the thickness of floor (c2) </t>
  </si>
  <si>
    <t>c2  = [(øE1 - øD1)*Tc1]/d1 =</t>
  </si>
  <si>
    <t>øE1 (corrected)  =  øE1  +  c1  +  c2  =</t>
  </si>
  <si>
    <t>øE6  =  100%</t>
  </si>
  <si>
    <t>øC6  =  100%  -  acos((r-2)/r)/pi  =</t>
  </si>
  <si>
    <t>øD6  =  100%  -  acos((r-1)/r)/pi  =</t>
  </si>
  <si>
    <t>øC6 must be corrected for the effect  of the U/S Cutoff Wall (c1) and thickness of the wall (c2)</t>
  </si>
  <si>
    <t>c1  =  19 * (d"/b')^0.5*(d'+d")/b =</t>
  </si>
  <si>
    <t>c2  = ((øD6 - øC6)*Tc6)/d6 =</t>
  </si>
  <si>
    <t>øC6 (corrected)  =  øC6  +  c1  +  c2  =</t>
  </si>
  <si>
    <t>u = submerged unit weight of concrete= unit weight of concrete/ unit weight of water =</t>
  </si>
  <si>
    <t xml:space="preserve"> ø %</t>
  </si>
  <si>
    <t>Concrete</t>
  </si>
  <si>
    <t>Used</t>
  </si>
  <si>
    <t xml:space="preserve">section    </t>
  </si>
  <si>
    <t>U/S end (m)</t>
  </si>
  <si>
    <t>thick (m)</t>
  </si>
  <si>
    <t>Checking of Total Floor Length Against Under Seepage:</t>
  </si>
  <si>
    <t>C=</t>
  </si>
  <si>
    <t>H =</t>
  </si>
  <si>
    <t>C X H =</t>
  </si>
  <si>
    <t>m, Required Creep Length</t>
  </si>
  <si>
    <t>Creep Length Provided =</t>
  </si>
  <si>
    <t>m &gt;</t>
  </si>
  <si>
    <t xml:space="preserve">Considering HHWL (observed) River Side and Maximum Water Level inside project </t>
  </si>
  <si>
    <t>Outfall:</t>
  </si>
  <si>
    <t xml:space="preserve">Outfall: </t>
  </si>
  <si>
    <t xml:space="preserve">NANE OF PROJECT: </t>
  </si>
  <si>
    <t xml:space="preserve"> Railing  --&gt; </t>
  </si>
  <si>
    <t xml:space="preserve">m       </t>
  </si>
  <si>
    <t xml:space="preserve">Barrel     </t>
  </si>
  <si>
    <t xml:space="preserve">    Extension    </t>
  </si>
  <si>
    <t>Operating Platform Area =</t>
  </si>
  <si>
    <t xml:space="preserve">b  =  Unit Width of Member     =        </t>
  </si>
  <si>
    <t>ta = Actual Thickness of Member =</t>
  </si>
  <si>
    <t>Ksy</t>
  </si>
  <si>
    <t>Ksx</t>
  </si>
  <si>
    <t>Kmy</t>
  </si>
  <si>
    <t>Kmx</t>
  </si>
  <si>
    <t>a/b</t>
  </si>
  <si>
    <t>Tension</t>
  </si>
  <si>
    <t>Exposed Face</t>
  </si>
  <si>
    <t>Earth Face</t>
  </si>
  <si>
    <t>The abutment extension is checked as a counterfort to withstand the earth pressure from behind the headwall</t>
  </si>
  <si>
    <t>The design moment and shear are calculated at the Top slab level section</t>
  </si>
  <si>
    <t>Shear at Top Slab Level  =  (w1 * l + (w2-w1) * l / 2) * b =</t>
  </si>
  <si>
    <t>Moment at Top Slab Level =  (w1 * l² / 2 + (w2-w1)* l² / 6) * b =</t>
  </si>
  <si>
    <t>From the previous analysis of the cantilevered wall the following reinforcement has already been provided</t>
  </si>
  <si>
    <t>The size of the additional required steel bars is determined taking into consideration the available width</t>
  </si>
  <si>
    <t>between the previously provided steel and assuming a minimum bar spacing of 25 mm</t>
  </si>
  <si>
    <t>The pier extension is checked as a counterfort to withstand the earth pressure from behind the headwall.</t>
  </si>
  <si>
    <t>Height Soil   =  Embankment Crest Level  -  Headwall Top Level =</t>
  </si>
  <si>
    <t xml:space="preserve"> between the previously provided steel and assuming a minimum bar spacing of 25 mm.</t>
  </si>
  <si>
    <t>The headwall is designed as a continuous slab supported by the abutment and pier extensions. The headwall</t>
  </si>
  <si>
    <t>is designed to withstand the earth pressure behind it.</t>
  </si>
  <si>
    <t xml:space="preserve">Moment and Shear values are determined using standard ACI Coefficients (Km &amp; Ks) for a continuous </t>
  </si>
  <si>
    <t xml:space="preserve"> equal-span beam with a uniformly distributed load.  The beam is considered as built integrally with its supports</t>
  </si>
  <si>
    <t xml:space="preserve">The thickness of the headwall often increases between the top and bottom of the member, because the soil </t>
  </si>
  <si>
    <t>pressure increases with depth.  To take into consideration the variable headwall thickness, the moments</t>
  </si>
  <si>
    <t xml:space="preserve"> and shears are calculated at both top and bottom</t>
  </si>
  <si>
    <t>1 span</t>
  </si>
  <si>
    <t xml:space="preserve"> . 2 span</t>
  </si>
  <si>
    <t xml:space="preserve">  Member   </t>
  </si>
  <si>
    <t>2 Span</t>
  </si>
  <si>
    <t>l  =  Clear Span Length   =</t>
  </si>
  <si>
    <t>Combined</t>
  </si>
  <si>
    <t xml:space="preserve">    Dead   </t>
  </si>
  <si>
    <t xml:space="preserve">    Load   </t>
  </si>
  <si>
    <t>Gate &amp; Hst</t>
  </si>
  <si>
    <t>Reqd</t>
  </si>
  <si>
    <t>Ok</t>
  </si>
  <si>
    <t xml:space="preserve">Ok or Not </t>
  </si>
  <si>
    <t>OK</t>
  </si>
  <si>
    <t>OK or Not</t>
  </si>
  <si>
    <t>Act. Thick</t>
  </si>
  <si>
    <t>Reqd tr</t>
  </si>
  <si>
    <t>ta mm</t>
  </si>
  <si>
    <t xml:space="preserve">                                            </t>
  </si>
  <si>
    <t xml:space="preserve">                             </t>
  </si>
  <si>
    <t>Concrete Thickness (m)  = H* φ /u</t>
  </si>
  <si>
    <t>Concrete Thickness (m)  = H*φ / u</t>
  </si>
  <si>
    <t>Total F</t>
  </si>
  <si>
    <t>Hor floor</t>
  </si>
  <si>
    <t>I. Level</t>
  </si>
  <si>
    <t>Length of</t>
  </si>
  <si>
    <t>GL at end</t>
  </si>
  <si>
    <t>length (m)</t>
  </si>
  <si>
    <t>Toe (m)</t>
  </si>
  <si>
    <t xml:space="preserve">U/S Floor </t>
  </si>
  <si>
    <t>Barrel i/c extensions</t>
  </si>
  <si>
    <t>D/S Floor</t>
  </si>
  <si>
    <t>Total F length</t>
  </si>
  <si>
    <t>Emb Crest</t>
  </si>
  <si>
    <t xml:space="preserve">   =  D/S Channel Level - Elevation at bottom of D/S Cutoff Wall =</t>
  </si>
  <si>
    <t>Maximum Seepage Head =</t>
  </si>
  <si>
    <t>a = b/d =</t>
  </si>
  <si>
    <t xml:space="preserve">Ge = </t>
  </si>
  <si>
    <t>Depth of C/S cutoff (d) =</t>
  </si>
  <si>
    <t>(a) Highest Water Level :</t>
  </si>
  <si>
    <t>(b) HHWL (mean)</t>
  </si>
  <si>
    <t>R/S  (1V:nH)</t>
  </si>
  <si>
    <t>C/S (1V:nH)</t>
  </si>
  <si>
    <t>Sub-project:</t>
  </si>
  <si>
    <t>Interior Dyke</t>
  </si>
  <si>
    <t>Polder area :</t>
  </si>
  <si>
    <t>Dist:</t>
  </si>
  <si>
    <t>(a) R/S, 1V:nH</t>
  </si>
  <si>
    <t>(b) C/S; 1V:nH</t>
  </si>
  <si>
    <t>Subproject:</t>
  </si>
  <si>
    <t>(maintenance period, Av HWL post-monsoon)</t>
  </si>
  <si>
    <t>Live Vehicle Loading (H10 or H20) -&gt;</t>
  </si>
  <si>
    <t>Structure:</t>
  </si>
  <si>
    <t>Base slab extension is designed to withstand the foundation pressure, excluding the weight of foundation slab.</t>
  </si>
  <si>
    <t>Ast (actl)</t>
  </si>
  <si>
    <t>φ</t>
  </si>
  <si>
    <t>EXIT GRADIENT AND UPLIFT PRESSURE (idal Zone)</t>
  </si>
  <si>
    <t>Checking of Foundation Pressure</t>
  </si>
  <si>
    <t>Remarks</t>
  </si>
  <si>
    <t>BH-1</t>
  </si>
  <si>
    <t>BH-2</t>
  </si>
  <si>
    <t>BH-3</t>
  </si>
  <si>
    <t xml:space="preserve">GL for the boreholes as recorded in the bore log sheet are: </t>
  </si>
  <si>
    <t xml:space="preserve">The base level of foundation as fixed on hydrological observation and findings are </t>
  </si>
  <si>
    <t>Central Part (barrel):</t>
  </si>
  <si>
    <t>Country side apron:</t>
  </si>
  <si>
    <t>River side apron:</t>
  </si>
  <si>
    <t>Components under which fdn pressure checked</t>
  </si>
  <si>
    <t>C/S Return wall</t>
  </si>
  <si>
    <t>R/S Return wall</t>
  </si>
  <si>
    <t>R/S Apron</t>
  </si>
  <si>
    <t>C/S Apron</t>
  </si>
  <si>
    <t>Sl no</t>
  </si>
  <si>
    <t>value from the table</t>
  </si>
  <si>
    <t xml:space="preserve">As per visual observation the soil below foundation level is non-plastic, so the foundation presurre </t>
  </si>
  <si>
    <t>Barrel Foundation</t>
  </si>
  <si>
    <t>Cohesionless material (fine sand and silt), as per borelog</t>
  </si>
  <si>
    <t xml:space="preserve">N = </t>
  </si>
  <si>
    <t xml:space="preserve">For </t>
  </si>
  <si>
    <t>Nc =</t>
  </si>
  <si>
    <t>Nq =</t>
  </si>
  <si>
    <t>Sc =</t>
  </si>
  <si>
    <t>Sq =</t>
  </si>
  <si>
    <t>1 - 0.4.(B/L)</t>
  </si>
  <si>
    <t>By Terzaghi's bearing capacity formula of shallow foundation</t>
  </si>
  <si>
    <t>C =</t>
  </si>
  <si>
    <t>Width, B =</t>
  </si>
  <si>
    <t>Length, L =</t>
  </si>
  <si>
    <t>Soil Properties</t>
  </si>
  <si>
    <t>γ =</t>
  </si>
  <si>
    <t>Df =</t>
  </si>
  <si>
    <t>KN/m3</t>
  </si>
  <si>
    <t>(minimum surcharge is considered)</t>
  </si>
  <si>
    <t>Qall =</t>
  </si>
  <si>
    <t>(Replacing unit weight of soil by submerged unit weight of soil)</t>
  </si>
  <si>
    <t xml:space="preserve">qa = </t>
  </si>
  <si>
    <t>Cv =</t>
  </si>
  <si>
    <t>Correction factor similar to that suggested by Peck and Bazara (1969) and</t>
  </si>
  <si>
    <t>Nayak (1974)</t>
  </si>
  <si>
    <t>2.0 for gravelly soil</t>
  </si>
  <si>
    <t>1.5, for coarse to medium sand,</t>
  </si>
  <si>
    <t>1.0, for fine and silty sand,</t>
  </si>
  <si>
    <t>0.75, for silts</t>
  </si>
  <si>
    <t xml:space="preserve">Standard SPT value corrected for submergence (if applicable) and over </t>
  </si>
  <si>
    <t>burden pressure,</t>
  </si>
  <si>
    <t>B =</t>
  </si>
  <si>
    <t>Width of footing, meters</t>
  </si>
  <si>
    <t>Reduction factor for shallow ground ground water</t>
  </si>
  <si>
    <t>0.5, water level at footing base or higher</t>
  </si>
  <si>
    <t>1.0, for water level at depth B or further below the footing base,</t>
  </si>
  <si>
    <t>(for intermediate positions of water level, obtain Wγ values by interpolation)</t>
  </si>
  <si>
    <t>dt =</t>
  </si>
  <si>
    <t xml:space="preserve">depth factor for Terzaghi-Peck approach, computed as </t>
  </si>
  <si>
    <t>Depth of footing</t>
  </si>
  <si>
    <t>Allowable Bearing Pressure Based on Tolerable Settlement (Peck and Terzaghi)</t>
  </si>
  <si>
    <t>Now</t>
  </si>
  <si>
    <t xml:space="preserve">allowable net increase in soil pressure over existing soil pressure for a </t>
  </si>
  <si>
    <t>Bearing capacity calculation done through average SPT value and type of soil observed at site,</t>
  </si>
  <si>
    <t>before placing lean concrete for foundation.</t>
  </si>
  <si>
    <t>Sub-Project:</t>
  </si>
  <si>
    <t>Total Length of Base Slab = L</t>
  </si>
  <si>
    <t>Coastal Embankment Improvement Project Phase-1, CEIP-1.</t>
  </si>
  <si>
    <t>Size of Sluice :</t>
  </si>
  <si>
    <t>No of Vent =</t>
  </si>
  <si>
    <t>Related Khal =</t>
  </si>
  <si>
    <t>Corrected m PWD</t>
  </si>
  <si>
    <t>(d) Downstream water Level =</t>
  </si>
  <si>
    <t xml:space="preserve">Drainage Mode </t>
  </si>
  <si>
    <t>Invert Level =</t>
  </si>
  <si>
    <t>District :</t>
  </si>
  <si>
    <t>Angle of Internal Friction of soil (φ)</t>
  </si>
  <si>
    <t>( For barrel part )</t>
  </si>
  <si>
    <t>( For Wing &amp; Return wall )</t>
  </si>
  <si>
    <t>(f) Downstream water Level =</t>
  </si>
  <si>
    <t>Insight barrel Height =</t>
  </si>
  <si>
    <t>Insight barrel width  =</t>
  </si>
  <si>
    <t>HWL</t>
  </si>
  <si>
    <t>U/S Basin  Level   --&gt;</t>
  </si>
  <si>
    <t>D/S Basin Level   --&gt;</t>
  </si>
  <si>
    <t>D/S Basin  Level   --&gt;</t>
  </si>
  <si>
    <t>( Data from IWM report )</t>
  </si>
  <si>
    <t>Avg.High Water Level     --&gt;</t>
  </si>
  <si>
    <t>Avg, High Water Level     --&gt;</t>
  </si>
  <si>
    <t>Sec 4-4,W4</t>
  </si>
  <si>
    <t>c.m PWD</t>
  </si>
  <si>
    <t>corrected m PWD</t>
  </si>
  <si>
    <t xml:space="preserve">Sec 1-1, W1 </t>
  </si>
  <si>
    <t>Sec 2-2, W2</t>
  </si>
  <si>
    <t>Slope factor</t>
  </si>
  <si>
    <t>900 mm</t>
  </si>
  <si>
    <t>Proposed</t>
  </si>
  <si>
    <t>Av.ground level around structure</t>
  </si>
  <si>
    <t>© Upstream water level =</t>
  </si>
  <si>
    <t>(e) Upstream water level =</t>
  </si>
  <si>
    <t>( Data assumed  from hydrograph )</t>
  </si>
  <si>
    <t xml:space="preserve">  c. m PWD</t>
  </si>
  <si>
    <t>No of vent =</t>
  </si>
  <si>
    <t xml:space="preserve">         No of vent =</t>
  </si>
  <si>
    <t xml:space="preserve">         No of vent = </t>
  </si>
  <si>
    <t xml:space="preserve">           No of vent =</t>
  </si>
  <si>
    <t>Min. space with wall =</t>
  </si>
  <si>
    <t>Height of end sill  =</t>
  </si>
  <si>
    <t>Location :</t>
  </si>
  <si>
    <t>Sluice /Structure:</t>
  </si>
  <si>
    <t>Page-1</t>
  </si>
  <si>
    <t>( ERC Basin ) Or Indian Standard Stilling Basin-1</t>
  </si>
  <si>
    <t xml:space="preserve"> ( ERC Basin ) or Indian Standard Stilling basin -1.</t>
  </si>
  <si>
    <t>Page-11</t>
  </si>
  <si>
    <t>Page-12</t>
  </si>
  <si>
    <t>Page-13</t>
  </si>
  <si>
    <t>Page-14</t>
  </si>
  <si>
    <t>Page-15</t>
  </si>
  <si>
    <t>Page-16</t>
  </si>
  <si>
    <t>Page-17</t>
  </si>
  <si>
    <t>Sluice/Structure:</t>
  </si>
  <si>
    <t>Page-18</t>
  </si>
  <si>
    <t>Page-19</t>
  </si>
  <si>
    <t>Page-20</t>
  </si>
  <si>
    <t>Page-21</t>
  </si>
  <si>
    <t>Page-22</t>
  </si>
  <si>
    <t>Page-23</t>
  </si>
  <si>
    <t>Page-24</t>
  </si>
  <si>
    <t>Page-25</t>
  </si>
  <si>
    <t>Width of Head Wall</t>
  </si>
  <si>
    <t>Width &amp; Spacing</t>
  </si>
  <si>
    <t>Height, width and spacing</t>
  </si>
  <si>
    <t>of baffle block =  as like as Chute Block.</t>
  </si>
  <si>
    <t>Width &amp; spacing =</t>
  </si>
  <si>
    <t>c. m PWD</t>
  </si>
  <si>
    <t xml:space="preserve">is  located at river side of the embankment. </t>
  </si>
  <si>
    <t>( C/S )</t>
  </si>
  <si>
    <t>( R/S )</t>
  </si>
  <si>
    <t>( Barrel )</t>
  </si>
  <si>
    <t>Depth below EGL(m)</t>
  </si>
  <si>
    <t>SPT Value</t>
  </si>
  <si>
    <t>Avg.SPT</t>
  </si>
  <si>
    <t>at depth 2B</t>
  </si>
  <si>
    <t>at depth B</t>
  </si>
  <si>
    <t>Using, N = 1. Cv = 0.75, B= 3.60 m Wγ = 1.0 and dt = 2.39,</t>
  </si>
  <si>
    <t>Eq-01</t>
  </si>
  <si>
    <t>From the result of Equation - 1, it is very much clear that the soil beneath the foundation</t>
  </si>
  <si>
    <t>depth should be filled up by sand of FM ≥ 1.0 and compacted to minimum 50% relative density,</t>
  </si>
  <si>
    <t>Page-26</t>
  </si>
  <si>
    <t>Page-27</t>
  </si>
  <si>
    <t>Page-28</t>
  </si>
  <si>
    <t>Page-29</t>
  </si>
  <si>
    <t>Page-30</t>
  </si>
  <si>
    <t>Page-31</t>
  </si>
  <si>
    <t>Page-32</t>
  </si>
  <si>
    <t>Page-33</t>
  </si>
  <si>
    <t>Page-34</t>
  </si>
  <si>
    <t>Page-35</t>
  </si>
  <si>
    <t>Page-36</t>
  </si>
  <si>
    <t>Page-37</t>
  </si>
  <si>
    <t>Page-39</t>
  </si>
  <si>
    <t>Page-40</t>
  </si>
  <si>
    <t>Page-41</t>
  </si>
  <si>
    <t>Page-42</t>
  </si>
  <si>
    <t>Page-43</t>
  </si>
  <si>
    <t>END</t>
  </si>
  <si>
    <t>( Md.Mahbubur Rahman )</t>
  </si>
  <si>
    <t>Design Engineer</t>
  </si>
  <si>
    <t>CEIP-1</t>
  </si>
  <si>
    <t>Point</t>
  </si>
  <si>
    <t>Length of wing wall (Lw) excluding flat part &amp; Glacis</t>
  </si>
  <si>
    <t xml:space="preserve">Total length of wing wall </t>
  </si>
  <si>
    <r>
      <t>Volume (m</t>
    </r>
    <r>
      <rPr>
        <vertAlign val="superscript"/>
        <sz val="9"/>
        <rFont val="Arial"/>
        <family val="2"/>
      </rPr>
      <t>3</t>
    </r>
    <r>
      <rPr>
        <sz val="9"/>
        <rFont val="Arial"/>
        <family val="2"/>
      </rPr>
      <t>)</t>
    </r>
  </si>
  <si>
    <t>El c.m PWD</t>
  </si>
  <si>
    <t>BH-1 ( Barrel )</t>
  </si>
  <si>
    <t>Out fall River :</t>
  </si>
  <si>
    <t>Page-38</t>
  </si>
  <si>
    <t>mm  c/c     ( Ast =</t>
  </si>
  <si>
    <t>Rounded Spacing(mm)</t>
  </si>
  <si>
    <t xml:space="preserve">RETURN WALL (R/S) </t>
  </si>
  <si>
    <t>RS</t>
  </si>
  <si>
    <t>CS</t>
  </si>
  <si>
    <t>No of Vent  =</t>
  </si>
  <si>
    <t>Page-4</t>
  </si>
  <si>
    <t>Page-5</t>
  </si>
  <si>
    <t>Page-6</t>
  </si>
  <si>
    <t>Page-7</t>
  </si>
  <si>
    <t>Page-8</t>
  </si>
  <si>
    <t>Page-9</t>
  </si>
  <si>
    <t>Page-10</t>
  </si>
  <si>
    <t>is  not within  tolerence limit.</t>
  </si>
  <si>
    <t>Abutment Bottom floor Thickness (Ext) -&gt;</t>
  </si>
  <si>
    <t>appeared to be lower than imposed pressure. So only removal of disturbed soil below the level of</t>
  </si>
  <si>
    <t>Vent =</t>
  </si>
  <si>
    <t>Length of Member  = Height of Wingwall (H ) =</t>
  </si>
  <si>
    <t>Page-44</t>
  </si>
  <si>
    <r>
      <t>1. Sub- Soil Investigation report (</t>
    </r>
    <r>
      <rPr>
        <b/>
        <sz val="10"/>
        <color rgb="FF0000CC"/>
        <rFont val="Arial Narrow"/>
        <family val="2"/>
      </rPr>
      <t>Refer: Sub- Soil investigation report under CEIP-1 for structures</t>
    </r>
  </si>
  <si>
    <r>
      <t>Developed Foundation pressure (Kn/m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>)</t>
    </r>
  </si>
  <si>
    <r>
      <t>Allowable Net Pressure (Kn/m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>)</t>
    </r>
  </si>
  <si>
    <t>is calculated assuming non-cohesive soil, with c = 0, and value of  φ is assumed on observed N</t>
  </si>
  <si>
    <r>
      <rPr>
        <sz val="12"/>
        <rFont val="Arial Narrow"/>
        <family val="2"/>
      </rPr>
      <t>γ</t>
    </r>
    <r>
      <rPr>
        <vertAlign val="subscript"/>
        <sz val="10"/>
        <rFont val="Arial Narrow"/>
        <family val="2"/>
      </rPr>
      <t>w =</t>
    </r>
  </si>
  <si>
    <t>1+B/L.(Nq/Nγ) =</t>
  </si>
  <si>
    <t>1+B/L.tan φ =</t>
  </si>
  <si>
    <t>Nγ =</t>
  </si>
  <si>
    <t>Sγ =</t>
  </si>
  <si>
    <t>tan φ =</t>
  </si>
  <si>
    <t>Qult = CNcSc + γ Df Nq Sq + 0.5γ B Nγ Sγ</t>
  </si>
  <si>
    <r>
      <t>Kn/m</t>
    </r>
    <r>
      <rPr>
        <vertAlign val="superscript"/>
        <sz val="10"/>
        <rFont val="Arial Narrow"/>
        <family val="2"/>
      </rPr>
      <t>2</t>
    </r>
  </si>
  <si>
    <r>
      <t>q</t>
    </r>
    <r>
      <rPr>
        <vertAlign val="subscript"/>
        <sz val="10"/>
        <rFont val="Arial Narrow"/>
        <family val="2"/>
      </rPr>
      <t>a</t>
    </r>
    <r>
      <rPr>
        <sz val="10"/>
        <rFont val="Arial Narrow"/>
        <family val="2"/>
      </rPr>
      <t xml:space="preserve"> = 3.35 Cb (N-3) [(B+0.3)/2B]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 xml:space="preserve"> Wγ dt</t>
    </r>
  </si>
  <si>
    <r>
      <t>(total) settlement of 25 mm in t/m</t>
    </r>
    <r>
      <rPr>
        <vertAlign val="superscript"/>
        <sz val="10"/>
        <rFont val="Arial Narrow"/>
        <family val="2"/>
      </rPr>
      <t xml:space="preserve">2 </t>
    </r>
  </si>
  <si>
    <t>Wγ =</t>
  </si>
  <si>
    <t>dt = (1+Df/B) ≤ 2.0</t>
  </si>
  <si>
    <r>
      <t>q</t>
    </r>
    <r>
      <rPr>
        <vertAlign val="subscript"/>
        <sz val="10"/>
        <rFont val="Arial Narrow"/>
        <family val="2"/>
      </rPr>
      <t>a</t>
    </r>
    <r>
      <rPr>
        <sz val="10"/>
        <rFont val="Arial Narrow"/>
        <family val="2"/>
      </rPr>
      <t xml:space="preserve"> =</t>
    </r>
  </si>
  <si>
    <r>
      <t>tons/m</t>
    </r>
    <r>
      <rPr>
        <vertAlign val="superscript"/>
        <sz val="10"/>
        <rFont val="Arial Narrow"/>
        <family val="2"/>
      </rPr>
      <t>2</t>
    </r>
  </si>
  <si>
    <t>proposed foundation will not be sufficient, so,sand piling is  suggested  here but the over excavated</t>
  </si>
  <si>
    <t>ha</t>
  </si>
  <si>
    <t xml:space="preserve">    SHRINKAGE /  HORIZONTAL REINFORCEMENT</t>
  </si>
  <si>
    <t>BOTTOM / VERTICAL REIN.(EARTH FACE )</t>
  </si>
  <si>
    <t>Checked</t>
  </si>
  <si>
    <t>++</t>
  </si>
  <si>
    <r>
      <t>Allowable Shear Stress of Concrete(v) = 2.89 x (fc')</t>
    </r>
    <r>
      <rPr>
        <vertAlign val="superscript"/>
        <sz val="10"/>
        <rFont val="Arial Narrow"/>
        <family val="2"/>
      </rPr>
      <t>0.5</t>
    </r>
    <r>
      <rPr>
        <sz val="10"/>
        <rFont val="Arial Narrow"/>
        <family val="2"/>
      </rPr>
      <t xml:space="preserve"> =</t>
    </r>
  </si>
  <si>
    <t>Floor extension at barrel level =</t>
  </si>
  <si>
    <t>Extension of floor at invert level =</t>
  </si>
  <si>
    <t>φ = 10°</t>
  </si>
  <si>
    <t xml:space="preserve">  Operating Platform      </t>
  </si>
  <si>
    <t>Corrected m PWD ( considering 0.90 m surcharge )</t>
  </si>
  <si>
    <t>Top slab top level =</t>
  </si>
  <si>
    <t>Top width of Head wall =</t>
  </si>
  <si>
    <r>
      <t>B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= Bed Width of Protective Apron = Ba+2*(Gl+L+x)*Tan φ =</t>
    </r>
  </si>
  <si>
    <r>
      <t>mm</t>
    </r>
    <r>
      <rPr>
        <vertAlign val="superscript"/>
        <sz val="10"/>
        <rFont val="Arial Narrow"/>
        <family val="2"/>
      </rPr>
      <t>2</t>
    </r>
  </si>
  <si>
    <t>φ (dia)</t>
  </si>
  <si>
    <t>Md.Mahbubur Rahman</t>
  </si>
  <si>
    <t>Page-2</t>
  </si>
  <si>
    <t xml:space="preserve">Corrected m PWD </t>
  </si>
  <si>
    <t>Polder- 40/2</t>
  </si>
  <si>
    <t>YEAR</t>
  </si>
  <si>
    <t>1965-May</t>
  </si>
  <si>
    <t>1965-Dec</t>
  </si>
  <si>
    <t>1997-May</t>
  </si>
  <si>
    <t>1997-Sep</t>
  </si>
  <si>
    <t>Max =</t>
  </si>
  <si>
    <t>Min =</t>
  </si>
  <si>
    <t>Avg. =</t>
  </si>
  <si>
    <t xml:space="preserve">Storm surge level </t>
  </si>
  <si>
    <t>Volume II: Package-2, June'2017</t>
  </si>
  <si>
    <t xml:space="preserve">( Page no- Appendix 'B' , Page-10 ) </t>
  </si>
  <si>
    <t>L=</t>
  </si>
  <si>
    <t>Calculated value</t>
  </si>
  <si>
    <t>Calculated value =</t>
  </si>
  <si>
    <t>baffle block =  as like as Chute Block.</t>
  </si>
  <si>
    <r>
      <t>Unit Weight of Steel  (γ</t>
    </r>
    <r>
      <rPr>
        <vertAlign val="subscript"/>
        <sz val="10"/>
        <rFont val="Arial Narrow"/>
        <family val="2"/>
      </rPr>
      <t>st</t>
    </r>
    <r>
      <rPr>
        <sz val="10"/>
        <rFont val="Arial Narrow"/>
        <family val="2"/>
      </rPr>
      <t>)  --&gt;</t>
    </r>
  </si>
  <si>
    <r>
      <t>lb/ft</t>
    </r>
    <r>
      <rPr>
        <vertAlign val="superscript"/>
        <sz val="10"/>
        <rFont val="Arial Narrow"/>
        <family val="2"/>
      </rPr>
      <t>3</t>
    </r>
  </si>
  <si>
    <r>
      <t>Unit Weight of Concrete  (γ</t>
    </r>
    <r>
      <rPr>
        <vertAlign val="subscript"/>
        <sz val="10"/>
        <rFont val="Arial Narrow"/>
        <family val="2"/>
      </rPr>
      <t xml:space="preserve">c) </t>
    </r>
    <r>
      <rPr>
        <sz val="10"/>
        <rFont val="Arial Narrow"/>
        <family val="2"/>
      </rPr>
      <t>--&gt;</t>
    </r>
  </si>
  <si>
    <r>
      <t>Unit Weight of Soil (γ</t>
    </r>
    <r>
      <rPr>
        <vertAlign val="subscript"/>
        <sz val="10"/>
        <rFont val="Arial Narrow"/>
        <family val="2"/>
      </rPr>
      <t>s</t>
    </r>
    <r>
      <rPr>
        <sz val="10"/>
        <rFont val="Arial Narrow"/>
        <family val="2"/>
      </rPr>
      <t>)    --&gt;</t>
    </r>
  </si>
  <si>
    <r>
      <t>w = Load at apron level =  Ca*γ</t>
    </r>
    <r>
      <rPr>
        <vertAlign val="subscript"/>
        <sz val="10"/>
        <rFont val="Arial Narrow"/>
        <family val="2"/>
      </rPr>
      <t>s</t>
    </r>
    <r>
      <rPr>
        <sz val="10"/>
        <rFont val="Arial Narrow"/>
        <family val="2"/>
      </rPr>
      <t>*H =</t>
    </r>
  </si>
  <si>
    <r>
      <t>M(actual) = Ca * γ</t>
    </r>
    <r>
      <rPr>
        <vertAlign val="subscript"/>
        <sz val="10"/>
        <rFont val="Arial Narrow"/>
        <family val="2"/>
      </rPr>
      <t>s</t>
    </r>
    <r>
      <rPr>
        <sz val="10"/>
        <rFont val="Arial Narrow"/>
        <family val="2"/>
      </rPr>
      <t xml:space="preserve"> * h³ / 6 =</t>
    </r>
  </si>
  <si>
    <t>M(actual)  =  Ca *γs * h³ / 6 =</t>
  </si>
  <si>
    <t xml:space="preserve">W =  Volume concrete *γc  + Volume soil *γs </t>
  </si>
  <si>
    <r>
      <t>M(end) = End moment = Ca* γ</t>
    </r>
    <r>
      <rPr>
        <vertAlign val="subscript"/>
        <sz val="10"/>
        <rFont val="Arial Narrow"/>
        <family val="2"/>
      </rPr>
      <t>s</t>
    </r>
    <r>
      <rPr>
        <sz val="10"/>
        <rFont val="Arial Narrow"/>
        <family val="2"/>
      </rPr>
      <t>*H'</t>
    </r>
    <r>
      <rPr>
        <vertAlign val="superscript"/>
        <sz val="10"/>
        <rFont val="Arial Narrow"/>
        <family val="2"/>
      </rPr>
      <t>3</t>
    </r>
    <r>
      <rPr>
        <sz val="10"/>
        <rFont val="Arial Narrow"/>
        <family val="2"/>
      </rPr>
      <t>/6 =</t>
    </r>
  </si>
  <si>
    <r>
      <t>M(wing) = Moment at Exposed Face of Wingwall = M(end) - W*x + w * x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>/2</t>
    </r>
  </si>
  <si>
    <r>
      <t>From the Moment Equation taken at Section(d):  M(d) = M(end) - W*d + w*d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>/2</t>
    </r>
  </si>
  <si>
    <r>
      <t>From the Moment Equation taken at Section(x): M(d) = M(end) - W*d + w*d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>/2</t>
    </r>
  </si>
  <si>
    <r>
      <t>(mm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>)</t>
    </r>
  </si>
  <si>
    <r>
      <t>(KN/m</t>
    </r>
    <r>
      <rPr>
        <vertAlign val="superscript"/>
        <sz val="10"/>
        <rFont val="Arial Narrow"/>
        <family val="2"/>
      </rPr>
      <t>2</t>
    </r>
    <r>
      <rPr>
        <sz val="10"/>
        <rFont val="Arial Narrow"/>
        <family val="2"/>
      </rPr>
      <t>)</t>
    </r>
  </si>
  <si>
    <t>φ (bar dia)</t>
  </si>
  <si>
    <t>Polder- 16</t>
  </si>
  <si>
    <t>DR-5</t>
  </si>
  <si>
    <t>At km 18.95</t>
  </si>
  <si>
    <t>Salta River</t>
  </si>
  <si>
    <t>1.50m x 1.80m</t>
  </si>
  <si>
    <t>Finalised as per discussion with Design officials.</t>
  </si>
  <si>
    <t>Khulna</t>
  </si>
  <si>
    <t>( Adjusted level )</t>
  </si>
  <si>
    <t>(added 3m as per decision of CE, Design )</t>
  </si>
  <si>
    <t>Page- 2</t>
  </si>
  <si>
    <t>Page-3</t>
  </si>
  <si>
    <t>( width )</t>
  </si>
  <si>
    <t>(width)</t>
  </si>
  <si>
    <r>
      <rPr>
        <b/>
        <sz val="10"/>
        <color rgb="FF0000CC"/>
        <rFont val="Arial Narrow"/>
        <family val="2"/>
      </rPr>
      <t>in Polder-16,August, 2021</t>
    </r>
    <r>
      <rPr>
        <sz val="10"/>
        <rFont val="Arial Narrow"/>
        <family val="2"/>
      </rPr>
      <t>) was prepared  to judge the properties of underlying  sub-soil strata in DS-5</t>
    </r>
  </si>
  <si>
    <t>site in August' 2021 :</t>
  </si>
  <si>
    <t>At the proposed site  3 bore holes for  sub-soil  investigation were  conducted from 01-09-2021</t>
  </si>
  <si>
    <r>
      <t xml:space="preserve">to 02.09.2021 .  </t>
    </r>
    <r>
      <rPr>
        <sz val="10"/>
        <color rgb="FF0000CC"/>
        <rFont val="Arial Narrow"/>
        <family val="2"/>
      </rPr>
      <t>Bh-2 is placed at country side, BH-1  is located on the embankment and BH-03</t>
    </r>
  </si>
  <si>
    <t xml:space="preserve">As per borelog all the holes were digged upto 27.4 m from the existing ground level (GL). </t>
  </si>
  <si>
    <t>BH-2 ( C/S )</t>
  </si>
  <si>
    <t>BH-3 ( R/S )</t>
  </si>
  <si>
    <t>From the sub-soil boring data, the average SPT (N) value, from -2.025 c.m PWD, to 2B = 2x3.00 m</t>
  </si>
  <si>
    <t xml:space="preserve"> = 6.00 m,i.e. upto -11.225 c.m PWD, average SPT value is  </t>
  </si>
  <si>
    <t xml:space="preserve">Again considering average SPT (N) value, from-2.025 c.m PWD to a depth B = 3.00 m, i.e. up to </t>
  </si>
  <si>
    <t xml:space="preserve"> - 0.337 c. m PWD, the average SPT (N) value is </t>
  </si>
  <si>
    <t>Technical Report.</t>
  </si>
  <si>
    <t xml:space="preserve">on Model Study shows that  there are eighteen structures need to drain out surface </t>
  </si>
  <si>
    <t>Model gives the insite and outside critical water level by which hydroulic calculation is</t>
  </si>
  <si>
    <t xml:space="preserve"> review. </t>
  </si>
  <si>
    <t>Some basic information :</t>
  </si>
  <si>
    <r>
      <t xml:space="preserve">f'c </t>
    </r>
    <r>
      <rPr>
        <sz val="12"/>
        <rFont val="Calibri"/>
        <family val="2"/>
      </rPr>
      <t>≥</t>
    </r>
  </si>
  <si>
    <r>
      <t>22.0 N/mm</t>
    </r>
    <r>
      <rPr>
        <vertAlign val="superscript"/>
        <sz val="10"/>
        <rFont val="Arial Narrow"/>
        <family val="2"/>
      </rPr>
      <t>2</t>
    </r>
  </si>
  <si>
    <r>
      <t>f'y</t>
    </r>
    <r>
      <rPr>
        <sz val="12"/>
        <rFont val="Calibri"/>
        <family val="2"/>
      </rPr>
      <t>≥</t>
    </r>
  </si>
  <si>
    <r>
      <t>414 N/ mm</t>
    </r>
    <r>
      <rPr>
        <vertAlign val="superscript"/>
        <sz val="12"/>
        <rFont val="Arial Narrow"/>
        <family val="2"/>
      </rPr>
      <t>2</t>
    </r>
  </si>
  <si>
    <t>f'c ≥</t>
  </si>
  <si>
    <r>
      <t>18.0 N/ mm</t>
    </r>
    <r>
      <rPr>
        <vertAlign val="superscript"/>
        <sz val="12"/>
        <rFont val="Arial Narrow"/>
        <family val="2"/>
      </rPr>
      <t>2</t>
    </r>
  </si>
  <si>
    <t>for blocks</t>
  </si>
  <si>
    <t>for RCC work.</t>
  </si>
  <si>
    <t>Clear cover</t>
  </si>
  <si>
    <t>Operating deck &amp; railing =</t>
  </si>
  <si>
    <t>25 mm</t>
  </si>
  <si>
    <t>Concrete adjacent to earth at foundation =</t>
  </si>
  <si>
    <t>75 mm</t>
  </si>
  <si>
    <t>Concrete exposed to weather &amp; water or</t>
  </si>
  <si>
    <t>others. =</t>
  </si>
  <si>
    <t>Beam =</t>
  </si>
  <si>
    <t>40 mm</t>
  </si>
  <si>
    <t>( Md. Mahbubur Rahman )</t>
  </si>
  <si>
    <t xml:space="preserve">DDCS &amp; PMS Consultant </t>
  </si>
  <si>
    <t xml:space="preserve">Package-3 consists of seven Polders. Polder-16 is one of them. Proposed Drainage </t>
  </si>
  <si>
    <t>run- off  accomolate within the Polder area.</t>
  </si>
  <si>
    <t xml:space="preserve">By this time ,seventeen  structures have been  already designed by DDCS &amp; PMS  </t>
  </si>
  <si>
    <t xml:space="preserve">consultant and the related design and drawings have been reviewed and approved by </t>
  </si>
  <si>
    <t xml:space="preserve">CE, Design, BWDB, Dhaka. Only DR-5 is pending due to non-availability of soil report </t>
  </si>
  <si>
    <t>and corresponding site plan in time .</t>
  </si>
  <si>
    <t xml:space="preserve">During design of  all other Regulators,some how it was missed to do boring in the site </t>
  </si>
  <si>
    <t xml:space="preserve">is necessary to note here that Hydrological analysis has been done during Model study. </t>
  </si>
  <si>
    <t xml:space="preserve">of DR-5 under Polder-16. Later on, boring has been done and site plan also prepared. It </t>
  </si>
  <si>
    <t>done.In these regard, necessary information is enclosed at the end of design report for</t>
  </si>
  <si>
    <t xml:space="preserve">Regulator (DR-5) is under Polder-16. As per Technical report preapred by IWM based </t>
  </si>
  <si>
    <t>( with drop = (-) 1.35 c.m  PWD</t>
  </si>
  <si>
    <t>( with 0.50 m length at same of barrel )</t>
  </si>
  <si>
    <t>( Use as per discussion with Xen,BWDB )</t>
  </si>
  <si>
    <t>( As per discussion with Xen, design office )</t>
  </si>
  <si>
    <r>
      <t>6.895 kn/m</t>
    </r>
    <r>
      <rPr>
        <vertAlign val="superscript"/>
        <sz val="9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</si>
</sst>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"/>
    <numFmt numFmtId="165" formatCode="0_)"/>
    <numFmt numFmtId="166" formatCode="0.00E+00_)"/>
    <numFmt numFmtId="167" formatCode="0.000_)"/>
    <numFmt numFmtId="168" formatCode="0.0000_)"/>
    <numFmt numFmtId="169" formatCode="0.0"/>
    <numFmt numFmtId="170" formatCode="0.000000"/>
    <numFmt numFmtId="171" formatCode="0.00000"/>
    <numFmt numFmtId="172" formatCode="0.0000"/>
    <numFmt numFmtId="173" formatCode="0.000"/>
    <numFmt numFmtId="174" formatCode="0.0_)"/>
    <numFmt numFmtId="175" formatCode="#,##0.000"/>
    <numFmt numFmtId="176" formatCode="0.000%"/>
  </numFmts>
  <fonts count="105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b/>
      <i/>
      <u/>
      <sz val="10"/>
      <name val="Arial"/>
      <family val="2"/>
    </font>
    <font>
      <vertAlign val="subscript"/>
      <sz val="10"/>
      <name val="Arial"/>
      <family val="2"/>
    </font>
    <font>
      <vertAlign val="superscript"/>
      <sz val="10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b/>
      <sz val="9"/>
      <color indexed="10"/>
      <name val="Arial"/>
      <family val="2"/>
    </font>
    <font>
      <i/>
      <sz val="8"/>
      <name val="Arial"/>
      <family val="2"/>
    </font>
    <font>
      <b/>
      <i/>
      <sz val="9"/>
      <color indexed="10"/>
      <name val="Arial"/>
      <family val="2"/>
    </font>
    <font>
      <b/>
      <i/>
      <sz val="9"/>
      <name val="Arial"/>
      <family val="2"/>
    </font>
    <font>
      <sz val="9"/>
      <color indexed="10"/>
      <name val="Arial"/>
      <family val="2"/>
    </font>
    <font>
      <i/>
      <sz val="9"/>
      <color indexed="10"/>
      <name val="Arial"/>
      <family val="2"/>
    </font>
    <font>
      <sz val="10"/>
      <name val="Calibri"/>
      <family val="2"/>
    </font>
    <font>
      <b/>
      <sz val="9"/>
      <name val="Arial"/>
      <family val="2"/>
    </font>
    <font>
      <sz val="10"/>
      <name val="Times New Roman"/>
      <family val="1"/>
    </font>
    <font>
      <sz val="10"/>
      <name val="Courier"/>
      <family val="3"/>
    </font>
    <font>
      <b/>
      <sz val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sz val="7"/>
      <name val="Arial"/>
      <family val="2"/>
    </font>
    <font>
      <u/>
      <sz val="10"/>
      <name val="Arial"/>
      <family val="2"/>
    </font>
    <font>
      <sz val="10"/>
      <color indexed="12"/>
      <name val="Courier"/>
      <family val="3"/>
    </font>
    <font>
      <sz val="10"/>
      <color indexed="10"/>
      <name val="Courier"/>
      <family val="3"/>
    </font>
    <font>
      <sz val="10"/>
      <color indexed="12"/>
      <name val="Courier"/>
      <family val="3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0"/>
      <name val="Times New Roman"/>
      <family val="1"/>
    </font>
    <font>
      <sz val="11"/>
      <name val="Arial"/>
      <family val="2"/>
    </font>
    <font>
      <i/>
      <sz val="10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  <font>
      <b/>
      <sz val="10"/>
      <color rgb="FFC00000"/>
      <name val="Arial"/>
      <family val="2"/>
    </font>
    <font>
      <b/>
      <sz val="10"/>
      <color rgb="FF0000CC"/>
      <name val="Arial"/>
      <family val="2"/>
    </font>
    <font>
      <b/>
      <sz val="12"/>
      <color rgb="FF0000CC"/>
      <name val="Arial"/>
      <family val="2"/>
    </font>
    <font>
      <b/>
      <u/>
      <sz val="14"/>
      <name val="Arial"/>
      <family val="2"/>
    </font>
    <font>
      <sz val="10"/>
      <color theme="0"/>
      <name val="Arial"/>
      <family val="2"/>
    </font>
    <font>
      <sz val="10"/>
      <color rgb="FF0000CC"/>
      <name val="Arial"/>
      <family val="2"/>
    </font>
    <font>
      <b/>
      <sz val="10"/>
      <color indexed="12"/>
      <name val="Arial"/>
      <family val="2"/>
    </font>
    <font>
      <sz val="10"/>
      <color rgb="FFC00000"/>
      <name val="Arial"/>
      <family val="2"/>
    </font>
    <font>
      <b/>
      <sz val="10"/>
      <color rgb="FF000099"/>
      <name val="Arial"/>
      <family val="2"/>
    </font>
    <font>
      <b/>
      <u/>
      <sz val="10"/>
      <name val="Arial"/>
      <family val="2"/>
    </font>
    <font>
      <sz val="10"/>
      <color theme="1"/>
      <name val="Arial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rgb="FFFF0000"/>
      <name val="Arial Black"/>
      <family val="2"/>
    </font>
    <font>
      <vertAlign val="superscript"/>
      <sz val="9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sz val="10"/>
      <name val="Arial Black"/>
      <family val="2"/>
    </font>
    <font>
      <sz val="10"/>
      <color indexed="12"/>
      <name val="Arial Black"/>
      <family val="2"/>
    </font>
    <font>
      <b/>
      <sz val="10"/>
      <name val="Arial Black"/>
      <family val="2"/>
    </font>
    <font>
      <b/>
      <sz val="9"/>
      <color rgb="FF0000CC"/>
      <name val="Arial"/>
      <family val="2"/>
    </font>
    <font>
      <sz val="8"/>
      <color rgb="FF0000CC"/>
      <name val="Arial Narrow"/>
      <family val="2"/>
    </font>
    <font>
      <sz val="8"/>
      <color rgb="FF0000CC"/>
      <name val="Arial"/>
      <family val="2"/>
    </font>
    <font>
      <b/>
      <sz val="10"/>
      <color theme="0"/>
      <name val="Arial"/>
      <family val="2"/>
    </font>
    <font>
      <b/>
      <sz val="10"/>
      <color indexed="12"/>
      <name val="Arial Narrow"/>
      <family val="2"/>
    </font>
    <font>
      <b/>
      <sz val="10"/>
      <color rgb="FFFF0000"/>
      <name val="Arial Narrow"/>
      <family val="2"/>
    </font>
    <font>
      <sz val="9"/>
      <name val="Arial Narrow"/>
      <family val="2"/>
    </font>
    <font>
      <b/>
      <sz val="12"/>
      <color rgb="FFFF0000"/>
      <name val="Arial Narrow"/>
      <family val="2"/>
    </font>
    <font>
      <sz val="10"/>
      <color indexed="12"/>
      <name val="Arial Narrow"/>
      <family val="2"/>
    </font>
    <font>
      <sz val="10"/>
      <color theme="0"/>
      <name val="Arial Narrow"/>
      <family val="2"/>
    </font>
    <font>
      <b/>
      <sz val="10"/>
      <color rgb="FF0000CC"/>
      <name val="Arial Narrow"/>
      <family val="2"/>
    </font>
    <font>
      <sz val="8"/>
      <name val="Arial Narrow"/>
      <family val="2"/>
    </font>
    <font>
      <vertAlign val="superscript"/>
      <sz val="10"/>
      <name val="Arial Narrow"/>
      <family val="2"/>
    </font>
    <font>
      <b/>
      <sz val="11"/>
      <name val="Arial Narrow"/>
      <family val="2"/>
    </font>
    <font>
      <sz val="12"/>
      <name val="Arial Narrow"/>
      <family val="2"/>
    </font>
    <font>
      <vertAlign val="subscript"/>
      <sz val="10"/>
      <name val="Arial Narrow"/>
      <family val="2"/>
    </font>
    <font>
      <i/>
      <sz val="10"/>
      <name val="Arial Narrow"/>
      <family val="2"/>
    </font>
    <font>
      <b/>
      <sz val="10"/>
      <color rgb="FF000099"/>
      <name val="Arial Narrow"/>
      <family val="2"/>
    </font>
    <font>
      <sz val="10"/>
      <color theme="1"/>
      <name val="Arial Narrow"/>
      <family val="2"/>
    </font>
    <font>
      <sz val="10"/>
      <color indexed="10"/>
      <name val="Arial Narrow"/>
      <family val="2"/>
    </font>
    <font>
      <b/>
      <sz val="9"/>
      <color rgb="FFC00000"/>
      <name val="Arial"/>
      <family val="2"/>
    </font>
    <font>
      <sz val="10"/>
      <color rgb="FFFF0000"/>
      <name val="Arial Narrow"/>
      <family val="2"/>
    </font>
    <font>
      <sz val="10"/>
      <color rgb="FF0000CC"/>
      <name val="Arial Narrow"/>
      <family val="2"/>
    </font>
    <font>
      <b/>
      <u/>
      <sz val="10"/>
      <color rgb="FFFF0000"/>
      <name val="Arial Narrow"/>
      <family val="2"/>
    </font>
    <font>
      <sz val="8"/>
      <color theme="0"/>
      <name val="Arial Narrow"/>
      <family val="2"/>
    </font>
    <font>
      <b/>
      <sz val="10"/>
      <color theme="1"/>
      <name val="Arial"/>
      <family val="2"/>
    </font>
    <font>
      <b/>
      <sz val="12"/>
      <name val="Arial Narrow"/>
      <family val="2"/>
    </font>
    <font>
      <b/>
      <sz val="11"/>
      <color rgb="FF0000CC"/>
      <name val="Arial"/>
      <family val="2"/>
    </font>
    <font>
      <b/>
      <i/>
      <sz val="10"/>
      <name val="Arial Narrow"/>
      <family val="2"/>
    </font>
    <font>
      <sz val="10"/>
      <color rgb="FFC00000"/>
      <name val="Arial Narrow"/>
      <family val="2"/>
    </font>
    <font>
      <i/>
      <sz val="9"/>
      <name val="Arial Narrow"/>
      <family val="2"/>
    </font>
    <font>
      <b/>
      <i/>
      <u/>
      <sz val="10"/>
      <name val="Arial Narrow"/>
      <family val="2"/>
    </font>
    <font>
      <b/>
      <i/>
      <sz val="9"/>
      <color indexed="10"/>
      <name val="Arial Narrow"/>
      <family val="2"/>
    </font>
    <font>
      <b/>
      <i/>
      <sz val="9"/>
      <name val="Arial Narrow"/>
      <family val="2"/>
    </font>
    <font>
      <b/>
      <sz val="9"/>
      <color indexed="10"/>
      <name val="Arial Narrow"/>
      <family val="2"/>
    </font>
    <font>
      <b/>
      <sz val="10"/>
      <color rgb="FFC00000"/>
      <name val="Arial Narrow"/>
      <family val="2"/>
    </font>
    <font>
      <i/>
      <sz val="8"/>
      <name val="Arial Narrow"/>
      <family val="2"/>
    </font>
    <font>
      <i/>
      <sz val="9"/>
      <color theme="0"/>
      <name val="Arial Narrow"/>
      <family val="2"/>
    </font>
    <font>
      <sz val="9"/>
      <color indexed="10"/>
      <name val="Arial Narrow"/>
      <family val="2"/>
    </font>
    <font>
      <i/>
      <sz val="9"/>
      <color indexed="10"/>
      <name val="Arial Narrow"/>
      <family val="2"/>
    </font>
    <font>
      <b/>
      <sz val="8"/>
      <color rgb="FFFF0000"/>
      <name val="Arial Narrow"/>
      <family val="2"/>
    </font>
    <font>
      <sz val="16"/>
      <name val="Arial Narrow"/>
      <family val="2"/>
    </font>
    <font>
      <sz val="12"/>
      <name val="Calibri"/>
      <family val="2"/>
    </font>
    <font>
      <vertAlign val="superscript"/>
      <sz val="12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1" fillId="0" borderId="0"/>
    <xf numFmtId="9" fontId="2" fillId="0" borderId="0" applyFont="0" applyFill="0" applyBorder="0" applyAlignment="0" applyProtection="0"/>
    <xf numFmtId="0" fontId="1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32">
    <xf numFmtId="0" fontId="0" fillId="0" borderId="0" xfId="0"/>
    <xf numFmtId="0" fontId="3" fillId="0" borderId="0" xfId="0" applyFont="1"/>
    <xf numFmtId="0" fontId="4" fillId="0" borderId="0" xfId="0" applyFont="1" applyAlignment="1" applyProtection="1">
      <alignment horizontal="left"/>
    </xf>
    <xf numFmtId="166" fontId="5" fillId="0" borderId="0" xfId="0" applyNumberFormat="1" applyFont="1" applyProtection="1">
      <protection locked="0"/>
    </xf>
    <xf numFmtId="0" fontId="5" fillId="0" borderId="0" xfId="0" applyFont="1" applyProtection="1">
      <protection locked="0"/>
    </xf>
    <xf numFmtId="165" fontId="5" fillId="0" borderId="0" xfId="0" applyNumberFormat="1" applyFont="1" applyProtection="1">
      <protection locked="0"/>
    </xf>
    <xf numFmtId="0" fontId="6" fillId="0" borderId="0" xfId="0" applyFont="1" applyAlignment="1" applyProtection="1">
      <alignment horizontal="left"/>
    </xf>
    <xf numFmtId="0" fontId="6" fillId="0" borderId="0" xfId="0" applyFont="1"/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5" xfId="0" applyFont="1" applyBorder="1" applyAlignment="1" applyProtection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165" fontId="6" fillId="0" borderId="0" xfId="0" applyNumberFormat="1" applyFont="1" applyBorder="1" applyAlignment="1" applyProtection="1">
      <alignment horizontal="left"/>
    </xf>
    <xf numFmtId="0" fontId="6" fillId="0" borderId="0" xfId="0" applyFont="1" applyBorder="1" applyProtection="1"/>
    <xf numFmtId="2" fontId="6" fillId="0" borderId="0" xfId="0" applyNumberFormat="1" applyFont="1" applyProtection="1"/>
    <xf numFmtId="166" fontId="6" fillId="0" borderId="0" xfId="0" applyNumberFormat="1" applyFont="1" applyAlignment="1" applyProtection="1">
      <alignment horizontal="left"/>
    </xf>
    <xf numFmtId="166" fontId="6" fillId="0" borderId="0" xfId="0" applyNumberFormat="1" applyFont="1" applyProtection="1"/>
    <xf numFmtId="173" fontId="6" fillId="0" borderId="0" xfId="0" applyNumberFormat="1" applyFont="1" applyProtection="1"/>
    <xf numFmtId="167" fontId="6" fillId="0" borderId="0" xfId="0" applyNumberFormat="1" applyFont="1" applyProtection="1"/>
    <xf numFmtId="0" fontId="6" fillId="0" borderId="0" xfId="0" applyFont="1" applyAlignment="1" applyProtection="1">
      <alignment horizontal="center"/>
    </xf>
    <xf numFmtId="0" fontId="6" fillId="0" borderId="0" xfId="0" applyFont="1" applyProtection="1"/>
    <xf numFmtId="0" fontId="6" fillId="0" borderId="0" xfId="0" applyFont="1" applyAlignment="1" applyProtection="1">
      <alignment horizontal="fill"/>
    </xf>
    <xf numFmtId="2" fontId="6" fillId="0" borderId="0" xfId="0" applyNumberFormat="1" applyFont="1"/>
    <xf numFmtId="165" fontId="6" fillId="0" borderId="0" xfId="0" applyNumberFormat="1" applyFont="1" applyProtection="1"/>
    <xf numFmtId="168" fontId="6" fillId="0" borderId="0" xfId="0" applyNumberFormat="1" applyFont="1" applyProtection="1"/>
    <xf numFmtId="0" fontId="5" fillId="0" borderId="0" xfId="0" applyFont="1" applyAlignment="1" applyProtection="1">
      <alignment horizontal="left"/>
      <protection locked="0"/>
    </xf>
    <xf numFmtId="0" fontId="7" fillId="0" borderId="0" xfId="0" applyFont="1"/>
    <xf numFmtId="2" fontId="5" fillId="0" borderId="0" xfId="0" applyNumberFormat="1" applyFont="1" applyBorder="1" applyProtection="1">
      <protection locked="0"/>
    </xf>
    <xf numFmtId="165" fontId="5" fillId="0" borderId="0" xfId="0" applyNumberFormat="1" applyFont="1" applyBorder="1" applyProtection="1">
      <protection locked="0"/>
    </xf>
    <xf numFmtId="0" fontId="5" fillId="0" borderId="0" xfId="0" applyFont="1" applyBorder="1" applyProtection="1">
      <protection locked="0"/>
    </xf>
    <xf numFmtId="0" fontId="8" fillId="0" borderId="0" xfId="0" applyFont="1"/>
    <xf numFmtId="168" fontId="5" fillId="0" borderId="0" xfId="0" applyNumberFormat="1" applyFont="1" applyProtection="1">
      <protection locked="0"/>
    </xf>
    <xf numFmtId="165" fontId="6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Alignment="1" applyProtection="1">
      <alignment horizontal="center"/>
    </xf>
    <xf numFmtId="49" fontId="6" fillId="0" borderId="0" xfId="0" applyNumberFormat="1" applyFont="1" applyAlignment="1">
      <alignment horizontal="center"/>
    </xf>
    <xf numFmtId="172" fontId="6" fillId="0" borderId="0" xfId="0" applyNumberFormat="1" applyFont="1" applyProtection="1"/>
    <xf numFmtId="171" fontId="6" fillId="0" borderId="0" xfId="0" applyNumberFormat="1" applyFont="1" applyProtection="1"/>
    <xf numFmtId="2" fontId="6" fillId="0" borderId="0" xfId="0" applyNumberFormat="1" applyFont="1" applyAlignment="1" applyProtection="1">
      <alignment horizontal="left"/>
    </xf>
    <xf numFmtId="0" fontId="11" fillId="0" borderId="0" xfId="0" applyFont="1" applyAlignment="1" applyProtection="1">
      <alignment horizontal="left"/>
    </xf>
    <xf numFmtId="0" fontId="12" fillId="0" borderId="0" xfId="0" applyFont="1" applyAlignment="1" applyProtection="1">
      <alignment horizontal="left"/>
    </xf>
    <xf numFmtId="0" fontId="13" fillId="0" borderId="0" xfId="0" applyFont="1" applyAlignment="1" applyProtection="1">
      <alignment horizontal="left"/>
    </xf>
    <xf numFmtId="0" fontId="14" fillId="0" borderId="0" xfId="0" applyFont="1" applyAlignment="1" applyProtection="1">
      <alignment horizontal="left"/>
    </xf>
    <xf numFmtId="0" fontId="4" fillId="0" borderId="0" xfId="0" applyFont="1"/>
    <xf numFmtId="2" fontId="4" fillId="0" borderId="0" xfId="0" applyNumberFormat="1" applyFont="1" applyProtection="1"/>
    <xf numFmtId="0" fontId="6" fillId="0" borderId="12" xfId="0" applyFont="1" applyBorder="1"/>
    <xf numFmtId="2" fontId="6" fillId="0" borderId="12" xfId="0" applyNumberFormat="1" applyFont="1" applyBorder="1"/>
    <xf numFmtId="0" fontId="15" fillId="0" borderId="0" xfId="0" applyFont="1" applyAlignment="1" applyProtection="1">
      <alignment horizontal="left"/>
    </xf>
    <xf numFmtId="0" fontId="16" fillId="0" borderId="0" xfId="0" applyFont="1" applyAlignment="1" applyProtection="1">
      <alignment horizontal="left"/>
    </xf>
    <xf numFmtId="0" fontId="17" fillId="0" borderId="0" xfId="0" applyFont="1" applyAlignment="1" applyProtection="1">
      <alignment horizontal="left"/>
    </xf>
    <xf numFmtId="0" fontId="18" fillId="0" borderId="0" xfId="0" applyFont="1" applyAlignment="1" applyProtection="1">
      <alignment horizontal="left"/>
    </xf>
    <xf numFmtId="0" fontId="6" fillId="2" borderId="0" xfId="0" applyFont="1" applyFill="1" applyProtection="1"/>
    <xf numFmtId="49" fontId="6" fillId="0" borderId="12" xfId="0" applyNumberFormat="1" applyFont="1" applyBorder="1" applyAlignment="1" applyProtection="1">
      <alignment horizontal="center"/>
    </xf>
    <xf numFmtId="2" fontId="5" fillId="0" borderId="12" xfId="0" applyNumberFormat="1" applyFont="1" applyBorder="1" applyProtection="1">
      <protection locked="0"/>
    </xf>
    <xf numFmtId="165" fontId="5" fillId="0" borderId="12" xfId="0" applyNumberFormat="1" applyFont="1" applyBorder="1" applyProtection="1">
      <protection locked="0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165" fontId="6" fillId="0" borderId="12" xfId="0" applyNumberFormat="1" applyFont="1" applyBorder="1" applyAlignment="1" applyProtection="1">
      <alignment horizontal="left"/>
    </xf>
    <xf numFmtId="2" fontId="6" fillId="0" borderId="12" xfId="0" applyNumberFormat="1" applyFont="1" applyBorder="1" applyProtection="1"/>
    <xf numFmtId="0" fontId="6" fillId="2" borderId="0" xfId="0" applyFont="1" applyFill="1"/>
    <xf numFmtId="49" fontId="6" fillId="0" borderId="0" xfId="0" applyNumberFormat="1" applyFont="1" applyAlignment="1" applyProtection="1">
      <alignment horizontal="left"/>
    </xf>
    <xf numFmtId="49" fontId="6" fillId="0" borderId="15" xfId="0" applyNumberFormat="1" applyFont="1" applyBorder="1" applyAlignment="1" applyProtection="1">
      <alignment horizontal="left"/>
    </xf>
    <xf numFmtId="49" fontId="6" fillId="0" borderId="16" xfId="0" applyNumberFormat="1" applyFont="1" applyBorder="1"/>
    <xf numFmtId="49" fontId="6" fillId="0" borderId="10" xfId="0" applyNumberFormat="1" applyFont="1" applyBorder="1" applyAlignment="1" applyProtection="1">
      <alignment horizontal="left"/>
    </xf>
    <xf numFmtId="49" fontId="0" fillId="0" borderId="0" xfId="0" applyNumberFormat="1" applyBorder="1"/>
    <xf numFmtId="49" fontId="6" fillId="0" borderId="0" xfId="0" applyNumberFormat="1" applyFont="1" applyBorder="1"/>
    <xf numFmtId="49" fontId="6" fillId="0" borderId="17" xfId="0" applyNumberFormat="1" applyFont="1" applyBorder="1"/>
    <xf numFmtId="165" fontId="6" fillId="0" borderId="18" xfId="0" applyNumberFormat="1" applyFont="1" applyBorder="1" applyProtection="1"/>
    <xf numFmtId="165" fontId="6" fillId="0" borderId="19" xfId="0" applyNumberFormat="1" applyFont="1" applyBorder="1" applyProtection="1"/>
    <xf numFmtId="165" fontId="6" fillId="0" borderId="20" xfId="0" applyNumberFormat="1" applyFont="1" applyBorder="1" applyProtection="1"/>
    <xf numFmtId="0" fontId="6" fillId="0" borderId="15" xfId="0" applyFont="1" applyBorder="1" applyAlignment="1" applyProtection="1">
      <alignment horizontal="left"/>
    </xf>
    <xf numFmtId="0" fontId="6" fillId="0" borderId="16" xfId="0" applyFont="1" applyBorder="1"/>
    <xf numFmtId="49" fontId="6" fillId="0" borderId="18" xfId="0" applyNumberFormat="1" applyFont="1" applyBorder="1" applyAlignment="1" applyProtection="1"/>
    <xf numFmtId="49" fontId="6" fillId="0" borderId="19" xfId="0" applyNumberFormat="1" applyFont="1" applyBorder="1" applyAlignment="1" applyProtection="1"/>
    <xf numFmtId="49" fontId="6" fillId="0" borderId="20" xfId="0" applyNumberFormat="1" applyFont="1" applyBorder="1" applyAlignment="1" applyProtection="1"/>
    <xf numFmtId="165" fontId="6" fillId="0" borderId="15" xfId="0" applyNumberFormat="1" applyFont="1" applyBorder="1" applyProtection="1"/>
    <xf numFmtId="165" fontId="6" fillId="0" borderId="14" xfId="0" applyNumberFormat="1" applyFont="1" applyBorder="1" applyProtection="1"/>
    <xf numFmtId="165" fontId="6" fillId="0" borderId="16" xfId="0" applyNumberFormat="1" applyFont="1" applyBorder="1" applyProtection="1"/>
    <xf numFmtId="165" fontId="6" fillId="0" borderId="10" xfId="0" applyNumberFormat="1" applyFont="1" applyBorder="1" applyProtection="1"/>
    <xf numFmtId="165" fontId="6" fillId="0" borderId="0" xfId="0" applyNumberFormat="1" applyFont="1" applyBorder="1" applyProtection="1"/>
    <xf numFmtId="165" fontId="6" fillId="0" borderId="17" xfId="0" applyNumberFormat="1" applyFont="1" applyBorder="1" applyProtection="1"/>
    <xf numFmtId="0" fontId="6" fillId="0" borderId="21" xfId="0" applyFont="1" applyBorder="1" applyAlignment="1">
      <alignment horizontal="center"/>
    </xf>
    <xf numFmtId="49" fontId="6" fillId="0" borderId="0" xfId="0" applyNumberFormat="1" applyFont="1" applyAlignment="1" applyProtection="1"/>
    <xf numFmtId="0" fontId="6" fillId="0" borderId="17" xfId="0" applyFont="1" applyBorder="1" applyProtection="1"/>
    <xf numFmtId="0" fontId="6" fillId="0" borderId="10" xfId="0" applyFont="1" applyBorder="1"/>
    <xf numFmtId="0" fontId="6" fillId="0" borderId="0" xfId="0" applyFont="1" applyBorder="1"/>
    <xf numFmtId="0" fontId="6" fillId="0" borderId="17" xfId="0" applyFont="1" applyBorder="1"/>
    <xf numFmtId="0" fontId="6" fillId="0" borderId="20" xfId="0" applyFont="1" applyBorder="1" applyProtection="1"/>
    <xf numFmtId="49" fontId="6" fillId="0" borderId="12" xfId="0" applyNumberFormat="1" applyFont="1" applyBorder="1" applyAlignment="1" applyProtection="1"/>
    <xf numFmtId="0" fontId="6" fillId="0" borderId="15" xfId="0" applyFont="1" applyBorder="1"/>
    <xf numFmtId="0" fontId="6" fillId="0" borderId="14" xfId="0" applyFont="1" applyBorder="1"/>
    <xf numFmtId="0" fontId="6" fillId="0" borderId="10" xfId="0" applyFont="1" applyBorder="1" applyAlignment="1" applyProtection="1">
      <alignment horizontal="left"/>
    </xf>
    <xf numFmtId="0" fontId="6" fillId="0" borderId="18" xfId="0" applyFont="1" applyBorder="1" applyAlignment="1" applyProtection="1">
      <alignment horizontal="left"/>
    </xf>
    <xf numFmtId="0" fontId="6" fillId="0" borderId="19" xfId="0" applyFont="1" applyBorder="1"/>
    <xf numFmtId="0" fontId="6" fillId="0" borderId="20" xfId="0" applyFont="1" applyBorder="1"/>
    <xf numFmtId="49" fontId="6" fillId="0" borderId="12" xfId="0" applyNumberFormat="1" applyFont="1" applyBorder="1" applyAlignment="1"/>
    <xf numFmtId="0" fontId="6" fillId="0" borderId="19" xfId="0" applyFont="1" applyBorder="1" applyProtection="1"/>
    <xf numFmtId="0" fontId="6" fillId="0" borderId="23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7" xfId="0" applyFont="1" applyBorder="1"/>
    <xf numFmtId="0" fontId="6" fillId="0" borderId="6" xfId="0" applyFont="1" applyBorder="1"/>
    <xf numFmtId="49" fontId="6" fillId="0" borderId="6" xfId="0" applyNumberFormat="1" applyFont="1" applyBorder="1" applyAlignment="1" applyProtection="1"/>
    <xf numFmtId="0" fontId="6" fillId="0" borderId="6" xfId="0" applyFont="1" applyBorder="1" applyAlignment="1" applyProtection="1">
      <alignment horizontal="left"/>
    </xf>
    <xf numFmtId="0" fontId="6" fillId="0" borderId="9" xfId="0" applyFont="1" applyBorder="1" applyAlignment="1" applyProtection="1">
      <alignment horizontal="left"/>
    </xf>
    <xf numFmtId="0" fontId="6" fillId="0" borderId="7" xfId="0" applyFont="1" applyBorder="1" applyAlignment="1" applyProtection="1">
      <alignment horizontal="left"/>
    </xf>
    <xf numFmtId="49" fontId="6" fillId="0" borderId="9" xfId="0" applyNumberFormat="1" applyFont="1" applyBorder="1" applyAlignment="1" applyProtection="1"/>
    <xf numFmtId="0" fontId="6" fillId="0" borderId="23" xfId="0" applyFont="1" applyBorder="1" applyAlignment="1" applyProtection="1">
      <alignment horizontal="left"/>
    </xf>
    <xf numFmtId="49" fontId="0" fillId="0" borderId="14" xfId="0" applyNumberFormat="1" applyBorder="1"/>
    <xf numFmtId="49" fontId="6" fillId="0" borderId="14" xfId="0" applyNumberFormat="1" applyFont="1" applyBorder="1"/>
    <xf numFmtId="49" fontId="6" fillId="0" borderId="0" xfId="0" applyNumberFormat="1" applyFont="1" applyBorder="1" applyAlignment="1" applyProtection="1"/>
    <xf numFmtId="165" fontId="5" fillId="0" borderId="19" xfId="0" applyNumberFormat="1" applyFont="1" applyBorder="1" applyProtection="1">
      <protection locked="0"/>
    </xf>
    <xf numFmtId="49" fontId="6" fillId="0" borderId="23" xfId="0" applyNumberFormat="1" applyFont="1" applyBorder="1" applyAlignment="1" applyProtection="1">
      <alignment horizontal="left"/>
    </xf>
    <xf numFmtId="49" fontId="6" fillId="0" borderId="22" xfId="0" applyNumberFormat="1" applyFont="1" applyBorder="1"/>
    <xf numFmtId="0" fontId="6" fillId="0" borderId="21" xfId="0" applyFont="1" applyBorder="1" applyAlignment="1" applyProtection="1">
      <alignment horizontal="left"/>
    </xf>
    <xf numFmtId="0" fontId="3" fillId="0" borderId="0" xfId="0" applyFont="1" applyAlignment="1" applyProtection="1">
      <alignment horizontal="left"/>
    </xf>
    <xf numFmtId="2" fontId="6" fillId="0" borderId="0" xfId="0" applyNumberFormat="1" applyFont="1" applyBorder="1" applyProtection="1"/>
    <xf numFmtId="2" fontId="6" fillId="0" borderId="0" xfId="0" applyNumberFormat="1" applyFont="1" applyBorder="1"/>
    <xf numFmtId="2" fontId="6" fillId="0" borderId="19" xfId="0" applyNumberFormat="1" applyFont="1" applyBorder="1" applyProtection="1"/>
    <xf numFmtId="170" fontId="6" fillId="0" borderId="0" xfId="0" applyNumberFormat="1" applyFont="1" applyProtection="1"/>
    <xf numFmtId="171" fontId="6" fillId="0" borderId="0" xfId="0" applyNumberFormat="1" applyFont="1"/>
    <xf numFmtId="171" fontId="6" fillId="0" borderId="0" xfId="0" applyNumberFormat="1" applyFont="1" applyAlignment="1" applyProtection="1">
      <alignment horizontal="left"/>
    </xf>
    <xf numFmtId="2" fontId="6" fillId="0" borderId="12" xfId="0" applyNumberFormat="1" applyFont="1" applyBorder="1" applyProtection="1">
      <protection locked="0"/>
    </xf>
    <xf numFmtId="0" fontId="6" fillId="0" borderId="0" xfId="0" applyFont="1" applyProtection="1">
      <protection locked="0"/>
    </xf>
    <xf numFmtId="4" fontId="6" fillId="0" borderId="0" xfId="0" applyNumberFormat="1" applyFont="1"/>
    <xf numFmtId="11" fontId="5" fillId="0" borderId="0" xfId="0" applyNumberFormat="1" applyFont="1" applyProtection="1">
      <protection locked="0"/>
    </xf>
    <xf numFmtId="0" fontId="6" fillId="3" borderId="0" xfId="0" applyFont="1" applyFill="1"/>
    <xf numFmtId="11" fontId="6" fillId="3" borderId="0" xfId="0" applyNumberFormat="1" applyFont="1" applyFill="1"/>
    <xf numFmtId="4" fontId="6" fillId="3" borderId="0" xfId="0" applyNumberFormat="1" applyFont="1" applyFill="1"/>
    <xf numFmtId="1" fontId="6" fillId="0" borderId="0" xfId="0" applyNumberFormat="1" applyFont="1"/>
    <xf numFmtId="2" fontId="6" fillId="0" borderId="0" xfId="0" applyNumberFormat="1" applyFont="1" applyAlignment="1" applyProtection="1">
      <alignment horizontal="right"/>
    </xf>
    <xf numFmtId="0" fontId="32" fillId="0" borderId="0" xfId="0" applyFont="1" applyProtection="1"/>
    <xf numFmtId="49" fontId="6" fillId="0" borderId="12" xfId="0" applyNumberFormat="1" applyFont="1" applyBorder="1" applyAlignment="1" applyProtection="1">
      <alignment horizontal="left"/>
    </xf>
    <xf numFmtId="49" fontId="0" fillId="0" borderId="12" xfId="0" applyNumberFormat="1" applyBorder="1"/>
    <xf numFmtId="49" fontId="6" fillId="0" borderId="12" xfId="0" applyNumberFormat="1" applyFont="1" applyBorder="1"/>
    <xf numFmtId="49" fontId="6" fillId="0" borderId="0" xfId="0" applyNumberFormat="1" applyFont="1" applyAlignment="1" applyProtection="1">
      <alignment horizontal="fill"/>
    </xf>
    <xf numFmtId="49" fontId="6" fillId="0" borderId="7" xfId="0" applyNumberFormat="1" applyFont="1" applyBorder="1"/>
    <xf numFmtId="49" fontId="6" fillId="0" borderId="6" xfId="0" applyNumberFormat="1" applyFont="1" applyBorder="1"/>
    <xf numFmtId="49" fontId="6" fillId="0" borderId="9" xfId="0" applyNumberFormat="1" applyFont="1" applyBorder="1"/>
    <xf numFmtId="0" fontId="6" fillId="0" borderId="0" xfId="0" applyFont="1" applyBorder="1" applyAlignment="1" applyProtection="1">
      <alignment horizontal="left"/>
    </xf>
    <xf numFmtId="165" fontId="6" fillId="0" borderId="12" xfId="0" applyNumberFormat="1" applyFont="1" applyBorder="1" applyProtection="1"/>
    <xf numFmtId="0" fontId="6" fillId="0" borderId="12" xfId="0" applyFont="1" applyBorder="1" applyProtection="1"/>
    <xf numFmtId="0" fontId="6" fillId="0" borderId="12" xfId="0" applyFont="1" applyBorder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165" fontId="5" fillId="0" borderId="14" xfId="0" applyNumberFormat="1" applyFont="1" applyBorder="1" applyProtection="1">
      <protection locked="0"/>
    </xf>
    <xf numFmtId="1" fontId="6" fillId="0" borderId="20" xfId="0" applyNumberFormat="1" applyFont="1" applyBorder="1"/>
    <xf numFmtId="1" fontId="6" fillId="0" borderId="16" xfId="0" applyNumberFormat="1" applyFont="1" applyBorder="1"/>
    <xf numFmtId="1" fontId="6" fillId="0" borderId="17" xfId="0" applyNumberFormat="1" applyFont="1" applyBorder="1"/>
    <xf numFmtId="49" fontId="6" fillId="0" borderId="21" xfId="0" applyNumberFormat="1" applyFont="1" applyBorder="1" applyAlignment="1">
      <alignment horizontal="center"/>
    </xf>
    <xf numFmtId="0" fontId="6" fillId="0" borderId="0" xfId="0" applyFont="1" applyFill="1" applyBorder="1"/>
    <xf numFmtId="49" fontId="6" fillId="0" borderId="0" xfId="0" applyNumberFormat="1" applyFont="1" applyBorder="1" applyAlignment="1"/>
    <xf numFmtId="49" fontId="6" fillId="0" borderId="0" xfId="0" applyNumberFormat="1" applyFont="1" applyBorder="1" applyAlignment="1">
      <alignment horizontal="center"/>
    </xf>
    <xf numFmtId="49" fontId="6" fillId="0" borderId="0" xfId="0" applyNumberFormat="1" applyFont="1" applyBorder="1" applyAlignment="1" applyProtection="1">
      <alignment horizontal="left"/>
    </xf>
    <xf numFmtId="0" fontId="6" fillId="0" borderId="0" xfId="0" applyFont="1" applyBorder="1" applyAlignment="1">
      <alignment horizontal="center"/>
    </xf>
    <xf numFmtId="49" fontId="6" fillId="0" borderId="0" xfId="0" applyNumberFormat="1" applyFont="1" applyBorder="1" applyAlignment="1" applyProtection="1">
      <alignment horizontal="center"/>
    </xf>
    <xf numFmtId="2" fontId="6" fillId="0" borderId="0" xfId="0" applyNumberFormat="1" applyFont="1" applyFill="1" applyBorder="1" applyProtection="1"/>
    <xf numFmtId="1" fontId="6" fillId="0" borderId="0" xfId="0" applyNumberFormat="1" applyFont="1" applyBorder="1"/>
    <xf numFmtId="0" fontId="6" fillId="0" borderId="19" xfId="0" applyFont="1" applyFill="1" applyBorder="1"/>
    <xf numFmtId="2" fontId="6" fillId="3" borderId="0" xfId="0" applyNumberFormat="1" applyFont="1" applyFill="1"/>
    <xf numFmtId="3" fontId="6" fillId="0" borderId="0" xfId="0" applyNumberFormat="1" applyFont="1"/>
    <xf numFmtId="173" fontId="6" fillId="0" borderId="0" xfId="0" applyNumberFormat="1" applyFont="1"/>
    <xf numFmtId="164" fontId="6" fillId="0" borderId="0" xfId="0" applyNumberFormat="1" applyFont="1" applyProtection="1"/>
    <xf numFmtId="164" fontId="6" fillId="0" borderId="0" xfId="0" applyNumberFormat="1" applyFont="1"/>
    <xf numFmtId="164" fontId="5" fillId="0" borderId="0" xfId="0" applyNumberFormat="1" applyFont="1" applyProtection="1">
      <protection locked="0"/>
    </xf>
    <xf numFmtId="164" fontId="6" fillId="0" borderId="0" xfId="0" applyNumberFormat="1" applyFont="1" applyAlignment="1" applyProtection="1">
      <alignment horizontal="left"/>
    </xf>
    <xf numFmtId="164" fontId="17" fillId="0" borderId="0" xfId="0" quotePrefix="1" applyNumberFormat="1" applyFont="1" applyAlignment="1" applyProtection="1">
      <alignment horizontal="left"/>
    </xf>
    <xf numFmtId="164" fontId="5" fillId="0" borderId="0" xfId="0" applyNumberFormat="1" applyFont="1"/>
    <xf numFmtId="164" fontId="0" fillId="0" borderId="0" xfId="0" applyNumberFormat="1"/>
    <xf numFmtId="164" fontId="6" fillId="0" borderId="0" xfId="0" quotePrefix="1" applyNumberFormat="1" applyFont="1" applyAlignment="1" applyProtection="1">
      <alignment horizontal="left"/>
    </xf>
    <xf numFmtId="11" fontId="6" fillId="0" borderId="0" xfId="0" applyNumberFormat="1" applyFont="1"/>
    <xf numFmtId="165" fontId="6" fillId="0" borderId="0" xfId="0" applyNumberFormat="1" applyFont="1" applyAlignment="1" applyProtection="1">
      <alignment horizontal="left"/>
    </xf>
    <xf numFmtId="164" fontId="6" fillId="0" borderId="0" xfId="0" applyNumberFormat="1" applyFont="1" applyAlignment="1" applyProtection="1">
      <alignment horizontal="right"/>
    </xf>
    <xf numFmtId="164" fontId="6" fillId="0" borderId="0" xfId="0" applyNumberFormat="1" applyFont="1" applyAlignment="1" applyProtection="1">
      <alignment horizontal="center"/>
    </xf>
    <xf numFmtId="49" fontId="6" fillId="0" borderId="15" xfId="0" applyNumberFormat="1" applyFont="1" applyBorder="1" applyAlignment="1" applyProtection="1"/>
    <xf numFmtId="49" fontId="6" fillId="0" borderId="14" xfId="0" applyNumberFormat="1" applyFont="1" applyBorder="1" applyAlignment="1" applyProtection="1">
      <alignment horizontal="left"/>
    </xf>
    <xf numFmtId="49" fontId="6" fillId="0" borderId="16" xfId="0" applyNumberFormat="1" applyFont="1" applyBorder="1" applyAlignment="1" applyProtection="1">
      <alignment horizontal="left"/>
    </xf>
    <xf numFmtId="164" fontId="6" fillId="0" borderId="18" xfId="0" applyNumberFormat="1" applyFont="1" applyBorder="1"/>
    <xf numFmtId="49" fontId="6" fillId="0" borderId="20" xfId="0" applyNumberFormat="1" applyFont="1" applyBorder="1" applyAlignment="1" applyProtection="1">
      <alignment horizontal="fill"/>
    </xf>
    <xf numFmtId="164" fontId="6" fillId="0" borderId="10" xfId="0" applyNumberFormat="1" applyFont="1" applyBorder="1" applyAlignment="1" applyProtection="1">
      <alignment horizontal="left"/>
    </xf>
    <xf numFmtId="164" fontId="6" fillId="0" borderId="17" xfId="0" applyNumberFormat="1" applyFont="1" applyBorder="1"/>
    <xf numFmtId="164" fontId="6" fillId="0" borderId="0" xfId="0" applyNumberFormat="1" applyFont="1" applyBorder="1" applyProtection="1"/>
    <xf numFmtId="164" fontId="6" fillId="0" borderId="17" xfId="0" applyNumberFormat="1" applyFont="1" applyBorder="1" applyProtection="1"/>
    <xf numFmtId="164" fontId="6" fillId="0" borderId="18" xfId="0" applyNumberFormat="1" applyFont="1" applyBorder="1" applyAlignment="1" applyProtection="1">
      <alignment horizontal="left"/>
    </xf>
    <xf numFmtId="164" fontId="6" fillId="0" borderId="20" xfId="0" applyNumberFormat="1" applyFont="1" applyBorder="1"/>
    <xf numFmtId="164" fontId="6" fillId="0" borderId="19" xfId="0" applyNumberFormat="1" applyFont="1" applyBorder="1" applyProtection="1"/>
    <xf numFmtId="164" fontId="6" fillId="0" borderId="20" xfId="0" applyNumberFormat="1" applyFont="1" applyBorder="1" applyProtection="1"/>
    <xf numFmtId="164" fontId="6" fillId="0" borderId="20" xfId="0" applyNumberFormat="1" applyFont="1" applyBorder="1" applyAlignment="1" applyProtection="1">
      <alignment horizontal="left"/>
    </xf>
    <xf numFmtId="164" fontId="6" fillId="0" borderId="19" xfId="0" applyNumberFormat="1" applyFont="1" applyBorder="1"/>
    <xf numFmtId="164" fontId="6" fillId="0" borderId="19" xfId="0" applyNumberFormat="1" applyFont="1" applyBorder="1" applyAlignment="1" applyProtection="1">
      <alignment horizontal="left"/>
    </xf>
    <xf numFmtId="164" fontId="12" fillId="0" borderId="0" xfId="0" applyNumberFormat="1" applyFont="1" applyAlignment="1" applyProtection="1">
      <alignment horizontal="left"/>
    </xf>
    <xf numFmtId="164" fontId="16" fillId="0" borderId="0" xfId="0" applyNumberFormat="1" applyFont="1" applyAlignment="1" applyProtection="1">
      <alignment horizontal="left"/>
    </xf>
    <xf numFmtId="164" fontId="6" fillId="0" borderId="0" xfId="0" applyNumberFormat="1" applyFont="1" applyAlignment="1">
      <alignment horizontal="center"/>
    </xf>
    <xf numFmtId="168" fontId="5" fillId="0" borderId="0" xfId="0" applyNumberFormat="1" applyFont="1" applyAlignment="1" applyProtection="1">
      <alignment horizontal="center"/>
      <protection locked="0"/>
    </xf>
    <xf numFmtId="165" fontId="5" fillId="0" borderId="0" xfId="0" applyNumberFormat="1" applyFont="1" applyProtection="1"/>
    <xf numFmtId="164" fontId="4" fillId="0" borderId="0" xfId="0" applyNumberFormat="1" applyFont="1" applyAlignment="1" applyProtection="1">
      <alignment horizontal="left"/>
    </xf>
    <xf numFmtId="164" fontId="4" fillId="0" borderId="0" xfId="0" applyNumberFormat="1" applyFont="1"/>
    <xf numFmtId="164" fontId="4" fillId="0" borderId="0" xfId="0" applyNumberFormat="1" applyFont="1" applyProtection="1"/>
    <xf numFmtId="164" fontId="17" fillId="0" borderId="0" xfId="0" applyNumberFormat="1" applyFont="1" applyAlignment="1" applyProtection="1">
      <alignment horizontal="left"/>
    </xf>
    <xf numFmtId="165" fontId="6" fillId="0" borderId="0" xfId="0" applyNumberFormat="1" applyFont="1" applyAlignment="1" applyProtection="1">
      <alignment horizontal="right"/>
    </xf>
    <xf numFmtId="164" fontId="20" fillId="0" borderId="0" xfId="0" applyNumberFormat="1" applyFont="1" applyAlignment="1" applyProtection="1">
      <alignment horizontal="left"/>
    </xf>
    <xf numFmtId="49" fontId="5" fillId="0" borderId="0" xfId="0" applyNumberFormat="1" applyFont="1" applyProtection="1">
      <protection locked="0"/>
    </xf>
    <xf numFmtId="49" fontId="6" fillId="0" borderId="0" xfId="0" quotePrefix="1" applyNumberFormat="1" applyFont="1" applyAlignment="1" applyProtection="1">
      <alignment horizontal="left"/>
    </xf>
    <xf numFmtId="49" fontId="6" fillId="0" borderId="0" xfId="0" quotePrefix="1" applyNumberFormat="1" applyFont="1" applyAlignment="1" applyProtection="1">
      <alignment horizontal="right"/>
    </xf>
    <xf numFmtId="2" fontId="6" fillId="0" borderId="7" xfId="0" applyNumberFormat="1" applyFont="1" applyBorder="1" applyAlignment="1" applyProtection="1">
      <alignment horizontal="left"/>
    </xf>
    <xf numFmtId="2" fontId="6" fillId="0" borderId="7" xfId="0" applyNumberFormat="1" applyFont="1" applyBorder="1"/>
    <xf numFmtId="2" fontId="6" fillId="0" borderId="0" xfId="0" applyNumberFormat="1" applyFont="1" applyBorder="1" applyAlignment="1" applyProtection="1">
      <alignment horizontal="left"/>
    </xf>
    <xf numFmtId="49" fontId="6" fillId="0" borderId="9" xfId="0" applyNumberFormat="1" applyFont="1" applyBorder="1" applyAlignment="1" applyProtection="1">
      <protection locked="0"/>
    </xf>
    <xf numFmtId="49" fontId="6" fillId="0" borderId="0" xfId="0" applyNumberFormat="1" applyFont="1" applyBorder="1" applyAlignment="1" applyProtection="1">
      <protection locked="0"/>
    </xf>
    <xf numFmtId="164" fontId="6" fillId="0" borderId="6" xfId="0" applyNumberFormat="1" applyFont="1" applyBorder="1"/>
    <xf numFmtId="164" fontId="6" fillId="0" borderId="10" xfId="0" applyNumberFormat="1" applyFont="1" applyBorder="1"/>
    <xf numFmtId="164" fontId="6" fillId="0" borderId="0" xfId="0" applyNumberFormat="1" applyFont="1" applyBorder="1"/>
    <xf numFmtId="164" fontId="6" fillId="0" borderId="6" xfId="0" applyNumberFormat="1" applyFont="1" applyBorder="1" applyAlignment="1" applyProtection="1">
      <alignment horizontal="left"/>
    </xf>
    <xf numFmtId="165" fontId="6" fillId="0" borderId="0" xfId="0" applyNumberFormat="1" applyFont="1" applyBorder="1" applyAlignment="1" applyProtection="1">
      <alignment horizontal="right"/>
    </xf>
    <xf numFmtId="164" fontId="6" fillId="0" borderId="0" xfId="0" quotePrefix="1" applyNumberFormat="1" applyFont="1" applyAlignment="1" applyProtection="1">
      <alignment horizontal="right"/>
    </xf>
    <xf numFmtId="164" fontId="6" fillId="0" borderId="9" xfId="0" applyNumberFormat="1" applyFont="1" applyBorder="1" applyAlignment="1" applyProtection="1">
      <alignment horizontal="left"/>
    </xf>
    <xf numFmtId="164" fontId="6" fillId="0" borderId="0" xfId="0" applyNumberFormat="1" applyFont="1" applyBorder="1" applyAlignment="1" applyProtection="1">
      <alignment horizontal="left"/>
    </xf>
    <xf numFmtId="49" fontId="6" fillId="0" borderId="6" xfId="0" applyNumberFormat="1" applyFont="1" applyBorder="1" applyAlignment="1" applyProtection="1">
      <protection locked="0"/>
    </xf>
    <xf numFmtId="165" fontId="6" fillId="0" borderId="10" xfId="0" applyNumberFormat="1" applyFont="1" applyBorder="1" applyAlignment="1" applyProtection="1">
      <alignment horizontal="right"/>
    </xf>
    <xf numFmtId="165" fontId="6" fillId="0" borderId="17" xfId="0" applyNumberFormat="1" applyFont="1" applyBorder="1" applyAlignment="1" applyProtection="1">
      <alignment horizontal="right"/>
    </xf>
    <xf numFmtId="165" fontId="6" fillId="0" borderId="18" xfId="0" applyNumberFormat="1" applyFont="1" applyBorder="1" applyAlignment="1" applyProtection="1">
      <alignment horizontal="right"/>
    </xf>
    <xf numFmtId="165" fontId="6" fillId="0" borderId="19" xfId="0" applyNumberFormat="1" applyFont="1" applyBorder="1" applyAlignment="1" applyProtection="1">
      <alignment horizontal="right"/>
    </xf>
    <xf numFmtId="165" fontId="6" fillId="0" borderId="20" xfId="0" applyNumberFormat="1" applyFont="1" applyBorder="1" applyAlignment="1" applyProtection="1">
      <alignment horizontal="right"/>
    </xf>
    <xf numFmtId="164" fontId="6" fillId="0" borderId="23" xfId="0" applyNumberFormat="1" applyFont="1" applyBorder="1" applyAlignment="1"/>
    <xf numFmtId="164" fontId="6" fillId="0" borderId="21" xfId="0" applyNumberFormat="1" applyFont="1" applyBorder="1" applyAlignment="1"/>
    <xf numFmtId="164" fontId="6" fillId="0" borderId="22" xfId="0" applyNumberFormat="1" applyFont="1" applyBorder="1"/>
    <xf numFmtId="164" fontId="6" fillId="0" borderId="7" xfId="0" applyNumberFormat="1" applyFont="1" applyBorder="1" applyAlignment="1">
      <alignment horizontal="center"/>
    </xf>
    <xf numFmtId="49" fontId="6" fillId="0" borderId="15" xfId="0" applyNumberFormat="1" applyFont="1" applyBorder="1"/>
    <xf numFmtId="49" fontId="6" fillId="0" borderId="14" xfId="0" applyNumberFormat="1" applyFont="1" applyBorder="1" applyAlignment="1" applyProtection="1">
      <alignment horizontal="center"/>
    </xf>
    <xf numFmtId="49" fontId="6" fillId="0" borderId="6" xfId="0" applyNumberFormat="1" applyFont="1" applyBorder="1" applyAlignment="1" applyProtection="1">
      <alignment horizontal="center"/>
    </xf>
    <xf numFmtId="49" fontId="6" fillId="0" borderId="10" xfId="0" applyNumberFormat="1" applyFont="1" applyBorder="1" applyAlignment="1" applyProtection="1">
      <alignment horizontal="fill"/>
    </xf>
    <xf numFmtId="49" fontId="6" fillId="0" borderId="10" xfId="0" applyNumberFormat="1" applyFont="1" applyBorder="1" applyAlignment="1" applyProtection="1">
      <alignment horizontal="center"/>
    </xf>
    <xf numFmtId="49" fontId="6" fillId="0" borderId="17" xfId="0" applyNumberFormat="1" applyFont="1" applyBorder="1" applyAlignment="1" applyProtection="1">
      <alignment horizontal="center"/>
    </xf>
    <xf numFmtId="164" fontId="6" fillId="0" borderId="10" xfId="0" applyNumberFormat="1" applyFont="1" applyBorder="1" applyAlignment="1" applyProtection="1">
      <alignment horizontal="center"/>
    </xf>
    <xf numFmtId="164" fontId="6" fillId="0" borderId="10" xfId="0" applyNumberFormat="1" applyFont="1" applyBorder="1" applyProtection="1"/>
    <xf numFmtId="165" fontId="6" fillId="0" borderId="6" xfId="0" applyNumberFormat="1" applyFont="1" applyBorder="1" applyProtection="1"/>
    <xf numFmtId="165" fontId="6" fillId="0" borderId="9" xfId="0" applyNumberFormat="1" applyFont="1" applyBorder="1" applyProtection="1"/>
    <xf numFmtId="164" fontId="6" fillId="0" borderId="15" xfId="0" applyNumberFormat="1" applyFont="1" applyBorder="1" applyAlignment="1" applyProtection="1">
      <alignment horizontal="center"/>
    </xf>
    <xf numFmtId="164" fontId="6" fillId="0" borderId="14" xfId="0" applyNumberFormat="1" applyFont="1" applyBorder="1"/>
    <xf numFmtId="164" fontId="6" fillId="0" borderId="16" xfId="0" applyNumberFormat="1" applyFont="1" applyBorder="1"/>
    <xf numFmtId="164" fontId="6" fillId="0" borderId="14" xfId="0" applyNumberFormat="1" applyFont="1" applyBorder="1" applyAlignment="1" applyProtection="1">
      <alignment horizontal="center"/>
    </xf>
    <xf numFmtId="164" fontId="6" fillId="0" borderId="14" xfId="0" applyNumberFormat="1" applyFont="1" applyBorder="1" applyAlignment="1" applyProtection="1">
      <alignment horizontal="left"/>
    </xf>
    <xf numFmtId="164" fontId="6" fillId="0" borderId="16" xfId="0" applyNumberFormat="1" applyFont="1" applyBorder="1" applyAlignment="1" applyProtection="1">
      <alignment horizontal="center"/>
    </xf>
    <xf numFmtId="164" fontId="6" fillId="0" borderId="0" xfId="0" applyNumberFormat="1" applyFont="1" applyBorder="1" applyAlignment="1" applyProtection="1">
      <alignment horizontal="center"/>
    </xf>
    <xf numFmtId="164" fontId="6" fillId="0" borderId="17" xfId="0" applyNumberFormat="1" applyFont="1" applyBorder="1" applyAlignment="1" applyProtection="1">
      <alignment horizontal="left"/>
    </xf>
    <xf numFmtId="164" fontId="6" fillId="0" borderId="10" xfId="0" applyNumberFormat="1" applyFont="1" applyBorder="1" applyAlignment="1" applyProtection="1">
      <alignment horizontal="fill"/>
    </xf>
    <xf numFmtId="164" fontId="6" fillId="0" borderId="18" xfId="0" applyNumberFormat="1" applyFont="1" applyBorder="1" applyAlignment="1" applyProtection="1">
      <alignment horizontal="center"/>
    </xf>
    <xf numFmtId="164" fontId="6" fillId="0" borderId="19" xfId="0" applyNumberFormat="1" applyFont="1" applyBorder="1" applyAlignment="1" applyProtection="1">
      <alignment horizontal="center"/>
    </xf>
    <xf numFmtId="164" fontId="6" fillId="0" borderId="20" xfId="0" applyNumberFormat="1" applyFont="1" applyBorder="1" applyAlignment="1" applyProtection="1">
      <alignment horizontal="center"/>
    </xf>
    <xf numFmtId="164" fontId="6" fillId="0" borderId="15" xfId="0" applyNumberFormat="1" applyFont="1" applyBorder="1" applyAlignment="1" applyProtection="1">
      <alignment horizontal="left"/>
    </xf>
    <xf numFmtId="165" fontId="6" fillId="0" borderId="0" xfId="0" quotePrefix="1" applyNumberFormat="1" applyFont="1" applyBorder="1" applyAlignment="1" applyProtection="1">
      <alignment horizontal="center"/>
    </xf>
    <xf numFmtId="164" fontId="6" fillId="0" borderId="7" xfId="0" applyNumberFormat="1" applyFont="1" applyBorder="1" applyAlignment="1" applyProtection="1">
      <alignment horizontal="center"/>
    </xf>
    <xf numFmtId="164" fontId="6" fillId="0" borderId="15" xfId="0" applyNumberFormat="1" applyFont="1" applyBorder="1"/>
    <xf numFmtId="164" fontId="6" fillId="0" borderId="17" xfId="0" applyNumberFormat="1" applyFont="1" applyBorder="1" applyAlignment="1" applyProtection="1">
      <alignment horizontal="center"/>
    </xf>
    <xf numFmtId="164" fontId="6" fillId="0" borderId="6" xfId="0" applyNumberFormat="1" applyFont="1" applyBorder="1" applyAlignment="1" applyProtection="1">
      <alignment horizontal="fill"/>
    </xf>
    <xf numFmtId="164" fontId="6" fillId="0" borderId="6" xfId="0" applyNumberFormat="1" applyFont="1" applyBorder="1" applyAlignment="1" applyProtection="1">
      <alignment horizontal="center"/>
    </xf>
    <xf numFmtId="164" fontId="6" fillId="0" borderId="15" xfId="0" applyNumberFormat="1" applyFont="1" applyBorder="1" applyProtection="1"/>
    <xf numFmtId="164" fontId="6" fillId="0" borderId="14" xfId="0" applyNumberFormat="1" applyFont="1" applyBorder="1" applyProtection="1"/>
    <xf numFmtId="164" fontId="6" fillId="0" borderId="9" xfId="0" applyNumberFormat="1" applyFont="1" applyBorder="1"/>
    <xf numFmtId="164" fontId="6" fillId="0" borderId="18" xfId="0" applyNumberFormat="1" applyFont="1" applyBorder="1" applyProtection="1"/>
    <xf numFmtId="164" fontId="6" fillId="0" borderId="0" xfId="0" applyNumberFormat="1" applyFont="1" applyBorder="1" applyAlignment="1" applyProtection="1">
      <alignment horizontal="fill"/>
    </xf>
    <xf numFmtId="164" fontId="6" fillId="0" borderId="17" xfId="0" applyNumberFormat="1" applyFont="1" applyBorder="1" applyAlignment="1" applyProtection="1">
      <alignment horizontal="fill"/>
    </xf>
    <xf numFmtId="166" fontId="6" fillId="0" borderId="18" xfId="0" applyNumberFormat="1" applyFont="1" applyBorder="1" applyProtection="1"/>
    <xf numFmtId="164" fontId="32" fillId="0" borderId="0" xfId="0" applyNumberFormat="1" applyFont="1"/>
    <xf numFmtId="164" fontId="22" fillId="0" borderId="0" xfId="0" applyNumberFormat="1" applyFont="1"/>
    <xf numFmtId="164" fontId="5" fillId="0" borderId="0" xfId="0" applyNumberFormat="1" applyFont="1" applyAlignment="1" applyProtection="1">
      <alignment horizontal="left"/>
      <protection locked="0"/>
    </xf>
    <xf numFmtId="164" fontId="32" fillId="0" borderId="0" xfId="0" applyNumberFormat="1" applyFont="1" applyAlignment="1" applyProtection="1">
      <alignment horizontal="left"/>
    </xf>
    <xf numFmtId="164" fontId="33" fillId="0" borderId="0" xfId="0" applyNumberFormat="1" applyFont="1" applyProtection="1"/>
    <xf numFmtId="164" fontId="0" fillId="0" borderId="0" xfId="0" applyNumberFormat="1" applyAlignment="1" applyProtection="1">
      <alignment horizontal="left"/>
    </xf>
    <xf numFmtId="164" fontId="29" fillId="0" borderId="0" xfId="0" applyNumberFormat="1" applyFont="1" applyProtection="1">
      <protection locked="0"/>
    </xf>
    <xf numFmtId="164" fontId="29" fillId="0" borderId="0" xfId="0" applyNumberFormat="1" applyFont="1" applyAlignment="1" applyProtection="1">
      <alignment horizontal="left"/>
      <protection locked="0"/>
    </xf>
    <xf numFmtId="164" fontId="0" fillId="0" borderId="0" xfId="0" quotePrefix="1" applyNumberFormat="1"/>
    <xf numFmtId="164" fontId="0" fillId="0" borderId="0" xfId="0" applyNumberFormat="1" applyProtection="1"/>
    <xf numFmtId="165" fontId="29" fillId="0" borderId="0" xfId="0" applyNumberFormat="1" applyFont="1" applyProtection="1">
      <protection locked="0"/>
    </xf>
    <xf numFmtId="165" fontId="0" fillId="0" borderId="0" xfId="0" applyNumberFormat="1"/>
    <xf numFmtId="166" fontId="0" fillId="0" borderId="0" xfId="0" applyNumberFormat="1" applyProtection="1"/>
    <xf numFmtId="164" fontId="0" fillId="0" borderId="0" xfId="0" quotePrefix="1" applyNumberFormat="1" applyAlignment="1" applyProtection="1">
      <alignment horizontal="left"/>
    </xf>
    <xf numFmtId="165" fontId="0" fillId="0" borderId="0" xfId="0" applyNumberFormat="1" applyProtection="1"/>
    <xf numFmtId="164" fontId="0" fillId="0" borderId="0" xfId="0" applyNumberFormat="1" applyAlignment="1" applyProtection="1">
      <alignment horizontal="fill"/>
    </xf>
    <xf numFmtId="164" fontId="22" fillId="0" borderId="0" xfId="0" applyNumberFormat="1" applyFont="1" applyAlignment="1" applyProtection="1">
      <alignment horizontal="left"/>
    </xf>
    <xf numFmtId="167" fontId="0" fillId="0" borderId="0" xfId="0" applyNumberFormat="1" applyProtection="1"/>
    <xf numFmtId="165" fontId="0" fillId="0" borderId="0" xfId="0" applyNumberFormat="1" applyAlignment="1" applyProtection="1">
      <alignment horizontal="right"/>
    </xf>
    <xf numFmtId="164" fontId="30" fillId="0" borderId="0" xfId="0" applyNumberFormat="1" applyFont="1" applyProtection="1"/>
    <xf numFmtId="168" fontId="0" fillId="0" borderId="0" xfId="0" applyNumberFormat="1" applyProtection="1"/>
    <xf numFmtId="164" fontId="0" fillId="0" borderId="0" xfId="0" applyNumberFormat="1" applyBorder="1"/>
    <xf numFmtId="165" fontId="0" fillId="0" borderId="0" xfId="0" applyNumberFormat="1" applyAlignment="1" applyProtection="1">
      <alignment horizontal="left"/>
    </xf>
    <xf numFmtId="49" fontId="6" fillId="0" borderId="0" xfId="0" applyNumberFormat="1" applyFont="1" applyBorder="1" applyAlignment="1">
      <alignment horizontal="center"/>
    </xf>
    <xf numFmtId="164" fontId="6" fillId="0" borderId="0" xfId="0" applyNumberFormat="1" applyFont="1" applyProtection="1">
      <protection locked="0"/>
    </xf>
    <xf numFmtId="164" fontId="6" fillId="0" borderId="7" xfId="0" applyNumberFormat="1" applyFont="1" applyBorder="1" applyAlignment="1" applyProtection="1">
      <alignment horizontal="left"/>
    </xf>
    <xf numFmtId="164" fontId="0" fillId="0" borderId="9" xfId="0" applyNumberFormat="1" applyBorder="1"/>
    <xf numFmtId="164" fontId="6" fillId="0" borderId="7" xfId="0" applyNumberFormat="1" applyFont="1" applyBorder="1"/>
    <xf numFmtId="164" fontId="0" fillId="0" borderId="7" xfId="0" applyNumberFormat="1" applyBorder="1"/>
    <xf numFmtId="164" fontId="0" fillId="0" borderId="6" xfId="0" applyNumberFormat="1" applyBorder="1" applyAlignment="1" applyProtection="1">
      <alignment horizontal="left"/>
    </xf>
    <xf numFmtId="164" fontId="0" fillId="0" borderId="9" xfId="0" applyNumberFormat="1" applyBorder="1" applyAlignment="1" applyProtection="1">
      <alignment horizontal="left"/>
    </xf>
    <xf numFmtId="164" fontId="0" fillId="0" borderId="15" xfId="0" applyNumberFormat="1" applyBorder="1" applyAlignment="1" applyProtection="1">
      <alignment horizontal="left"/>
    </xf>
    <xf numFmtId="165" fontId="0" fillId="0" borderId="14" xfId="0" applyNumberFormat="1" applyBorder="1" applyProtection="1"/>
    <xf numFmtId="164" fontId="0" fillId="0" borderId="14" xfId="0" applyNumberFormat="1" applyBorder="1" applyProtection="1"/>
    <xf numFmtId="165" fontId="0" fillId="0" borderId="16" xfId="0" applyNumberFormat="1" applyBorder="1" applyProtection="1"/>
    <xf numFmtId="164" fontId="0" fillId="0" borderId="10" xfId="0" applyNumberFormat="1" applyBorder="1" applyAlignment="1" applyProtection="1">
      <alignment horizontal="left"/>
    </xf>
    <xf numFmtId="165" fontId="0" fillId="0" borderId="0" xfId="0" applyNumberFormat="1" applyBorder="1" applyProtection="1"/>
    <xf numFmtId="164" fontId="0" fillId="0" borderId="0" xfId="0" applyNumberFormat="1" applyBorder="1" applyProtection="1"/>
    <xf numFmtId="165" fontId="0" fillId="0" borderId="17" xfId="0" applyNumberFormat="1" applyBorder="1" applyProtection="1"/>
    <xf numFmtId="164" fontId="0" fillId="0" borderId="18" xfId="0" applyNumberFormat="1" applyBorder="1" applyAlignment="1" applyProtection="1">
      <alignment horizontal="left"/>
    </xf>
    <xf numFmtId="165" fontId="0" fillId="0" borderId="19" xfId="0" applyNumberFormat="1" applyBorder="1" applyProtection="1"/>
    <xf numFmtId="164" fontId="0" fillId="0" borderId="19" xfId="0" applyNumberFormat="1" applyBorder="1" applyProtection="1"/>
    <xf numFmtId="165" fontId="0" fillId="0" borderId="20" xfId="0" applyNumberFormat="1" applyBorder="1" applyProtection="1"/>
    <xf numFmtId="164" fontId="0" fillId="0" borderId="7" xfId="0" applyNumberFormat="1" applyBorder="1" applyAlignment="1" applyProtection="1">
      <alignment horizontal="left"/>
    </xf>
    <xf numFmtId="164" fontId="0" fillId="0" borderId="16" xfId="0" applyNumberFormat="1" applyBorder="1"/>
    <xf numFmtId="164" fontId="0" fillId="0" borderId="18" xfId="0" applyNumberFormat="1" applyBorder="1"/>
    <xf numFmtId="164" fontId="0" fillId="0" borderId="20" xfId="0" applyNumberFormat="1" applyBorder="1"/>
    <xf numFmtId="164" fontId="0" fillId="0" borderId="14" xfId="0" applyNumberFormat="1" applyBorder="1"/>
    <xf numFmtId="164" fontId="0" fillId="0" borderId="16" xfId="0" applyNumberFormat="1" applyBorder="1" applyProtection="1"/>
    <xf numFmtId="164" fontId="0" fillId="0" borderId="17" xfId="0" applyNumberFormat="1" applyBorder="1" applyProtection="1"/>
    <xf numFmtId="164" fontId="0" fillId="0" borderId="19" xfId="0" applyNumberFormat="1" applyBorder="1"/>
    <xf numFmtId="164" fontId="0" fillId="0" borderId="20" xfId="0" applyNumberFormat="1" applyBorder="1" applyProtection="1"/>
    <xf numFmtId="165" fontId="6" fillId="0" borderId="15" xfId="0" applyNumberFormat="1" applyFont="1" applyBorder="1"/>
    <xf numFmtId="165" fontId="6" fillId="0" borderId="14" xfId="0" applyNumberFormat="1" applyFont="1" applyBorder="1"/>
    <xf numFmtId="165" fontId="6" fillId="0" borderId="16" xfId="0" applyNumberFormat="1" applyFont="1" applyBorder="1"/>
    <xf numFmtId="165" fontId="6" fillId="0" borderId="10" xfId="0" applyNumberFormat="1" applyFont="1" applyBorder="1"/>
    <xf numFmtId="165" fontId="6" fillId="0" borderId="0" xfId="0" applyNumberFormat="1" applyFont="1" applyBorder="1"/>
    <xf numFmtId="165" fontId="6" fillId="0" borderId="17" xfId="0" applyNumberFormat="1" applyFont="1" applyBorder="1"/>
    <xf numFmtId="165" fontId="6" fillId="0" borderId="18" xfId="0" applyNumberFormat="1" applyFont="1" applyBorder="1"/>
    <xf numFmtId="165" fontId="6" fillId="0" borderId="19" xfId="0" applyNumberFormat="1" applyFont="1" applyBorder="1"/>
    <xf numFmtId="165" fontId="6" fillId="0" borderId="20" xfId="0" applyNumberFormat="1" applyFont="1" applyBorder="1"/>
    <xf numFmtId="16" fontId="6" fillId="0" borderId="7" xfId="0" applyNumberFormat="1" applyFont="1" applyBorder="1"/>
    <xf numFmtId="0" fontId="6" fillId="0" borderId="9" xfId="0" applyFont="1" applyBorder="1"/>
    <xf numFmtId="0" fontId="6" fillId="0" borderId="0" xfId="0" applyFont="1" applyFill="1"/>
    <xf numFmtId="2" fontId="6" fillId="0" borderId="0" xfId="0" applyNumberFormat="1" applyFont="1" applyFill="1"/>
    <xf numFmtId="0" fontId="5" fillId="0" borderId="0" xfId="0" applyFont="1" applyProtection="1"/>
    <xf numFmtId="0" fontId="36" fillId="0" borderId="0" xfId="1" applyFont="1"/>
    <xf numFmtId="0" fontId="36" fillId="0" borderId="0" xfId="1" applyFont="1" applyAlignment="1"/>
    <xf numFmtId="1" fontId="0" fillId="0" borderId="0" xfId="0" applyNumberFormat="1"/>
    <xf numFmtId="164" fontId="2" fillId="0" borderId="0" xfId="0" applyNumberFormat="1" applyFont="1" applyAlignment="1" applyProtection="1">
      <alignment horizontal="left"/>
    </xf>
    <xf numFmtId="164" fontId="2" fillId="0" borderId="0" xfId="0" applyNumberFormat="1" applyFont="1"/>
    <xf numFmtId="175" fontId="6" fillId="0" borderId="0" xfId="0" applyNumberFormat="1" applyFont="1" applyProtection="1"/>
    <xf numFmtId="175" fontId="6" fillId="0" borderId="0" xfId="0" applyNumberFormat="1" applyFont="1"/>
    <xf numFmtId="164" fontId="2" fillId="0" borderId="0" xfId="0" applyNumberFormat="1" applyFont="1" applyAlignment="1" applyProtection="1"/>
    <xf numFmtId="165" fontId="2" fillId="0" borderId="0" xfId="0" applyNumberFormat="1" applyFont="1" applyProtection="1"/>
    <xf numFmtId="164" fontId="0" fillId="0" borderId="21" xfId="0" applyNumberFormat="1" applyBorder="1" applyAlignment="1" applyProtection="1">
      <alignment horizontal="left"/>
    </xf>
    <xf numFmtId="164" fontId="0" fillId="0" borderId="21" xfId="0" applyNumberFormat="1" applyBorder="1"/>
    <xf numFmtId="164" fontId="0" fillId="0" borderId="22" xfId="0" applyNumberFormat="1" applyBorder="1"/>
    <xf numFmtId="164" fontId="0" fillId="0" borderId="23" xfId="0" applyNumberFormat="1" applyBorder="1" applyAlignment="1" applyProtection="1">
      <alignment horizontal="left"/>
    </xf>
    <xf numFmtId="165" fontId="0" fillId="0" borderId="0" xfId="0" applyNumberFormat="1" applyBorder="1" applyAlignment="1" applyProtection="1">
      <alignment horizontal="left"/>
    </xf>
    <xf numFmtId="165" fontId="0" fillId="0" borderId="17" xfId="0" applyNumberFormat="1" applyBorder="1" applyAlignment="1" applyProtection="1">
      <alignment horizontal="left"/>
    </xf>
    <xf numFmtId="164" fontId="2" fillId="0" borderId="7" xfId="0" applyNumberFormat="1" applyFont="1" applyBorder="1"/>
    <xf numFmtId="164" fontId="0" fillId="0" borderId="0" xfId="0" applyNumberFormat="1" applyBorder="1" applyAlignment="1" applyProtection="1">
      <alignment horizontal="fill"/>
    </xf>
    <xf numFmtId="164" fontId="0" fillId="0" borderId="17" xfId="0" applyNumberFormat="1" applyBorder="1"/>
    <xf numFmtId="164" fontId="2" fillId="0" borderId="15" xfId="0" applyNumberFormat="1" applyFont="1" applyBorder="1" applyAlignment="1" applyProtection="1">
      <alignment horizontal="left"/>
    </xf>
    <xf numFmtId="164" fontId="0" fillId="0" borderId="20" xfId="0" applyNumberFormat="1" applyBorder="1" applyAlignment="1" applyProtection="1">
      <alignment horizontal="fill"/>
    </xf>
    <xf numFmtId="164" fontId="2" fillId="0" borderId="0" xfId="0" applyNumberFormat="1" applyFont="1" applyProtection="1"/>
    <xf numFmtId="0" fontId="2" fillId="3" borderId="0" xfId="0" applyFont="1" applyFill="1"/>
    <xf numFmtId="0" fontId="2" fillId="0" borderId="0" xfId="0" applyFont="1"/>
    <xf numFmtId="0" fontId="2" fillId="0" borderId="0" xfId="0" applyFont="1" applyFill="1"/>
    <xf numFmtId="0" fontId="6" fillId="0" borderId="14" xfId="0" applyFont="1" applyBorder="1" applyAlignment="1" applyProtection="1">
      <alignment horizontal="fill"/>
    </xf>
    <xf numFmtId="165" fontId="6" fillId="0" borderId="23" xfId="0" applyNumberFormat="1" applyFont="1" applyBorder="1" applyProtection="1"/>
    <xf numFmtId="165" fontId="6" fillId="0" borderId="21" xfId="0" applyNumberFormat="1" applyFont="1" applyBorder="1" applyProtection="1"/>
    <xf numFmtId="165" fontId="6" fillId="0" borderId="22" xfId="0" applyNumberFormat="1" applyFont="1" applyBorder="1" applyProtection="1"/>
    <xf numFmtId="0" fontId="2" fillId="0" borderId="0" xfId="0" applyFont="1" applyAlignment="1">
      <alignment horizontal="right"/>
    </xf>
    <xf numFmtId="0" fontId="6" fillId="0" borderId="0" xfId="0" applyFont="1" applyAlignment="1" applyProtection="1"/>
    <xf numFmtId="49" fontId="2" fillId="0" borderId="0" xfId="0" applyNumberFormat="1" applyFont="1" applyAlignment="1">
      <alignment horizontal="right"/>
    </xf>
    <xf numFmtId="49" fontId="2" fillId="0" borderId="0" xfId="0" applyNumberFormat="1" applyFont="1" applyAlignment="1" applyProtection="1">
      <alignment horizontal="right"/>
    </xf>
    <xf numFmtId="0" fontId="2" fillId="0" borderId="15" xfId="0" applyFont="1" applyBorder="1"/>
    <xf numFmtId="0" fontId="2" fillId="0" borderId="14" xfId="0" applyFont="1" applyBorder="1"/>
    <xf numFmtId="0" fontId="6" fillId="0" borderId="18" xfId="0" applyFont="1" applyBorder="1"/>
    <xf numFmtId="0" fontId="2" fillId="0" borderId="19" xfId="0" applyFont="1" applyBorder="1"/>
    <xf numFmtId="0" fontId="2" fillId="0" borderId="0" xfId="0" applyFont="1" applyBorder="1"/>
    <xf numFmtId="0" fontId="2" fillId="0" borderId="14" xfId="0" applyFont="1" applyFill="1" applyBorder="1"/>
    <xf numFmtId="0" fontId="2" fillId="0" borderId="0" xfId="0" applyFont="1" applyFill="1" applyBorder="1"/>
    <xf numFmtId="0" fontId="2" fillId="0" borderId="19" xfId="0" applyFont="1" applyFill="1" applyBorder="1"/>
    <xf numFmtId="0" fontId="2" fillId="0" borderId="15" xfId="0" applyFont="1" applyFill="1" applyBorder="1"/>
    <xf numFmtId="2" fontId="6" fillId="0" borderId="14" xfId="0" applyNumberFormat="1" applyFont="1" applyFill="1" applyBorder="1"/>
    <xf numFmtId="4" fontId="6" fillId="0" borderId="14" xfId="0" applyNumberFormat="1" applyFont="1" applyFill="1" applyBorder="1"/>
    <xf numFmtId="0" fontId="2" fillId="0" borderId="16" xfId="0" applyFont="1" applyFill="1" applyBorder="1"/>
    <xf numFmtId="0" fontId="2" fillId="0" borderId="10" xfId="0" applyFont="1" applyFill="1" applyBorder="1"/>
    <xf numFmtId="2" fontId="6" fillId="0" borderId="0" xfId="0" applyNumberFormat="1" applyFont="1" applyFill="1" applyBorder="1"/>
    <xf numFmtId="4" fontId="6" fillId="0" borderId="0" xfId="0" applyNumberFormat="1" applyFont="1" applyFill="1" applyBorder="1"/>
    <xf numFmtId="0" fontId="2" fillId="0" borderId="17" xfId="0" applyFont="1" applyFill="1" applyBorder="1"/>
    <xf numFmtId="0" fontId="2" fillId="0" borderId="18" xfId="0" applyFont="1" applyFill="1" applyBorder="1"/>
    <xf numFmtId="2" fontId="6" fillId="0" borderId="19" xfId="0" applyNumberFormat="1" applyFont="1" applyFill="1" applyBorder="1"/>
    <xf numFmtId="4" fontId="6" fillId="0" borderId="19" xfId="0" applyNumberFormat="1" applyFont="1" applyFill="1" applyBorder="1"/>
    <xf numFmtId="0" fontId="2" fillId="0" borderId="20" xfId="0" applyFont="1" applyFill="1" applyBorder="1"/>
    <xf numFmtId="2" fontId="2" fillId="0" borderId="0" xfId="0" applyNumberFormat="1" applyFont="1" applyFill="1"/>
    <xf numFmtId="165" fontId="6" fillId="0" borderId="0" xfId="0" applyNumberFormat="1" applyFont="1" applyFill="1"/>
    <xf numFmtId="16" fontId="2" fillId="0" borderId="0" xfId="0" quotePrefix="1" applyNumberFormat="1" applyFont="1" applyFill="1"/>
    <xf numFmtId="0" fontId="2" fillId="0" borderId="0" xfId="0" quotePrefix="1" applyFont="1"/>
    <xf numFmtId="0" fontId="2" fillId="0" borderId="0" xfId="0" quotePrefix="1" applyFont="1" applyFill="1"/>
    <xf numFmtId="2" fontId="2" fillId="0" borderId="0" xfId="0" applyNumberFormat="1" applyFont="1"/>
    <xf numFmtId="164" fontId="2" fillId="0" borderId="14" xfId="0" applyNumberFormat="1" applyFont="1" applyBorder="1"/>
    <xf numFmtId="164" fontId="2" fillId="0" borderId="16" xfId="0" applyNumberFormat="1" applyFont="1" applyBorder="1" applyAlignment="1" applyProtection="1">
      <alignment horizontal="left"/>
    </xf>
    <xf numFmtId="164" fontId="2" fillId="0" borderId="0" xfId="0" applyNumberFormat="1" applyFont="1" applyBorder="1"/>
    <xf numFmtId="164" fontId="2" fillId="0" borderId="0" xfId="0" applyNumberFormat="1" applyFont="1" applyBorder="1" applyProtection="1"/>
    <xf numFmtId="164" fontId="2" fillId="0" borderId="10" xfId="0" applyNumberFormat="1" applyFont="1" applyBorder="1"/>
    <xf numFmtId="164" fontId="6" fillId="0" borderId="17" xfId="0" applyNumberFormat="1" applyFont="1" applyBorder="1" applyAlignment="1" applyProtection="1">
      <alignment horizontal="right"/>
    </xf>
    <xf numFmtId="164" fontId="6" fillId="0" borderId="0" xfId="0" applyNumberFormat="1" applyFont="1" applyBorder="1" applyAlignment="1" applyProtection="1">
      <alignment horizontal="right"/>
    </xf>
    <xf numFmtId="2" fontId="6" fillId="0" borderId="17" xfId="0" applyNumberFormat="1" applyFont="1" applyBorder="1" applyProtection="1"/>
    <xf numFmtId="164" fontId="2" fillId="0" borderId="19" xfId="0" applyNumberFormat="1" applyFont="1" applyBorder="1"/>
    <xf numFmtId="2" fontId="6" fillId="0" borderId="20" xfId="0" applyNumberFormat="1" applyFont="1" applyBorder="1" applyProtection="1"/>
    <xf numFmtId="164" fontId="2" fillId="0" borderId="15" xfId="0" applyNumberFormat="1" applyFont="1" applyBorder="1" applyProtection="1"/>
    <xf numFmtId="166" fontId="6" fillId="0" borderId="16" xfId="0" applyNumberFormat="1" applyFont="1" applyBorder="1" applyProtection="1"/>
    <xf numFmtId="164" fontId="2" fillId="0" borderId="0" xfId="0" applyNumberFormat="1" applyFont="1" applyBorder="1" applyAlignment="1" applyProtection="1"/>
    <xf numFmtId="164" fontId="2" fillId="0" borderId="0" xfId="0" applyNumberFormat="1" applyFont="1" applyBorder="1" applyAlignment="1" applyProtection="1">
      <alignment horizontal="left"/>
    </xf>
    <xf numFmtId="164" fontId="5" fillId="0" borderId="0" xfId="0" applyNumberFormat="1" applyFont="1" applyBorder="1" applyProtection="1">
      <protection locked="0"/>
    </xf>
    <xf numFmtId="10" fontId="5" fillId="0" borderId="0" xfId="0" applyNumberFormat="1" applyFont="1" applyBorder="1" applyProtection="1">
      <protection locked="0"/>
    </xf>
    <xf numFmtId="164" fontId="4" fillId="0" borderId="0" xfId="0" applyNumberFormat="1" applyFont="1" applyBorder="1" applyProtection="1">
      <protection locked="0"/>
    </xf>
    <xf numFmtId="164" fontId="2" fillId="0" borderId="16" xfId="0" applyNumberFormat="1" applyFont="1" applyBorder="1"/>
    <xf numFmtId="10" fontId="2" fillId="0" borderId="0" xfId="0" applyNumberFormat="1" applyFont="1" applyBorder="1" applyProtection="1"/>
    <xf numFmtId="0" fontId="2" fillId="0" borderId="0" xfId="0" applyNumberFormat="1" applyFont="1"/>
    <xf numFmtId="165" fontId="31" fillId="0" borderId="14" xfId="0" applyNumberFormat="1" applyFont="1" applyBorder="1" applyProtection="1">
      <protection locked="0"/>
    </xf>
    <xf numFmtId="165" fontId="31" fillId="0" borderId="0" xfId="0" applyNumberFormat="1" applyFont="1" applyBorder="1" applyProtection="1">
      <protection locked="0"/>
    </xf>
    <xf numFmtId="165" fontId="31" fillId="0" borderId="19" xfId="0" applyNumberFormat="1" applyFont="1" applyBorder="1" applyProtection="1">
      <protection locked="0"/>
    </xf>
    <xf numFmtId="164" fontId="19" fillId="0" borderId="14" xfId="0" applyNumberFormat="1" applyFont="1" applyBorder="1"/>
    <xf numFmtId="164" fontId="0" fillId="0" borderId="10" xfId="0" applyNumberFormat="1" applyBorder="1" applyAlignment="1" applyProtection="1"/>
    <xf numFmtId="164" fontId="0" fillId="0" borderId="17" xfId="0" applyNumberFormat="1" applyBorder="1" applyAlignment="1" applyProtection="1"/>
    <xf numFmtId="2" fontId="0" fillId="0" borderId="0" xfId="0" applyNumberFormat="1"/>
    <xf numFmtId="0" fontId="25" fillId="0" borderId="3" xfId="0" applyFont="1" applyBorder="1" applyAlignment="1">
      <alignment horizontal="center"/>
    </xf>
    <xf numFmtId="164" fontId="33" fillId="0" borderId="12" xfId="0" applyNumberFormat="1" applyFont="1" applyBorder="1"/>
    <xf numFmtId="164" fontId="42" fillId="0" borderId="0" xfId="0" applyNumberFormat="1" applyFont="1" applyBorder="1"/>
    <xf numFmtId="164" fontId="6" fillId="0" borderId="31" xfId="0" applyNumberFormat="1" applyFont="1" applyBorder="1"/>
    <xf numFmtId="164" fontId="6" fillId="0" borderId="32" xfId="0" applyNumberFormat="1" applyFont="1" applyBorder="1"/>
    <xf numFmtId="164" fontId="6" fillId="0" borderId="24" xfId="0" applyNumberFormat="1" applyFont="1" applyBorder="1"/>
    <xf numFmtId="164" fontId="6" fillId="0" borderId="33" xfId="0" applyNumberFormat="1" applyFont="1" applyBorder="1"/>
    <xf numFmtId="164" fontId="6" fillId="0" borderId="25" xfId="0" applyNumberFormat="1" applyFont="1" applyBorder="1"/>
    <xf numFmtId="164" fontId="33" fillId="0" borderId="33" xfId="0" applyNumberFormat="1" applyFont="1" applyBorder="1"/>
    <xf numFmtId="164" fontId="6" fillId="0" borderId="34" xfId="0" applyNumberFormat="1" applyFont="1" applyBorder="1"/>
    <xf numFmtId="164" fontId="6" fillId="0" borderId="35" xfId="0" applyNumberFormat="1" applyFont="1" applyBorder="1"/>
    <xf numFmtId="164" fontId="6" fillId="0" borderId="36" xfId="0" applyNumberFormat="1" applyFont="1" applyBorder="1"/>
    <xf numFmtId="164" fontId="41" fillId="0" borderId="33" xfId="0" applyNumberFormat="1" applyFont="1" applyBorder="1"/>
    <xf numFmtId="164" fontId="43" fillId="0" borderId="0" xfId="0" applyNumberFormat="1" applyFont="1" applyBorder="1"/>
    <xf numFmtId="164" fontId="45" fillId="0" borderId="0" xfId="0" applyNumberFormat="1" applyFont="1"/>
    <xf numFmtId="164" fontId="42" fillId="0" borderId="0" xfId="0" applyNumberFormat="1" applyFont="1"/>
    <xf numFmtId="164" fontId="45" fillId="0" borderId="0" xfId="0" applyNumberFormat="1" applyFont="1" applyProtection="1"/>
    <xf numFmtId="164" fontId="6" fillId="0" borderId="37" xfId="0" applyNumberFormat="1" applyFont="1" applyBorder="1"/>
    <xf numFmtId="164" fontId="2" fillId="0" borderId="31" xfId="0" applyNumberFormat="1" applyFont="1" applyBorder="1"/>
    <xf numFmtId="164" fontId="3" fillId="0" borderId="32" xfId="0" applyNumberFormat="1" applyFont="1" applyBorder="1" applyAlignment="1"/>
    <xf numFmtId="164" fontId="6" fillId="0" borderId="32" xfId="0" applyNumberFormat="1" applyFont="1" applyBorder="1" applyAlignment="1"/>
    <xf numFmtId="164" fontId="3" fillId="0" borderId="32" xfId="0" applyNumberFormat="1" applyFont="1" applyBorder="1"/>
    <xf numFmtId="164" fontId="3" fillId="0" borderId="33" xfId="0" applyNumberFormat="1" applyFont="1" applyBorder="1" applyAlignment="1" applyProtection="1"/>
    <xf numFmtId="164" fontId="3" fillId="0" borderId="0" xfId="0" applyNumberFormat="1" applyFont="1" applyBorder="1" applyAlignment="1" applyProtection="1"/>
    <xf numFmtId="164" fontId="6" fillId="0" borderId="0" xfId="0" applyNumberFormat="1" applyFont="1" applyBorder="1" applyAlignment="1"/>
    <xf numFmtId="164" fontId="35" fillId="0" borderId="0" xfId="0" applyNumberFormat="1" applyFont="1" applyBorder="1"/>
    <xf numFmtId="164" fontId="3" fillId="0" borderId="0" xfId="0" applyNumberFormat="1" applyFont="1" applyBorder="1"/>
    <xf numFmtId="164" fontId="3" fillId="0" borderId="0" xfId="0" quotePrefix="1" applyNumberFormat="1" applyFont="1" applyBorder="1" applyAlignment="1">
      <alignment horizontal="left"/>
    </xf>
    <xf numFmtId="164" fontId="3" fillId="0" borderId="0" xfId="0" applyNumberFormat="1" applyFont="1" applyBorder="1" applyAlignment="1">
      <alignment horizontal="right"/>
    </xf>
    <xf numFmtId="164" fontId="3" fillId="0" borderId="25" xfId="0" quotePrefix="1" applyNumberFormat="1" applyFont="1" applyBorder="1" applyAlignment="1">
      <alignment horizontal="left"/>
    </xf>
    <xf numFmtId="164" fontId="24" fillId="0" borderId="0" xfId="0" applyNumberFormat="1" applyFont="1" applyBorder="1" applyAlignment="1" applyProtection="1">
      <alignment horizontal="center"/>
    </xf>
    <xf numFmtId="164" fontId="6" fillId="0" borderId="0" xfId="0" applyNumberFormat="1" applyFont="1" applyBorder="1" applyProtection="1">
      <protection locked="0"/>
    </xf>
    <xf numFmtId="164" fontId="5" fillId="0" borderId="0" xfId="0" applyNumberFormat="1" applyFont="1" applyBorder="1" applyProtection="1"/>
    <xf numFmtId="164" fontId="38" fillId="0" borderId="0" xfId="0" applyNumberFormat="1" applyFont="1" applyBorder="1"/>
    <xf numFmtId="44" fontId="6" fillId="0" borderId="0" xfId="4" applyFont="1" applyBorder="1"/>
    <xf numFmtId="164" fontId="32" fillId="0" borderId="0" xfId="0" applyNumberFormat="1" applyFont="1" applyBorder="1"/>
    <xf numFmtId="164" fontId="32" fillId="0" borderId="0" xfId="0" applyNumberFormat="1" applyFont="1" applyBorder="1" applyAlignment="1" applyProtection="1">
      <alignment horizontal="left"/>
    </xf>
    <xf numFmtId="164" fontId="6" fillId="0" borderId="25" xfId="0" applyNumberFormat="1" applyFont="1" applyBorder="1" applyAlignment="1" applyProtection="1">
      <alignment horizontal="fill"/>
    </xf>
    <xf numFmtId="164" fontId="6" fillId="0" borderId="25" xfId="0" applyNumberFormat="1" applyFont="1" applyBorder="1" applyAlignment="1" applyProtection="1">
      <alignment horizontal="left"/>
    </xf>
    <xf numFmtId="164" fontId="6" fillId="0" borderId="0" xfId="0" quotePrefix="1" applyNumberFormat="1" applyFont="1" applyBorder="1" applyAlignment="1" applyProtection="1">
      <alignment horizontal="left"/>
    </xf>
    <xf numFmtId="164" fontId="6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 applyProtection="1">
      <alignment horizontal="left"/>
    </xf>
    <xf numFmtId="164" fontId="25" fillId="0" borderId="0" xfId="0" applyNumberFormat="1" applyFont="1" applyBorder="1" applyAlignment="1" applyProtection="1"/>
    <xf numFmtId="164" fontId="25" fillId="0" borderId="25" xfId="0" applyNumberFormat="1" applyFont="1" applyBorder="1" applyAlignment="1" applyProtection="1"/>
    <xf numFmtId="174" fontId="25" fillId="0" borderId="25" xfId="0" applyNumberFormat="1" applyFont="1" applyBorder="1" applyAlignment="1" applyProtection="1">
      <alignment horizontal="left"/>
    </xf>
    <xf numFmtId="164" fontId="3" fillId="0" borderId="35" xfId="0" applyNumberFormat="1" applyFont="1" applyBorder="1" applyAlignment="1">
      <alignment horizontal="center"/>
    </xf>
    <xf numFmtId="164" fontId="6" fillId="0" borderId="32" xfId="0" applyNumberFormat="1" applyFont="1" applyBorder="1" applyAlignment="1" applyProtection="1">
      <alignment horizontal="left"/>
    </xf>
    <xf numFmtId="164" fontId="6" fillId="0" borderId="35" xfId="0" applyNumberFormat="1" applyFont="1" applyBorder="1" applyAlignment="1" applyProtection="1">
      <alignment horizontal="left"/>
    </xf>
    <xf numFmtId="164" fontId="2" fillId="0" borderId="35" xfId="0" applyNumberFormat="1" applyFont="1" applyBorder="1"/>
    <xf numFmtId="164" fontId="6" fillId="0" borderId="0" xfId="0" quotePrefix="1" applyNumberFormat="1" applyFont="1" applyBorder="1"/>
    <xf numFmtId="164" fontId="32" fillId="0" borderId="0" xfId="0" applyNumberFormat="1" applyFont="1" applyBorder="1" applyProtection="1"/>
    <xf numFmtId="164" fontId="33" fillId="0" borderId="0" xfId="0" applyNumberFormat="1" applyFont="1" applyBorder="1"/>
    <xf numFmtId="164" fontId="6" fillId="0" borderId="0" xfId="0" quotePrefix="1" applyNumberFormat="1" applyFont="1" applyBorder="1" applyAlignment="1">
      <alignment horizontal="center"/>
    </xf>
    <xf numFmtId="164" fontId="2" fillId="0" borderId="0" xfId="0" quotePrefix="1" applyNumberFormat="1" applyFont="1" applyBorder="1"/>
    <xf numFmtId="164" fontId="6" fillId="0" borderId="0" xfId="0" quotePrefix="1" applyNumberFormat="1" applyFont="1" applyBorder="1" applyAlignment="1" applyProtection="1">
      <alignment horizontal="center"/>
    </xf>
    <xf numFmtId="164" fontId="6" fillId="0" borderId="0" xfId="0" applyNumberFormat="1" applyFont="1" applyBorder="1" applyAlignment="1" applyProtection="1"/>
    <xf numFmtId="164" fontId="2" fillId="0" borderId="0" xfId="0" quotePrefix="1" applyNumberFormat="1" applyFont="1" applyBorder="1" applyProtection="1"/>
    <xf numFmtId="164" fontId="2" fillId="0" borderId="0" xfId="0" quotePrefix="1" applyNumberFormat="1" applyFont="1" applyBorder="1" applyAlignment="1" applyProtection="1">
      <alignment horizontal="left"/>
    </xf>
    <xf numFmtId="164" fontId="33" fillId="0" borderId="0" xfId="0" applyNumberFormat="1" applyFont="1" applyBorder="1" applyProtection="1"/>
    <xf numFmtId="164" fontId="45" fillId="0" borderId="0" xfId="0" applyNumberFormat="1" applyFont="1" applyBorder="1" applyProtection="1"/>
    <xf numFmtId="164" fontId="45" fillId="0" borderId="0" xfId="0" applyNumberFormat="1" applyFont="1" applyBorder="1"/>
    <xf numFmtId="164" fontId="6" fillId="0" borderId="35" xfId="0" applyNumberFormat="1" applyFont="1" applyBorder="1" applyProtection="1"/>
    <xf numFmtId="164" fontId="38" fillId="0" borderId="35" xfId="0" applyNumberFormat="1" applyFont="1" applyBorder="1"/>
    <xf numFmtId="164" fontId="38" fillId="0" borderId="0" xfId="0" applyNumberFormat="1" applyFont="1" applyBorder="1" applyProtection="1"/>
    <xf numFmtId="164" fontId="2" fillId="0" borderId="25" xfId="0" applyNumberFormat="1" applyFont="1" applyBorder="1"/>
    <xf numFmtId="164" fontId="6" fillId="0" borderId="0" xfId="0" quotePrefix="1" applyNumberFormat="1" applyFont="1" applyBorder="1" applyAlignment="1" applyProtection="1">
      <alignment horizontal="right"/>
    </xf>
    <xf numFmtId="164" fontId="28" fillId="0" borderId="0" xfId="0" applyNumberFormat="1" applyFont="1" applyBorder="1" applyAlignment="1" applyProtection="1">
      <alignment horizontal="left"/>
    </xf>
    <xf numFmtId="164" fontId="37" fillId="0" borderId="0" xfId="0" applyNumberFormat="1" applyFont="1" applyBorder="1"/>
    <xf numFmtId="164" fontId="2" fillId="0" borderId="33" xfId="0" applyNumberFormat="1" applyFont="1" applyBorder="1"/>
    <xf numFmtId="164" fontId="3" fillId="0" borderId="36" xfId="0" applyNumberFormat="1" applyFont="1" applyBorder="1" applyAlignment="1">
      <alignment horizontal="center"/>
    </xf>
    <xf numFmtId="167" fontId="6" fillId="0" borderId="0" xfId="0" applyNumberFormat="1" applyFont="1" applyBorder="1" applyProtection="1"/>
    <xf numFmtId="164" fontId="0" fillId="0" borderId="0" xfId="0" applyNumberFormat="1" applyAlignment="1" applyProtection="1">
      <alignment horizontal="left"/>
    </xf>
    <xf numFmtId="165" fontId="45" fillId="0" borderId="0" xfId="0" applyNumberFormat="1" applyFont="1" applyBorder="1" applyProtection="1"/>
    <xf numFmtId="164" fontId="45" fillId="0" borderId="0" xfId="0" applyNumberFormat="1" applyFont="1" applyBorder="1" applyAlignment="1" applyProtection="1"/>
    <xf numFmtId="164" fontId="2" fillId="0" borderId="32" xfId="0" applyNumberFormat="1" applyFont="1" applyBorder="1" applyAlignment="1">
      <alignment horizontal="right"/>
    </xf>
    <xf numFmtId="164" fontId="23" fillId="0" borderId="0" xfId="0" applyNumberFormat="1" applyFont="1" applyBorder="1"/>
    <xf numFmtId="164" fontId="6" fillId="0" borderId="0" xfId="0" applyNumberFormat="1" applyFont="1" applyBorder="1" applyAlignment="1">
      <alignment horizontal="left"/>
    </xf>
    <xf numFmtId="165" fontId="6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right"/>
    </xf>
    <xf numFmtId="164" fontId="0" fillId="0" borderId="33" xfId="0" applyNumberFormat="1" applyBorder="1"/>
    <xf numFmtId="164" fontId="0" fillId="0" borderId="25" xfId="0" applyNumberFormat="1" applyBorder="1"/>
    <xf numFmtId="165" fontId="0" fillId="0" borderId="0" xfId="0" applyNumberFormat="1" applyBorder="1"/>
    <xf numFmtId="165" fontId="5" fillId="0" borderId="0" xfId="0" applyNumberFormat="1" applyFont="1" applyBorder="1" applyProtection="1"/>
    <xf numFmtId="164" fontId="0" fillId="0" borderId="35" xfId="0" applyNumberFormat="1" applyBorder="1"/>
    <xf numFmtId="164" fontId="0" fillId="0" borderId="34" xfId="0" applyNumberFormat="1" applyBorder="1"/>
    <xf numFmtId="164" fontId="45" fillId="0" borderId="0" xfId="0" applyNumberFormat="1" applyFont="1" applyBorder="1" applyAlignment="1" applyProtection="1">
      <alignment horizontal="left"/>
    </xf>
    <xf numFmtId="1" fontId="0" fillId="0" borderId="0" xfId="0" applyNumberFormat="1" applyBorder="1"/>
    <xf numFmtId="164" fontId="45" fillId="0" borderId="0" xfId="0" applyNumberFormat="1" applyFont="1" applyBorder="1" applyAlignment="1" applyProtection="1">
      <alignment horizontal="center"/>
    </xf>
    <xf numFmtId="4" fontId="2" fillId="3" borderId="0" xfId="0" applyNumberFormat="1" applyFont="1" applyFill="1"/>
    <xf numFmtId="0" fontId="33" fillId="0" borderId="0" xfId="0" applyFont="1" applyAlignment="1" applyProtection="1">
      <alignment horizontal="left"/>
    </xf>
    <xf numFmtId="165" fontId="33" fillId="0" borderId="0" xfId="0" applyNumberFormat="1" applyFont="1" applyProtection="1"/>
    <xf numFmtId="0" fontId="33" fillId="0" borderId="0" xfId="0" applyFont="1"/>
    <xf numFmtId="0" fontId="6" fillId="0" borderId="35" xfId="0" applyFont="1" applyBorder="1"/>
    <xf numFmtId="0" fontId="45" fillId="0" borderId="0" xfId="0" applyFont="1" applyProtection="1"/>
    <xf numFmtId="0" fontId="2" fillId="4" borderId="0" xfId="0" applyFont="1" applyFill="1" applyBorder="1"/>
    <xf numFmtId="2" fontId="2" fillId="4" borderId="0" xfId="0" applyNumberFormat="1" applyFont="1" applyFill="1" applyBorder="1"/>
    <xf numFmtId="0" fontId="6" fillId="4" borderId="0" xfId="0" applyFont="1" applyFill="1" applyBorder="1"/>
    <xf numFmtId="0" fontId="32" fillId="0" borderId="7" xfId="0" applyFont="1" applyBorder="1"/>
    <xf numFmtId="0" fontId="32" fillId="0" borderId="9" xfId="0" applyFont="1" applyBorder="1"/>
    <xf numFmtId="165" fontId="33" fillId="0" borderId="12" xfId="0" applyNumberFormat="1" applyFont="1" applyBorder="1" applyProtection="1">
      <protection locked="0"/>
    </xf>
    <xf numFmtId="0" fontId="45" fillId="0" borderId="14" xfId="0" applyFont="1" applyBorder="1" applyProtection="1"/>
    <xf numFmtId="0" fontId="45" fillId="0" borderId="6" xfId="0" applyFont="1" applyBorder="1" applyAlignment="1" applyProtection="1">
      <alignment horizontal="left"/>
    </xf>
    <xf numFmtId="0" fontId="45" fillId="0" borderId="0" xfId="0" applyFont="1" applyBorder="1" applyProtection="1"/>
    <xf numFmtId="0" fontId="45" fillId="0" borderId="0" xfId="0" applyFont="1" applyBorder="1"/>
    <xf numFmtId="0" fontId="45" fillId="0" borderId="19" xfId="0" applyFont="1" applyBorder="1" applyProtection="1"/>
    <xf numFmtId="0" fontId="45" fillId="0" borderId="9" xfId="0" applyFont="1" applyBorder="1" applyAlignment="1" applyProtection="1">
      <alignment horizontal="left"/>
    </xf>
    <xf numFmtId="49" fontId="11" fillId="0" borderId="23" xfId="0" applyNumberFormat="1" applyFont="1" applyBorder="1" applyAlignment="1" applyProtection="1"/>
    <xf numFmtId="0" fontId="6" fillId="0" borderId="0" xfId="0" applyFont="1" applyBorder="1" applyAlignment="1">
      <alignment horizontal="center"/>
    </xf>
    <xf numFmtId="164" fontId="25" fillId="0" borderId="15" xfId="0" applyNumberFormat="1" applyFont="1" applyBorder="1" applyAlignment="1" applyProtection="1">
      <alignment horizontal="center"/>
    </xf>
    <xf numFmtId="164" fontId="42" fillId="0" borderId="14" xfId="0" applyNumberFormat="1" applyFont="1" applyBorder="1"/>
    <xf numFmtId="0" fontId="6" fillId="0" borderId="31" xfId="0" applyFont="1" applyBorder="1"/>
    <xf numFmtId="0" fontId="2" fillId="0" borderId="32" xfId="0" applyFont="1" applyBorder="1"/>
    <xf numFmtId="0" fontId="6" fillId="0" borderId="32" xfId="0" applyFont="1" applyBorder="1"/>
    <xf numFmtId="0" fontId="6" fillId="0" borderId="24" xfId="0" applyFont="1" applyBorder="1"/>
    <xf numFmtId="0" fontId="6" fillId="0" borderId="33" xfId="0" applyFont="1" applyBorder="1"/>
    <xf numFmtId="0" fontId="6" fillId="0" borderId="25" xfId="0" applyFont="1" applyBorder="1"/>
    <xf numFmtId="0" fontId="6" fillId="0" borderId="33" xfId="0" applyFont="1" applyBorder="1" applyAlignment="1" applyProtection="1">
      <alignment horizontal="left"/>
    </xf>
    <xf numFmtId="0" fontId="3" fillId="0" borderId="0" xfId="0" applyFont="1" applyBorder="1"/>
    <xf numFmtId="0" fontId="6" fillId="0" borderId="0" xfId="0" applyFont="1" applyBorder="1" applyProtection="1">
      <protection locked="0"/>
    </xf>
    <xf numFmtId="0" fontId="2" fillId="0" borderId="0" xfId="0" applyFont="1" applyBorder="1" applyAlignment="1">
      <alignment horizontal="right"/>
    </xf>
    <xf numFmtId="2" fontId="6" fillId="0" borderId="0" xfId="0" applyNumberFormat="1" applyFont="1" applyBorder="1" applyAlignment="1" applyProtection="1">
      <alignment horizontal="right"/>
    </xf>
    <xf numFmtId="0" fontId="2" fillId="0" borderId="0" xfId="0" applyFont="1" applyBorder="1" applyAlignment="1" applyProtection="1">
      <alignment horizontal="left"/>
    </xf>
    <xf numFmtId="0" fontId="6" fillId="0" borderId="0" xfId="0" applyFont="1" applyBorder="1" applyAlignment="1">
      <alignment horizontal="right"/>
    </xf>
    <xf numFmtId="0" fontId="7" fillId="0" borderId="0" xfId="0" applyFont="1" applyBorder="1"/>
    <xf numFmtId="169" fontId="5" fillId="0" borderId="0" xfId="0" applyNumberFormat="1" applyFont="1" applyBorder="1" applyProtection="1">
      <protection locked="0"/>
    </xf>
    <xf numFmtId="3" fontId="6" fillId="0" borderId="0" xfId="0" applyNumberFormat="1" applyFont="1" applyBorder="1"/>
    <xf numFmtId="0" fontId="6" fillId="0" borderId="34" xfId="0" applyFont="1" applyBorder="1"/>
    <xf numFmtId="0" fontId="6" fillId="0" borderId="35" xfId="0" applyFont="1" applyBorder="1" applyAlignment="1" applyProtection="1">
      <alignment horizontal="left"/>
    </xf>
    <xf numFmtId="173" fontId="6" fillId="0" borderId="35" xfId="0" applyNumberFormat="1" applyFont="1" applyBorder="1" applyProtection="1"/>
    <xf numFmtId="0" fontId="6" fillId="0" borderId="0" xfId="0" applyFont="1" applyBorder="1" applyAlignment="1" applyProtection="1">
      <alignment horizontal="center"/>
    </xf>
    <xf numFmtId="2" fontId="11" fillId="0" borderId="0" xfId="0" applyNumberFormat="1" applyFont="1" applyBorder="1"/>
    <xf numFmtId="4" fontId="6" fillId="0" borderId="0" xfId="0" applyNumberFormat="1" applyFont="1" applyBorder="1"/>
    <xf numFmtId="4" fontId="6" fillId="0" borderId="0" xfId="0" applyNumberFormat="1" applyFont="1" applyBorder="1" applyAlignment="1" applyProtection="1">
      <alignment horizontal="right"/>
    </xf>
    <xf numFmtId="2" fontId="6" fillId="0" borderId="0" xfId="0" applyNumberFormat="1" applyFont="1" applyBorder="1" applyAlignment="1">
      <alignment horizontal="left"/>
    </xf>
    <xf numFmtId="2" fontId="11" fillId="0" borderId="25" xfId="0" applyNumberFormat="1" applyFont="1" applyBorder="1" applyAlignment="1">
      <alignment horizontal="center"/>
    </xf>
    <xf numFmtId="0" fontId="6" fillId="0" borderId="0" xfId="0" applyFont="1" applyBorder="1" applyAlignment="1" applyProtection="1">
      <alignment horizontal="right"/>
    </xf>
    <xf numFmtId="0" fontId="6" fillId="0" borderId="25" xfId="0" applyFont="1" applyBorder="1" applyAlignment="1" applyProtection="1">
      <alignment horizontal="left"/>
    </xf>
    <xf numFmtId="0" fontId="2" fillId="0" borderId="25" xfId="0" applyFont="1" applyBorder="1"/>
    <xf numFmtId="2" fontId="11" fillId="0" borderId="25" xfId="0" applyNumberFormat="1" applyFont="1" applyBorder="1"/>
    <xf numFmtId="165" fontId="11" fillId="0" borderId="0" xfId="0" applyNumberFormat="1" applyFont="1" applyBorder="1"/>
    <xf numFmtId="0" fontId="6" fillId="0" borderId="0" xfId="0" applyFont="1" applyBorder="1" applyAlignment="1" applyProtection="1">
      <alignment horizontal="fill"/>
    </xf>
    <xf numFmtId="1" fontId="2" fillId="0" borderId="0" xfId="0" applyNumberFormat="1" applyFont="1" applyBorder="1" applyAlignment="1" applyProtection="1">
      <alignment horizontal="left"/>
    </xf>
    <xf numFmtId="1" fontId="6" fillId="0" borderId="0" xfId="0" applyNumberFormat="1" applyFont="1" applyBorder="1" applyAlignment="1" applyProtection="1">
      <alignment horizontal="fill"/>
    </xf>
    <xf numFmtId="165" fontId="11" fillId="0" borderId="0" xfId="0" applyNumberFormat="1" applyFont="1" applyBorder="1" applyProtection="1"/>
    <xf numFmtId="165" fontId="11" fillId="0" borderId="0" xfId="0" applyNumberFormat="1" applyFont="1" applyBorder="1" applyAlignment="1">
      <alignment horizontal="right"/>
    </xf>
    <xf numFmtId="2" fontId="11" fillId="0" borderId="0" xfId="0" applyNumberFormat="1" applyFont="1" applyBorder="1" applyAlignment="1">
      <alignment horizontal="right"/>
    </xf>
    <xf numFmtId="2" fontId="12" fillId="0" borderId="0" xfId="0" applyNumberFormat="1" applyFont="1" applyBorder="1" applyAlignment="1">
      <alignment horizontal="right"/>
    </xf>
    <xf numFmtId="0" fontId="6" fillId="0" borderId="0" xfId="0" quotePrefix="1" applyFont="1" applyBorder="1" applyAlignment="1">
      <alignment horizontal="right"/>
    </xf>
    <xf numFmtId="0" fontId="6" fillId="0" borderId="0" xfId="0" quotePrefix="1" applyFont="1" applyBorder="1" applyAlignment="1">
      <alignment horizontal="center"/>
    </xf>
    <xf numFmtId="0" fontId="6" fillId="0" borderId="0" xfId="0" quotePrefix="1" applyFont="1" applyBorder="1" applyAlignment="1" applyProtection="1">
      <alignment horizontal="left"/>
    </xf>
    <xf numFmtId="16" fontId="6" fillId="0" borderId="0" xfId="0" quotePrefix="1" applyNumberFormat="1" applyFont="1" applyBorder="1"/>
    <xf numFmtId="16" fontId="6" fillId="0" borderId="0" xfId="0" applyNumberFormat="1" applyFont="1" applyBorder="1" applyAlignment="1" applyProtection="1">
      <alignment horizontal="center"/>
    </xf>
    <xf numFmtId="0" fontId="8" fillId="0" borderId="0" xfId="0" applyFont="1" applyBorder="1" applyAlignment="1" applyProtection="1">
      <alignment horizontal="left"/>
    </xf>
    <xf numFmtId="0" fontId="6" fillId="0" borderId="25" xfId="0" quotePrefix="1" applyFont="1" applyBorder="1" applyAlignment="1" applyProtection="1">
      <alignment horizontal="left"/>
    </xf>
    <xf numFmtId="0" fontId="6" fillId="0" borderId="0" xfId="0" applyFont="1" applyBorder="1" applyAlignment="1">
      <alignment horizontal="left"/>
    </xf>
    <xf numFmtId="0" fontId="6" fillId="0" borderId="25" xfId="0" applyFont="1" applyBorder="1" applyAlignment="1" applyProtection="1">
      <alignment horizontal="center"/>
    </xf>
    <xf numFmtId="0" fontId="3" fillId="0" borderId="0" xfId="0" applyFont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65" fontId="6" fillId="0" borderId="23" xfId="0" applyNumberFormat="1" applyFont="1" applyBorder="1" applyAlignment="1" applyProtection="1">
      <alignment horizontal="center"/>
    </xf>
    <xf numFmtId="165" fontId="6" fillId="0" borderId="22" xfId="0" applyNumberFormat="1" applyFont="1" applyBorder="1" applyAlignment="1" applyProtection="1">
      <alignment horizontal="center"/>
    </xf>
    <xf numFmtId="0" fontId="7" fillId="0" borderId="33" xfId="0" applyFont="1" applyBorder="1" applyAlignment="1" applyProtection="1">
      <alignment horizontal="left"/>
    </xf>
    <xf numFmtId="0" fontId="7" fillId="0" borderId="0" xfId="0" applyFont="1" applyBorder="1" applyAlignment="1" applyProtection="1">
      <alignment horizontal="left"/>
    </xf>
    <xf numFmtId="0" fontId="6" fillId="0" borderId="23" xfId="0" applyFont="1" applyBorder="1" applyAlignment="1" applyProtection="1">
      <alignment horizontal="center"/>
    </xf>
    <xf numFmtId="0" fontId="6" fillId="0" borderId="22" xfId="0" applyFont="1" applyBorder="1" applyAlignment="1" applyProtection="1">
      <alignment horizontal="center"/>
    </xf>
    <xf numFmtId="49" fontId="6" fillId="0" borderId="15" xfId="0" applyNumberFormat="1" applyFont="1" applyBorder="1" applyAlignment="1" applyProtection="1">
      <alignment horizontal="center"/>
    </xf>
    <xf numFmtId="49" fontId="6" fillId="0" borderId="16" xfId="0" applyNumberFormat="1" applyFont="1" applyBorder="1" applyAlignment="1" applyProtection="1">
      <alignment horizontal="center"/>
    </xf>
    <xf numFmtId="0" fontId="0" fillId="0" borderId="0" xfId="0" applyBorder="1"/>
    <xf numFmtId="0" fontId="34" fillId="0" borderId="0" xfId="3" applyFont="1" applyBorder="1"/>
    <xf numFmtId="0" fontId="1" fillId="0" borderId="0" xfId="3" applyBorder="1"/>
    <xf numFmtId="164" fontId="0" fillId="0" borderId="0" xfId="0" applyNumberFormat="1" applyBorder="1" applyAlignment="1">
      <alignment horizontal="left"/>
    </xf>
    <xf numFmtId="1" fontId="0" fillId="0" borderId="0" xfId="0" applyNumberFormat="1" applyBorder="1" applyAlignment="1">
      <alignment horizontal="center"/>
    </xf>
    <xf numFmtId="174" fontId="42" fillId="0" borderId="0" xfId="0" applyNumberFormat="1" applyFont="1" applyBorder="1"/>
    <xf numFmtId="174" fontId="0" fillId="0" borderId="0" xfId="0" applyNumberFormat="1" applyBorder="1"/>
    <xf numFmtId="165" fontId="2" fillId="0" borderId="0" xfId="0" applyNumberFormat="1" applyFont="1" applyBorder="1"/>
    <xf numFmtId="165" fontId="42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Font="1" applyBorder="1"/>
    <xf numFmtId="2" fontId="42" fillId="0" borderId="0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42" fillId="0" borderId="0" xfId="0" applyFont="1" applyBorder="1"/>
    <xf numFmtId="164" fontId="44" fillId="0" borderId="0" xfId="0" applyNumberFormat="1" applyFont="1" applyBorder="1"/>
    <xf numFmtId="164" fontId="28" fillId="0" borderId="0" xfId="0" applyNumberFormat="1" applyFont="1" applyBorder="1"/>
    <xf numFmtId="164" fontId="46" fillId="0" borderId="0" xfId="0" applyNumberFormat="1" applyFont="1" applyBorder="1"/>
    <xf numFmtId="164" fontId="41" fillId="0" borderId="0" xfId="0" applyNumberFormat="1" applyFont="1" applyBorder="1"/>
    <xf numFmtId="164" fontId="11" fillId="0" borderId="0" xfId="0" applyNumberFormat="1" applyFont="1" applyBorder="1"/>
    <xf numFmtId="164" fontId="19" fillId="0" borderId="0" xfId="0" applyNumberFormat="1" applyFont="1" applyBorder="1"/>
    <xf numFmtId="164" fontId="42" fillId="0" borderId="0" xfId="0" applyNumberFormat="1" applyFont="1" applyBorder="1" applyAlignment="1">
      <alignment horizontal="left"/>
    </xf>
    <xf numFmtId="165" fontId="42" fillId="0" borderId="10" xfId="0" applyNumberFormat="1" applyFont="1" applyBorder="1" applyProtection="1"/>
    <xf numFmtId="165" fontId="42" fillId="0" borderId="0" xfId="0" applyNumberFormat="1" applyFont="1" applyBorder="1" applyProtection="1"/>
    <xf numFmtId="165" fontId="42" fillId="0" borderId="17" xfId="0" applyNumberFormat="1" applyFont="1" applyBorder="1" applyProtection="1"/>
    <xf numFmtId="164" fontId="33" fillId="0" borderId="0" xfId="0" applyNumberFormat="1" applyFont="1" applyAlignment="1" applyProtection="1">
      <alignment horizontal="left"/>
    </xf>
    <xf numFmtId="164" fontId="33" fillId="0" borderId="0" xfId="0" applyNumberFormat="1" applyFont="1"/>
    <xf numFmtId="0" fontId="6" fillId="0" borderId="31" xfId="0" applyFont="1" applyBorder="1" applyAlignment="1" applyProtection="1">
      <alignment horizontal="left"/>
    </xf>
    <xf numFmtId="49" fontId="6" fillId="0" borderId="25" xfId="0" applyNumberFormat="1" applyFont="1" applyBorder="1" applyAlignment="1" applyProtection="1">
      <alignment horizontal="left"/>
    </xf>
    <xf numFmtId="49" fontId="6" fillId="0" borderId="25" xfId="0" applyNumberFormat="1" applyFont="1" applyBorder="1" applyAlignment="1" applyProtection="1"/>
    <xf numFmtId="165" fontId="6" fillId="0" borderId="25" xfId="0" applyNumberFormat="1" applyFont="1" applyBorder="1" applyProtection="1"/>
    <xf numFmtId="0" fontId="6" fillId="0" borderId="25" xfId="0" applyFont="1" applyBorder="1" applyAlignment="1" applyProtection="1">
      <alignment horizontal="fill"/>
    </xf>
    <xf numFmtId="0" fontId="6" fillId="0" borderId="0" xfId="0" applyFont="1" applyBorder="1" applyAlignment="1" applyProtection="1">
      <alignment horizontal="center"/>
      <protection locked="0"/>
    </xf>
    <xf numFmtId="0" fontId="6" fillId="0" borderId="0" xfId="0" applyFont="1" applyBorder="1" applyAlignment="1" applyProtection="1">
      <alignment horizontal="fill"/>
      <protection locked="0"/>
    </xf>
    <xf numFmtId="2" fontId="6" fillId="0" borderId="0" xfId="0" applyNumberFormat="1" applyFont="1" applyBorder="1" applyAlignment="1" applyProtection="1">
      <protection locked="0"/>
    </xf>
    <xf numFmtId="49" fontId="6" fillId="0" borderId="25" xfId="0" applyNumberFormat="1" applyFont="1" applyBorder="1" applyAlignment="1" applyProtection="1">
      <alignment horizontal="fill"/>
    </xf>
    <xf numFmtId="2" fontId="6" fillId="0" borderId="25" xfId="0" applyNumberFormat="1" applyFont="1" applyBorder="1" applyProtection="1"/>
    <xf numFmtId="165" fontId="6" fillId="0" borderId="0" xfId="0" applyNumberFormat="1" applyFont="1" applyBorder="1" applyAlignment="1" applyProtection="1">
      <alignment horizontal="center"/>
    </xf>
    <xf numFmtId="49" fontId="6" fillId="0" borderId="35" xfId="0" applyNumberFormat="1" applyFont="1" applyBorder="1"/>
    <xf numFmtId="165" fontId="6" fillId="0" borderId="35" xfId="0" applyNumberFormat="1" applyFont="1" applyBorder="1" applyProtection="1"/>
    <xf numFmtId="0" fontId="3" fillId="0" borderId="36" xfId="0" applyFont="1" applyBorder="1"/>
    <xf numFmtId="0" fontId="6" fillId="0" borderId="32" xfId="0" applyFont="1" applyBorder="1" applyAlignment="1" applyProtection="1">
      <alignment horizontal="left"/>
    </xf>
    <xf numFmtId="0" fontId="2" fillId="0" borderId="31" xfId="0" applyFont="1" applyBorder="1"/>
    <xf numFmtId="0" fontId="3" fillId="0" borderId="33" xfId="0" applyFont="1" applyBorder="1"/>
    <xf numFmtId="0" fontId="5" fillId="0" borderId="0" xfId="0" applyFont="1" applyBorder="1" applyProtection="1"/>
    <xf numFmtId="2" fontId="6" fillId="0" borderId="0" xfId="0" applyNumberFormat="1" applyFont="1" applyBorder="1" applyAlignment="1">
      <alignment horizontal="center"/>
    </xf>
    <xf numFmtId="2" fontId="6" fillId="0" borderId="0" xfId="0" quotePrefix="1" applyNumberFormat="1" applyFont="1" applyBorder="1" applyAlignment="1" applyProtection="1">
      <alignment horizontal="left"/>
    </xf>
    <xf numFmtId="0" fontId="6" fillId="0" borderId="34" xfId="0" applyFont="1" applyBorder="1" applyAlignment="1" applyProtection="1">
      <alignment horizontal="left"/>
    </xf>
    <xf numFmtId="0" fontId="4" fillId="0" borderId="32" xfId="0" applyFont="1" applyBorder="1" applyAlignment="1" applyProtection="1">
      <alignment horizontal="left"/>
    </xf>
    <xf numFmtId="0" fontId="4" fillId="0" borderId="32" xfId="0" applyFont="1" applyBorder="1"/>
    <xf numFmtId="2" fontId="2" fillId="0" borderId="32" xfId="0" applyNumberFormat="1" applyFont="1" applyBorder="1" applyProtection="1"/>
    <xf numFmtId="0" fontId="4" fillId="0" borderId="0" xfId="0" applyFont="1" applyBorder="1" applyAlignment="1" applyProtection="1">
      <alignment horizontal="left"/>
    </xf>
    <xf numFmtId="0" fontId="4" fillId="0" borderId="0" xfId="0" applyFont="1" applyBorder="1"/>
    <xf numFmtId="165" fontId="3" fillId="0" borderId="35" xfId="0" applyNumberFormat="1" applyFont="1" applyBorder="1" applyProtection="1"/>
    <xf numFmtId="0" fontId="2" fillId="0" borderId="0" xfId="0" applyNumberFormat="1" applyFont="1" applyBorder="1" applyAlignment="1" applyProtection="1"/>
    <xf numFmtId="164" fontId="2" fillId="0" borderId="32" xfId="0" applyNumberFormat="1" applyFont="1" applyBorder="1"/>
    <xf numFmtId="164" fontId="7" fillId="0" borderId="0" xfId="0" applyNumberFormat="1" applyFont="1" applyBorder="1" applyAlignment="1" applyProtection="1">
      <alignment horizontal="left"/>
    </xf>
    <xf numFmtId="164" fontId="2" fillId="0" borderId="0" xfId="0" applyNumberFormat="1" applyFont="1" applyBorder="1" applyAlignment="1">
      <alignment horizontal="right"/>
    </xf>
    <xf numFmtId="164" fontId="6" fillId="0" borderId="33" xfId="0" applyNumberFormat="1" applyFont="1" applyBorder="1" applyAlignment="1" applyProtection="1"/>
    <xf numFmtId="164" fontId="17" fillId="0" borderId="0" xfId="0" quotePrefix="1" applyNumberFormat="1" applyFont="1" applyBorder="1" applyAlignment="1" applyProtection="1">
      <alignment horizontal="left"/>
    </xf>
    <xf numFmtId="43" fontId="6" fillId="0" borderId="0" xfId="5" applyFont="1" applyBorder="1" applyProtection="1"/>
    <xf numFmtId="164" fontId="2" fillId="0" borderId="36" xfId="0" applyNumberFormat="1" applyFont="1" applyBorder="1" applyAlignment="1">
      <alignment horizontal="center"/>
    </xf>
    <xf numFmtId="164" fontId="6" fillId="0" borderId="32" xfId="0" quotePrefix="1" applyNumberFormat="1" applyFont="1" applyBorder="1" applyAlignment="1" applyProtection="1">
      <alignment horizontal="left"/>
    </xf>
    <xf numFmtId="164" fontId="11" fillId="0" borderId="0" xfId="0" applyNumberFormat="1" applyFont="1" applyBorder="1" applyAlignment="1" applyProtection="1">
      <alignment horizontal="left"/>
    </xf>
    <xf numFmtId="164" fontId="20" fillId="0" borderId="32" xfId="0" applyNumberFormat="1" applyFont="1" applyBorder="1" applyAlignment="1" applyProtection="1">
      <alignment horizontal="left"/>
    </xf>
    <xf numFmtId="164" fontId="12" fillId="0" borderId="0" xfId="0" applyNumberFormat="1" applyFont="1" applyBorder="1" applyAlignment="1" applyProtection="1">
      <alignment horizontal="left"/>
    </xf>
    <xf numFmtId="164" fontId="6" fillId="0" borderId="33" xfId="0" applyNumberFormat="1" applyFont="1" applyBorder="1" applyAlignment="1" applyProtection="1">
      <alignment horizontal="left"/>
    </xf>
    <xf numFmtId="164" fontId="7" fillId="0" borderId="32" xfId="0" applyNumberFormat="1" applyFont="1" applyBorder="1" applyAlignment="1" applyProtection="1">
      <alignment horizontal="left"/>
    </xf>
    <xf numFmtId="165" fontId="6" fillId="0" borderId="32" xfId="0" applyNumberFormat="1" applyFont="1" applyBorder="1" applyAlignment="1" applyProtection="1">
      <alignment horizontal="center"/>
    </xf>
    <xf numFmtId="164" fontId="6" fillId="0" borderId="31" xfId="0" applyNumberFormat="1" applyFont="1" applyBorder="1" applyAlignment="1" applyProtection="1">
      <alignment horizontal="left"/>
    </xf>
    <xf numFmtId="165" fontId="6" fillId="0" borderId="32" xfId="0" applyNumberFormat="1" applyFont="1" applyBorder="1" applyProtection="1"/>
    <xf numFmtId="165" fontId="6" fillId="0" borderId="24" xfId="0" applyNumberFormat="1" applyFont="1" applyBorder="1" applyProtection="1"/>
    <xf numFmtId="164" fontId="20" fillId="0" borderId="0" xfId="0" applyNumberFormat="1" applyFont="1" applyBorder="1" applyAlignment="1" applyProtection="1">
      <alignment horizontal="left"/>
    </xf>
    <xf numFmtId="0" fontId="0" fillId="0" borderId="32" xfId="0" applyBorder="1"/>
    <xf numFmtId="2" fontId="2" fillId="0" borderId="0" xfId="0" applyNumberFormat="1" applyFont="1" applyBorder="1"/>
    <xf numFmtId="0" fontId="2" fillId="0" borderId="0" xfId="0" applyNumberFormat="1" applyFont="1" applyBorder="1"/>
    <xf numFmtId="2" fontId="42" fillId="0" borderId="0" xfId="0" applyNumberFormat="1" applyFont="1" applyBorder="1"/>
    <xf numFmtId="0" fontId="0" fillId="0" borderId="34" xfId="0" applyBorder="1"/>
    <xf numFmtId="0" fontId="0" fillId="0" borderId="35" xfId="0" applyBorder="1"/>
    <xf numFmtId="2" fontId="2" fillId="0" borderId="0" xfId="0" applyNumberFormat="1" applyFont="1" applyBorder="1" applyAlignment="1" applyProtection="1">
      <alignment horizontal="left"/>
    </xf>
    <xf numFmtId="0" fontId="6" fillId="0" borderId="0" xfId="0" quotePrefix="1" applyFont="1" applyBorder="1" applyAlignment="1">
      <alignment horizontal="left"/>
    </xf>
    <xf numFmtId="0" fontId="2" fillId="0" borderId="0" xfId="0" applyFont="1" applyAlignment="1" applyProtection="1">
      <alignment horizontal="fill"/>
    </xf>
    <xf numFmtId="49" fontId="11" fillId="0" borderId="12" xfId="0" applyNumberFormat="1" applyFont="1" applyBorder="1" applyAlignment="1" applyProtection="1">
      <alignment horizontal="center"/>
    </xf>
    <xf numFmtId="165" fontId="6" fillId="0" borderId="25" xfId="0" applyNumberFormat="1" applyFont="1" applyBorder="1" applyAlignment="1">
      <alignment horizontal="left"/>
    </xf>
    <xf numFmtId="165" fontId="6" fillId="0" borderId="0" xfId="0" applyNumberFormat="1" applyFont="1" applyAlignment="1">
      <alignment horizontal="left"/>
    </xf>
    <xf numFmtId="0" fontId="42" fillId="0" borderId="0" xfId="0" applyFont="1"/>
    <xf numFmtId="173" fontId="2" fillId="0" borderId="0" xfId="0" applyNumberFormat="1" applyFont="1" applyBorder="1"/>
    <xf numFmtId="164" fontId="2" fillId="0" borderId="0" xfId="0" applyNumberFormat="1" applyFont="1" applyBorder="1" applyAlignment="1">
      <alignment horizontal="center"/>
    </xf>
    <xf numFmtId="164" fontId="2" fillId="0" borderId="36" xfId="0" applyNumberFormat="1" applyFont="1" applyBorder="1"/>
    <xf numFmtId="164" fontId="3" fillId="0" borderId="0" xfId="0" applyNumberFormat="1" applyFont="1" applyBorder="1" applyAlignment="1">
      <alignment horizontal="center"/>
    </xf>
    <xf numFmtId="164" fontId="3" fillId="0" borderId="25" xfId="0" applyNumberFormat="1" applyFont="1" applyBorder="1" applyAlignment="1">
      <alignment horizontal="center"/>
    </xf>
    <xf numFmtId="164" fontId="50" fillId="0" borderId="0" xfId="0" applyNumberFormat="1" applyFont="1" applyBorder="1" applyAlignment="1" applyProtection="1">
      <alignment horizontal="left"/>
    </xf>
    <xf numFmtId="164" fontId="3" fillId="0" borderId="32" xfId="0" applyNumberFormat="1" applyFont="1" applyBorder="1" applyAlignment="1" applyProtection="1">
      <alignment horizontal="left"/>
    </xf>
    <xf numFmtId="164" fontId="3" fillId="0" borderId="33" xfId="0" applyNumberFormat="1" applyFont="1" applyBorder="1"/>
    <xf numFmtId="164" fontId="3" fillId="0" borderId="0" xfId="0" applyNumberFormat="1" applyFont="1" applyBorder="1" applyProtection="1"/>
    <xf numFmtId="164" fontId="51" fillId="0" borderId="33" xfId="0" applyNumberFormat="1" applyFont="1" applyBorder="1"/>
    <xf numFmtId="164" fontId="51" fillId="0" borderId="0" xfId="0" applyNumberFormat="1" applyFont="1" applyBorder="1"/>
    <xf numFmtId="164" fontId="51" fillId="0" borderId="25" xfId="0" applyNumberFormat="1" applyFont="1" applyBorder="1"/>
    <xf numFmtId="0" fontId="2" fillId="0" borderId="0" xfId="0" applyFont="1" applyFill="1" applyBorder="1" applyAlignment="1" applyProtection="1">
      <alignment horizontal="left"/>
    </xf>
    <xf numFmtId="164" fontId="40" fillId="0" borderId="35" xfId="0" applyNumberFormat="1" applyFont="1" applyBorder="1" applyAlignment="1">
      <alignment horizontal="center"/>
    </xf>
    <xf numFmtId="0" fontId="43" fillId="0" borderId="0" xfId="0" applyNumberFormat="1" applyFont="1" applyBorder="1" applyAlignment="1">
      <alignment horizontal="center"/>
    </xf>
    <xf numFmtId="1" fontId="2" fillId="0" borderId="0" xfId="0" applyNumberFormat="1" applyFont="1"/>
    <xf numFmtId="0" fontId="52" fillId="0" borderId="0" xfId="0" applyFont="1" applyBorder="1"/>
    <xf numFmtId="164" fontId="53" fillId="0" borderId="0" xfId="0" applyNumberFormat="1" applyFont="1" applyBorder="1" applyAlignment="1" applyProtection="1">
      <alignment horizontal="left"/>
    </xf>
    <xf numFmtId="164" fontId="25" fillId="0" borderId="10" xfId="0" applyNumberFormat="1" applyFont="1" applyBorder="1" applyAlignment="1" applyProtection="1">
      <alignment horizontal="left"/>
    </xf>
    <xf numFmtId="164" fontId="11" fillId="0" borderId="17" xfId="0" applyNumberFormat="1" applyFont="1" applyBorder="1" applyAlignment="1" applyProtection="1">
      <alignment horizontal="left"/>
    </xf>
    <xf numFmtId="167" fontId="0" fillId="0" borderId="0" xfId="0" applyNumberFormat="1" applyBorder="1"/>
    <xf numFmtId="164" fontId="33" fillId="0" borderId="0" xfId="0" applyNumberFormat="1" applyFont="1" applyBorder="1" applyAlignment="1" applyProtection="1">
      <alignment horizontal="left"/>
    </xf>
    <xf numFmtId="0" fontId="2" fillId="0" borderId="0" xfId="0" applyFont="1" applyAlignment="1" applyProtection="1">
      <alignment horizontal="left"/>
    </xf>
    <xf numFmtId="0" fontId="32" fillId="0" borderId="0" xfId="0" applyFont="1"/>
    <xf numFmtId="164" fontId="33" fillId="0" borderId="0" xfId="0" applyNumberFormat="1" applyFont="1" applyAlignment="1" applyProtection="1">
      <alignment horizontal="center"/>
    </xf>
    <xf numFmtId="164" fontId="41" fillId="0" borderId="32" xfId="0" applyNumberFormat="1" applyFont="1" applyBorder="1"/>
    <xf numFmtId="164" fontId="41" fillId="0" borderId="35" xfId="0" applyNumberFormat="1" applyFont="1" applyBorder="1"/>
    <xf numFmtId="164" fontId="11" fillId="0" borderId="31" xfId="0" applyNumberFormat="1" applyFont="1" applyBorder="1"/>
    <xf numFmtId="164" fontId="25" fillId="0" borderId="0" xfId="0" applyNumberFormat="1" applyFont="1" applyBorder="1"/>
    <xf numFmtId="164" fontId="33" fillId="0" borderId="37" xfId="0" applyNumberFormat="1" applyFont="1" applyBorder="1"/>
    <xf numFmtId="164" fontId="33" fillId="0" borderId="37" xfId="0" applyNumberFormat="1" applyFont="1" applyBorder="1" applyAlignment="1">
      <alignment vertical="center"/>
    </xf>
    <xf numFmtId="164" fontId="6" fillId="0" borderId="37" xfId="0" applyNumberFormat="1" applyFont="1" applyBorder="1" applyProtection="1">
      <protection locked="0"/>
    </xf>
    <xf numFmtId="2" fontId="42" fillId="0" borderId="0" xfId="0" applyNumberFormat="1" applyFont="1" applyProtection="1"/>
    <xf numFmtId="164" fontId="0" fillId="0" borderId="0" xfId="0" applyNumberFormat="1" applyBorder="1" applyAlignment="1" applyProtection="1">
      <alignment horizontal="left"/>
    </xf>
    <xf numFmtId="16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 applyProtection="1">
      <alignment horizontal="center"/>
    </xf>
    <xf numFmtId="164" fontId="58" fillId="0" borderId="0" xfId="0" applyNumberFormat="1" applyFont="1" applyBorder="1"/>
    <xf numFmtId="0" fontId="3" fillId="0" borderId="35" xfId="0" applyFont="1" applyBorder="1" applyAlignment="1" applyProtection="1">
      <alignment horizontal="left"/>
    </xf>
    <xf numFmtId="0" fontId="3" fillId="0" borderId="35" xfId="0" applyFont="1" applyBorder="1"/>
    <xf numFmtId="0" fontId="3" fillId="0" borderId="35" xfId="0" applyFont="1" applyBorder="1" applyProtection="1"/>
    <xf numFmtId="2" fontId="3" fillId="0" borderId="35" xfId="0" applyNumberFormat="1" applyFont="1" applyBorder="1" applyAlignment="1" applyProtection="1">
      <alignment horizontal="right"/>
    </xf>
    <xf numFmtId="165" fontId="58" fillId="0" borderId="0" xfId="0" applyNumberFormat="1" applyFont="1" applyBorder="1" applyProtection="1"/>
    <xf numFmtId="165" fontId="59" fillId="0" borderId="0" xfId="0" applyNumberFormat="1" applyFont="1" applyBorder="1" applyAlignment="1" applyProtection="1">
      <alignment horizontal="center" vertical="center"/>
      <protection locked="0"/>
    </xf>
    <xf numFmtId="0" fontId="54" fillId="0" borderId="0" xfId="0" applyFont="1" applyBorder="1" applyAlignment="1">
      <alignment horizontal="center"/>
    </xf>
    <xf numFmtId="165" fontId="54" fillId="0" borderId="0" xfId="0" applyNumberFormat="1" applyFont="1" applyBorder="1" applyAlignment="1">
      <alignment horizontal="center"/>
    </xf>
    <xf numFmtId="0" fontId="2" fillId="0" borderId="24" xfId="0" applyFont="1" applyBorder="1"/>
    <xf numFmtId="0" fontId="56" fillId="0" borderId="33" xfId="0" applyFont="1" applyBorder="1"/>
    <xf numFmtId="0" fontId="25" fillId="0" borderId="0" xfId="0" applyFont="1" applyBorder="1"/>
    <xf numFmtId="164" fontId="56" fillId="0" borderId="33" xfId="0" applyNumberFormat="1" applyFont="1" applyBorder="1" applyAlignment="1" applyProtection="1">
      <alignment horizontal="left"/>
    </xf>
    <xf numFmtId="164" fontId="57" fillId="0" borderId="0" xfId="0" applyNumberFormat="1" applyFont="1" applyBorder="1"/>
    <xf numFmtId="164" fontId="3" fillId="0" borderId="33" xfId="0" applyNumberFormat="1" applyFont="1" applyBorder="1" applyAlignment="1" applyProtection="1">
      <alignment horizontal="left"/>
    </xf>
    <xf numFmtId="164" fontId="24" fillId="0" borderId="0" xfId="0" applyNumberFormat="1" applyFont="1" applyBorder="1"/>
    <xf numFmtId="0" fontId="2" fillId="0" borderId="33" xfId="0" applyFont="1" applyBorder="1"/>
    <xf numFmtId="165" fontId="3" fillId="0" borderId="0" xfId="0" applyNumberFormat="1" applyFont="1" applyBorder="1" applyAlignment="1">
      <alignment horizontal="left"/>
    </xf>
    <xf numFmtId="164" fontId="25" fillId="0" borderId="25" xfId="0" applyNumberFormat="1" applyFont="1" applyBorder="1"/>
    <xf numFmtId="43" fontId="2" fillId="0" borderId="0" xfId="0" applyNumberFormat="1" applyFont="1" applyBorder="1"/>
    <xf numFmtId="164" fontId="2" fillId="0" borderId="33" xfId="0" applyNumberFormat="1" applyFont="1" applyBorder="1" applyAlignment="1" applyProtection="1">
      <alignment horizontal="left"/>
    </xf>
    <xf numFmtId="2" fontId="39" fillId="0" borderId="0" xfId="0" applyNumberFormat="1" applyFont="1" applyBorder="1" applyProtection="1">
      <protection locked="0"/>
    </xf>
    <xf numFmtId="164" fontId="25" fillId="0" borderId="0" xfId="0" applyNumberFormat="1" applyFont="1" applyBorder="1" applyAlignment="1" applyProtection="1">
      <alignment horizontal="left"/>
    </xf>
    <xf numFmtId="164" fontId="39" fillId="0" borderId="0" xfId="0" applyNumberFormat="1" applyFont="1" applyBorder="1"/>
    <xf numFmtId="164" fontId="39" fillId="0" borderId="0" xfId="0" applyNumberFormat="1" applyFont="1" applyBorder="1" applyProtection="1">
      <protection locked="0"/>
    </xf>
    <xf numFmtId="164" fontId="4" fillId="0" borderId="0" xfId="0" applyNumberFormat="1" applyFont="1" applyBorder="1" applyAlignment="1">
      <alignment horizontal="left"/>
    </xf>
    <xf numFmtId="164" fontId="2" fillId="0" borderId="34" xfId="0" applyNumberFormat="1" applyFont="1" applyBorder="1"/>
    <xf numFmtId="164" fontId="2" fillId="0" borderId="35" xfId="0" applyNumberFormat="1" applyFont="1" applyBorder="1" applyAlignment="1" applyProtection="1">
      <alignment horizontal="left"/>
    </xf>
    <xf numFmtId="164" fontId="2" fillId="0" borderId="24" xfId="0" applyNumberFormat="1" applyFont="1" applyBorder="1"/>
    <xf numFmtId="164" fontId="2" fillId="0" borderId="0" xfId="0" applyNumberFormat="1" applyFont="1" applyBorder="1" applyAlignment="1">
      <alignment horizontal="left"/>
    </xf>
    <xf numFmtId="164" fontId="4" fillId="0" borderId="0" xfId="0" applyNumberFormat="1" applyFont="1" applyBorder="1" applyAlignment="1" applyProtection="1">
      <alignment horizontal="right"/>
    </xf>
    <xf numFmtId="164" fontId="2" fillId="0" borderId="0" xfId="0" applyNumberFormat="1" applyFont="1" applyBorder="1" applyAlignment="1" applyProtection="1">
      <alignment horizontal="fill"/>
    </xf>
    <xf numFmtId="164" fontId="4" fillId="0" borderId="0" xfId="0" applyNumberFormat="1" applyFont="1" applyBorder="1"/>
    <xf numFmtId="164" fontId="4" fillId="0" borderId="0" xfId="0" applyNumberFormat="1" applyFont="1" applyBorder="1" applyAlignment="1">
      <alignment horizontal="right"/>
    </xf>
    <xf numFmtId="164" fontId="2" fillId="0" borderId="25" xfId="0" applyNumberFormat="1" applyFont="1" applyBorder="1" applyAlignment="1" applyProtection="1">
      <alignment horizontal="left"/>
    </xf>
    <xf numFmtId="164" fontId="2" fillId="0" borderId="0" xfId="0" applyNumberFormat="1" applyFont="1" applyBorder="1" applyAlignment="1" applyProtection="1">
      <alignment horizontal="right"/>
    </xf>
    <xf numFmtId="164" fontId="2" fillId="0" borderId="25" xfId="0" quotePrefix="1" applyNumberFormat="1" applyFont="1" applyBorder="1" applyAlignment="1" applyProtection="1">
      <alignment horizontal="left"/>
    </xf>
    <xf numFmtId="165" fontId="2" fillId="0" borderId="0" xfId="0" applyNumberFormat="1" applyFont="1" applyBorder="1" applyAlignment="1" applyProtection="1">
      <alignment horizontal="center"/>
    </xf>
    <xf numFmtId="164" fontId="4" fillId="0" borderId="0" xfId="0" applyNumberFormat="1" applyFont="1" applyBorder="1" applyAlignment="1" applyProtection="1">
      <alignment horizontal="center"/>
    </xf>
    <xf numFmtId="164" fontId="4" fillId="0" borderId="0" xfId="0" applyNumberFormat="1" applyFont="1" applyBorder="1" applyAlignment="1" applyProtection="1">
      <alignment horizontal="left"/>
    </xf>
    <xf numFmtId="165" fontId="2" fillId="0" borderId="0" xfId="0" applyNumberFormat="1" applyFont="1" applyBorder="1" applyProtection="1"/>
    <xf numFmtId="167" fontId="2" fillId="0" borderId="0" xfId="0" applyNumberFormat="1" applyFont="1" applyBorder="1" applyProtection="1"/>
    <xf numFmtId="167" fontId="2" fillId="0" borderId="0" xfId="0" applyNumberFormat="1" applyFont="1" applyBorder="1"/>
    <xf numFmtId="9" fontId="2" fillId="0" borderId="0" xfId="0" applyNumberFormat="1" applyFont="1" applyBorder="1" applyProtection="1"/>
    <xf numFmtId="167" fontId="2" fillId="0" borderId="25" xfId="0" applyNumberFormat="1" applyFont="1" applyBorder="1"/>
    <xf numFmtId="176" fontId="2" fillId="0" borderId="25" xfId="2" applyNumberFormat="1" applyFont="1" applyBorder="1"/>
    <xf numFmtId="10" fontId="2" fillId="0" borderId="0" xfId="2" applyNumberFormat="1" applyFont="1" applyBorder="1"/>
    <xf numFmtId="164" fontId="5" fillId="0" borderId="25" xfId="0" applyNumberFormat="1" applyFont="1" applyBorder="1" applyProtection="1">
      <protection locked="0"/>
    </xf>
    <xf numFmtId="0" fontId="2" fillId="0" borderId="0" xfId="0" quotePrefix="1" applyFont="1" applyBorder="1"/>
    <xf numFmtId="164" fontId="2" fillId="0" borderId="34" xfId="0" applyNumberFormat="1" applyFont="1" applyBorder="1" applyAlignment="1" applyProtection="1">
      <alignment horizontal="left"/>
    </xf>
    <xf numFmtId="164" fontId="5" fillId="0" borderId="0" xfId="0" applyNumberFormat="1" applyFont="1" applyBorder="1" applyAlignment="1" applyProtection="1">
      <alignment horizontal="left"/>
      <protection locked="0"/>
    </xf>
    <xf numFmtId="164" fontId="5" fillId="0" borderId="0" xfId="0" applyNumberFormat="1" applyFont="1" applyBorder="1" applyAlignment="1" applyProtection="1">
      <alignment horizontal="center"/>
      <protection locked="0"/>
    </xf>
    <xf numFmtId="164" fontId="32" fillId="0" borderId="0" xfId="0" applyNumberFormat="1" applyFont="1" applyBorder="1" applyProtection="1">
      <protection locked="0"/>
    </xf>
    <xf numFmtId="164" fontId="5" fillId="0" borderId="0" xfId="0" applyNumberFormat="1" applyFont="1" applyBorder="1" applyAlignment="1" applyProtection="1">
      <protection locked="0"/>
    </xf>
    <xf numFmtId="1" fontId="5" fillId="0" borderId="0" xfId="0" applyNumberFormat="1" applyFont="1" applyBorder="1" applyAlignment="1" applyProtection="1">
      <alignment horizontal="center"/>
      <protection locked="0"/>
    </xf>
    <xf numFmtId="164" fontId="2" fillId="0" borderId="35" xfId="0" applyNumberFormat="1" applyFont="1" applyBorder="1" applyProtection="1"/>
    <xf numFmtId="164" fontId="2" fillId="0" borderId="32" xfId="0" applyNumberFormat="1" applyFont="1" applyBorder="1" applyAlignment="1">
      <alignment horizontal="center"/>
    </xf>
    <xf numFmtId="164" fontId="2" fillId="0" borderId="32" xfId="0" applyNumberFormat="1" applyFont="1" applyBorder="1" applyAlignment="1">
      <alignment horizontal="left"/>
    </xf>
    <xf numFmtId="1" fontId="42" fillId="0" borderId="0" xfId="0" applyNumberFormat="1" applyFont="1" applyBorder="1" applyAlignment="1" applyProtection="1">
      <alignment horizontal="center"/>
    </xf>
    <xf numFmtId="164" fontId="42" fillId="0" borderId="0" xfId="0" applyNumberFormat="1" applyFont="1" applyBorder="1" applyProtection="1"/>
    <xf numFmtId="10" fontId="42" fillId="0" borderId="0" xfId="0" applyNumberFormat="1" applyFont="1" applyBorder="1" applyProtection="1"/>
    <xf numFmtId="164" fontId="42" fillId="0" borderId="0" xfId="0" applyNumberFormat="1" applyFont="1" applyBorder="1" applyProtection="1">
      <protection locked="0"/>
    </xf>
    <xf numFmtId="164" fontId="3" fillId="0" borderId="32" xfId="0" applyNumberFormat="1" applyFont="1" applyBorder="1" applyAlignment="1">
      <alignment horizontal="center"/>
    </xf>
    <xf numFmtId="164" fontId="23" fillId="0" borderId="32" xfId="0" applyNumberFormat="1" applyFont="1" applyBorder="1" applyAlignment="1">
      <alignment horizontal="center"/>
    </xf>
    <xf numFmtId="0" fontId="2" fillId="0" borderId="10" xfId="0" applyFont="1" applyBorder="1"/>
    <xf numFmtId="164" fontId="47" fillId="0" borderId="0" xfId="0" applyNumberFormat="1" applyFont="1" applyBorder="1" applyAlignment="1" applyProtection="1">
      <alignment horizontal="center"/>
      <protection locked="0"/>
    </xf>
    <xf numFmtId="164" fontId="45" fillId="0" borderId="35" xfId="0" applyNumberFormat="1" applyFont="1" applyBorder="1" applyProtection="1"/>
    <xf numFmtId="164" fontId="45" fillId="0" borderId="35" xfId="0" applyNumberFormat="1" applyFont="1" applyBorder="1"/>
    <xf numFmtId="0" fontId="2" fillId="0" borderId="0" xfId="0" applyFont="1" applyBorder="1" applyAlignment="1">
      <alignment horizontal="center"/>
    </xf>
    <xf numFmtId="2" fontId="6" fillId="0" borderId="0" xfId="0" applyNumberFormat="1" applyFont="1" applyAlignment="1" applyProtection="1">
      <alignment horizontal="center"/>
    </xf>
    <xf numFmtId="0" fontId="42" fillId="0" borderId="0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right"/>
    </xf>
    <xf numFmtId="0" fontId="41" fillId="0" borderId="0" xfId="0" applyFont="1" applyBorder="1"/>
    <xf numFmtId="2" fontId="0" fillId="0" borderId="0" xfId="0" applyNumberFormat="1" applyBorder="1" applyAlignment="1">
      <alignment horizontal="right"/>
    </xf>
    <xf numFmtId="0" fontId="61" fillId="0" borderId="0" xfId="0" applyFont="1" applyBorder="1"/>
    <xf numFmtId="2" fontId="41" fillId="0" borderId="0" xfId="0" applyNumberFormat="1" applyFont="1" applyBorder="1"/>
    <xf numFmtId="0" fontId="3" fillId="0" borderId="0" xfId="0" applyFont="1" applyBorder="1" applyAlignment="1">
      <alignment horizontal="center"/>
    </xf>
    <xf numFmtId="164" fontId="45" fillId="0" borderId="33" xfId="0" applyNumberFormat="1" applyFont="1" applyBorder="1"/>
    <xf numFmtId="2" fontId="6" fillId="0" borderId="43" xfId="0" applyNumberFormat="1" applyFont="1" applyBorder="1" applyProtection="1">
      <protection locked="0"/>
    </xf>
    <xf numFmtId="2" fontId="5" fillId="0" borderId="43" xfId="0" applyNumberFormat="1" applyFont="1" applyBorder="1" applyProtection="1">
      <protection locked="0"/>
    </xf>
    <xf numFmtId="164" fontId="3" fillId="0" borderId="35" xfId="0" applyNumberFormat="1" applyFont="1" applyBorder="1" applyAlignment="1" applyProtection="1">
      <alignment horizontal="left"/>
    </xf>
    <xf numFmtId="164" fontId="3" fillId="0" borderId="35" xfId="0" applyNumberFormat="1" applyFont="1" applyBorder="1" applyAlignment="1" applyProtection="1">
      <alignment horizontal="center"/>
    </xf>
    <xf numFmtId="2" fontId="41" fillId="0" borderId="0" xfId="0" applyNumberFormat="1" applyFont="1" applyBorder="1" applyAlignment="1">
      <alignment horizontal="center"/>
    </xf>
    <xf numFmtId="0" fontId="20" fillId="0" borderId="0" xfId="0" applyFont="1" applyBorder="1"/>
    <xf numFmtId="2" fontId="2" fillId="0" borderId="0" xfId="0" applyNumberFormat="1" applyFont="1" applyBorder="1" applyAlignment="1">
      <alignment horizontal="center"/>
    </xf>
    <xf numFmtId="173" fontId="2" fillId="0" borderId="0" xfId="0" applyNumberFormat="1" applyFont="1" applyBorder="1" applyAlignment="1">
      <alignment horizontal="center"/>
    </xf>
    <xf numFmtId="0" fontId="11" fillId="0" borderId="0" xfId="0" applyFont="1" applyBorder="1"/>
    <xf numFmtId="2" fontId="3" fillId="0" borderId="0" xfId="0" applyNumberFormat="1" applyFont="1" applyBorder="1" applyAlignment="1">
      <alignment horizontal="center"/>
    </xf>
    <xf numFmtId="164" fontId="41" fillId="0" borderId="0" xfId="0" applyNumberFormat="1" applyFont="1" applyBorder="1" applyProtection="1">
      <protection locked="0"/>
    </xf>
    <xf numFmtId="164" fontId="41" fillId="0" borderId="0" xfId="0" applyNumberFormat="1" applyFont="1"/>
    <xf numFmtId="164" fontId="64" fillId="0" borderId="0" xfId="0" applyNumberFormat="1" applyFont="1" applyBorder="1"/>
    <xf numFmtId="173" fontId="20" fillId="0" borderId="0" xfId="0" applyNumberFormat="1" applyFont="1" applyBorder="1" applyAlignment="1">
      <alignment horizontal="center"/>
    </xf>
    <xf numFmtId="164" fontId="2" fillId="0" borderId="6" xfId="0" applyNumberFormat="1" applyFont="1" applyBorder="1"/>
    <xf numFmtId="164" fontId="2" fillId="0" borderId="9" xfId="0" applyNumberFormat="1" applyFont="1" applyBorder="1"/>
    <xf numFmtId="164" fontId="45" fillId="0" borderId="34" xfId="0" applyNumberFormat="1" applyFont="1" applyBorder="1"/>
    <xf numFmtId="164" fontId="45" fillId="0" borderId="35" xfId="0" applyNumberFormat="1" applyFont="1" applyBorder="1" applyAlignment="1" applyProtection="1">
      <alignment horizontal="left"/>
    </xf>
    <xf numFmtId="164" fontId="41" fillId="0" borderId="0" xfId="0" applyNumberFormat="1" applyFont="1" applyBorder="1" applyProtection="1"/>
    <xf numFmtId="2" fontId="65" fillId="0" borderId="0" xfId="0" applyNumberFormat="1" applyFont="1" applyBorder="1" applyProtection="1"/>
    <xf numFmtId="164" fontId="53" fillId="0" borderId="0" xfId="0" applyNumberFormat="1" applyFont="1" applyBorder="1"/>
    <xf numFmtId="164" fontId="67" fillId="0" borderId="0" xfId="0" applyNumberFormat="1" applyFont="1" applyBorder="1" applyAlignment="1">
      <alignment horizontal="left" vertical="center"/>
    </xf>
    <xf numFmtId="164" fontId="53" fillId="0" borderId="0" xfId="0" applyNumberFormat="1" applyFont="1" applyBorder="1" applyAlignment="1">
      <alignment vertical="center"/>
    </xf>
    <xf numFmtId="1" fontId="53" fillId="0" borderId="0" xfId="0" applyNumberFormat="1" applyFont="1" applyBorder="1"/>
    <xf numFmtId="165" fontId="68" fillId="0" borderId="0" xfId="0" applyNumberFormat="1" applyFont="1" applyBorder="1" applyProtection="1"/>
    <xf numFmtId="2" fontId="65" fillId="0" borderId="0" xfId="0" applyNumberFormat="1" applyFont="1" applyBorder="1" applyProtection="1">
      <protection locked="0"/>
    </xf>
    <xf numFmtId="164" fontId="53" fillId="0" borderId="33" xfId="0" applyNumberFormat="1" applyFont="1" applyBorder="1"/>
    <xf numFmtId="166" fontId="69" fillId="0" borderId="0" xfId="0" applyNumberFormat="1" applyFont="1" applyBorder="1" applyProtection="1">
      <protection locked="0"/>
    </xf>
    <xf numFmtId="164" fontId="69" fillId="0" borderId="0" xfId="0" applyNumberFormat="1" applyFont="1" applyBorder="1" applyProtection="1">
      <protection locked="0"/>
    </xf>
    <xf numFmtId="166" fontId="53" fillId="0" borderId="0" xfId="0" applyNumberFormat="1" applyFont="1" applyBorder="1" applyProtection="1"/>
    <xf numFmtId="164" fontId="53" fillId="0" borderId="34" xfId="0" applyNumberFormat="1" applyFont="1" applyBorder="1"/>
    <xf numFmtId="164" fontId="53" fillId="0" borderId="35" xfId="0" applyNumberFormat="1" applyFont="1" applyBorder="1" applyAlignment="1" applyProtection="1">
      <alignment horizontal="left"/>
    </xf>
    <xf numFmtId="164" fontId="53" fillId="0" borderId="35" xfId="0" applyNumberFormat="1" applyFont="1" applyBorder="1"/>
    <xf numFmtId="166" fontId="69" fillId="0" borderId="35" xfId="0" applyNumberFormat="1" applyFont="1" applyBorder="1" applyProtection="1">
      <protection locked="0"/>
    </xf>
    <xf numFmtId="164" fontId="67" fillId="0" borderId="0" xfId="0" applyNumberFormat="1" applyFont="1" applyBorder="1" applyAlignment="1" applyProtection="1">
      <alignment horizontal="left"/>
    </xf>
    <xf numFmtId="164" fontId="70" fillId="0" borderId="0" xfId="0" applyNumberFormat="1" applyFont="1" applyBorder="1" applyAlignment="1" applyProtection="1">
      <alignment horizontal="left"/>
    </xf>
    <xf numFmtId="164" fontId="70" fillId="0" borderId="0" xfId="0" applyNumberFormat="1" applyFont="1" applyBorder="1"/>
    <xf numFmtId="0" fontId="52" fillId="0" borderId="0" xfId="0" applyFont="1"/>
    <xf numFmtId="0" fontId="53" fillId="0" borderId="0" xfId="0" applyFont="1"/>
    <xf numFmtId="0" fontId="52" fillId="0" borderId="0" xfId="0" applyFont="1" applyAlignment="1">
      <alignment horizontal="left"/>
    </xf>
    <xf numFmtId="0" fontId="52" fillId="0" borderId="0" xfId="0" applyFont="1" applyAlignment="1">
      <alignment horizontal="center"/>
    </xf>
    <xf numFmtId="0" fontId="53" fillId="0" borderId="0" xfId="0" applyFont="1" applyAlignment="1">
      <alignment horizontal="center"/>
    </xf>
    <xf numFmtId="164" fontId="52" fillId="0" borderId="0" xfId="0" applyNumberFormat="1" applyFont="1"/>
    <xf numFmtId="164" fontId="53" fillId="0" borderId="0" xfId="0" applyNumberFormat="1" applyFont="1"/>
    <xf numFmtId="164" fontId="53" fillId="0" borderId="0" xfId="0" applyNumberFormat="1" applyFont="1" applyAlignment="1">
      <alignment horizontal="left"/>
    </xf>
    <xf numFmtId="167" fontId="52" fillId="0" borderId="0" xfId="0" applyNumberFormat="1" applyFont="1"/>
    <xf numFmtId="164" fontId="71" fillId="0" borderId="7" xfId="0" applyNumberFormat="1" applyFont="1" applyBorder="1" applyAlignment="1">
      <alignment horizontal="center"/>
    </xf>
    <xf numFmtId="164" fontId="71" fillId="0" borderId="6" xfId="0" applyNumberFormat="1" applyFont="1" applyBorder="1" applyAlignment="1">
      <alignment horizontal="center"/>
    </xf>
    <xf numFmtId="164" fontId="71" fillId="0" borderId="9" xfId="0" applyNumberFormat="1" applyFont="1" applyBorder="1" applyAlignment="1">
      <alignment horizontal="center"/>
    </xf>
    <xf numFmtId="164" fontId="53" fillId="0" borderId="40" xfId="0" applyNumberFormat="1" applyFont="1" applyBorder="1" applyAlignment="1">
      <alignment horizontal="center" wrapText="1"/>
    </xf>
    <xf numFmtId="0" fontId="53" fillId="0" borderId="4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7" fontId="53" fillId="0" borderId="0" xfId="0" applyNumberFormat="1" applyFont="1"/>
    <xf numFmtId="167" fontId="53" fillId="0" borderId="0" xfId="0" applyNumberFormat="1" applyFont="1" applyAlignment="1">
      <alignment horizontal="right"/>
    </xf>
    <xf numFmtId="173" fontId="53" fillId="0" borderId="0" xfId="0" applyNumberFormat="1" applyFont="1" applyAlignment="1">
      <alignment horizontal="right" vertical="center"/>
    </xf>
    <xf numFmtId="167" fontId="53" fillId="0" borderId="0" xfId="0" applyNumberFormat="1" applyFont="1" applyBorder="1"/>
    <xf numFmtId="0" fontId="53" fillId="0" borderId="0" xfId="0" applyFont="1" applyBorder="1"/>
    <xf numFmtId="0" fontId="53" fillId="0" borderId="0" xfId="0" applyFont="1" applyFill="1" applyBorder="1"/>
    <xf numFmtId="167" fontId="53" fillId="0" borderId="0" xfId="0" applyNumberFormat="1" applyFont="1" applyBorder="1" applyAlignment="1">
      <alignment horizontal="right"/>
    </xf>
    <xf numFmtId="0" fontId="53" fillId="0" borderId="35" xfId="0" applyFont="1" applyBorder="1"/>
    <xf numFmtId="167" fontId="53" fillId="0" borderId="35" xfId="0" applyNumberFormat="1" applyFont="1" applyBorder="1" applyAlignment="1">
      <alignment horizontal="right"/>
    </xf>
    <xf numFmtId="165" fontId="66" fillId="0" borderId="42" xfId="0" applyNumberFormat="1" applyFont="1" applyBorder="1" applyAlignment="1">
      <alignment horizontal="right"/>
    </xf>
    <xf numFmtId="0" fontId="66" fillId="0" borderId="0" xfId="0" applyFont="1"/>
    <xf numFmtId="1" fontId="66" fillId="0" borderId="0" xfId="0" applyNumberFormat="1" applyFont="1"/>
    <xf numFmtId="1" fontId="66" fillId="0" borderId="0" xfId="0" applyNumberFormat="1" applyFont="1" applyAlignment="1">
      <alignment horizontal="right"/>
    </xf>
    <xf numFmtId="0" fontId="72" fillId="0" borderId="0" xfId="0" applyFont="1"/>
    <xf numFmtId="164" fontId="53" fillId="0" borderId="10" xfId="0" applyNumberFormat="1" applyFont="1" applyBorder="1"/>
    <xf numFmtId="1" fontId="52" fillId="0" borderId="35" xfId="0" applyNumberFormat="1" applyFont="1" applyBorder="1"/>
    <xf numFmtId="1" fontId="53" fillId="0" borderId="35" xfId="0" applyNumberFormat="1" applyFont="1" applyBorder="1"/>
    <xf numFmtId="165" fontId="53" fillId="0" borderId="35" xfId="0" applyNumberFormat="1" applyFont="1" applyBorder="1" applyAlignment="1">
      <alignment horizontal="right"/>
    </xf>
    <xf numFmtId="1" fontId="71" fillId="0" borderId="35" xfId="0" applyNumberFormat="1" applyFont="1" applyBorder="1"/>
    <xf numFmtId="0" fontId="71" fillId="0" borderId="35" xfId="0" applyFont="1" applyBorder="1"/>
    <xf numFmtId="164" fontId="53" fillId="0" borderId="7" xfId="0" applyNumberFormat="1" applyFont="1" applyBorder="1"/>
    <xf numFmtId="164" fontId="53" fillId="0" borderId="15" xfId="0" applyNumberFormat="1" applyFont="1" applyBorder="1"/>
    <xf numFmtId="164" fontId="53" fillId="0" borderId="16" xfId="0" applyNumberFormat="1" applyFont="1" applyBorder="1"/>
    <xf numFmtId="164" fontId="53" fillId="0" borderId="6" xfId="0" applyNumberFormat="1" applyFont="1" applyBorder="1" applyAlignment="1">
      <alignment horizontal="center"/>
    </xf>
    <xf numFmtId="164" fontId="53" fillId="0" borderId="9" xfId="0" applyNumberFormat="1" applyFont="1" applyBorder="1"/>
    <xf numFmtId="1" fontId="53" fillId="0" borderId="12" xfId="0" applyNumberFormat="1" applyFont="1" applyBorder="1" applyAlignment="1">
      <alignment horizontal="center"/>
    </xf>
    <xf numFmtId="164" fontId="53" fillId="0" borderId="23" xfId="0" applyNumberFormat="1" applyFont="1" applyBorder="1"/>
    <xf numFmtId="164" fontId="53" fillId="0" borderId="22" xfId="0" applyNumberFormat="1" applyFont="1" applyBorder="1"/>
    <xf numFmtId="1" fontId="53" fillId="0" borderId="0" xfId="0" applyNumberFormat="1" applyFont="1"/>
    <xf numFmtId="164" fontId="52" fillId="0" borderId="0" xfId="0" applyNumberFormat="1" applyFont="1" applyAlignment="1">
      <alignment horizontal="center"/>
    </xf>
    <xf numFmtId="0" fontId="53" fillId="0" borderId="0" xfId="0" applyFont="1" applyAlignment="1">
      <alignment horizontal="left"/>
    </xf>
    <xf numFmtId="164" fontId="67" fillId="0" borderId="0" xfId="0" applyNumberFormat="1" applyFont="1"/>
    <xf numFmtId="165" fontId="74" fillId="0" borderId="0" xfId="0" applyNumberFormat="1" applyFont="1"/>
    <xf numFmtId="165" fontId="53" fillId="0" borderId="0" xfId="0" applyNumberFormat="1" applyFont="1"/>
    <xf numFmtId="0" fontId="77" fillId="0" borderId="0" xfId="0" applyFont="1"/>
    <xf numFmtId="0" fontId="74" fillId="0" borderId="0" xfId="0" applyFont="1" applyAlignment="1">
      <alignment horizontal="center"/>
    </xf>
    <xf numFmtId="0" fontId="53" fillId="0" borderId="0" xfId="0" quotePrefix="1" applyFont="1" applyAlignment="1">
      <alignment horizontal="right"/>
    </xf>
    <xf numFmtId="2" fontId="53" fillId="0" borderId="0" xfId="0" applyNumberFormat="1" applyFont="1"/>
    <xf numFmtId="1" fontId="52" fillId="0" borderId="12" xfId="0" applyNumberFormat="1" applyFont="1" applyBorder="1" applyAlignment="1">
      <alignment horizontal="center"/>
    </xf>
    <xf numFmtId="1" fontId="52" fillId="0" borderId="0" xfId="0" applyNumberFormat="1" applyFont="1" applyBorder="1" applyAlignment="1">
      <alignment horizontal="center"/>
    </xf>
    <xf numFmtId="0" fontId="53" fillId="0" borderId="0" xfId="0" applyFont="1" applyFill="1" applyBorder="1" applyAlignment="1">
      <alignment horizontal="left"/>
    </xf>
    <xf numFmtId="167" fontId="53" fillId="0" borderId="0" xfId="0" applyNumberFormat="1" applyFont="1" applyFill="1" applyBorder="1"/>
    <xf numFmtId="173" fontId="0" fillId="0" borderId="35" xfId="0" applyNumberFormat="1" applyBorder="1"/>
    <xf numFmtId="164" fontId="52" fillId="0" borderId="12" xfId="0" applyNumberFormat="1" applyFont="1" applyBorder="1" applyAlignment="1">
      <alignment horizontal="center"/>
    </xf>
    <xf numFmtId="164" fontId="2" fillId="0" borderId="0" xfId="0" applyNumberFormat="1" applyFont="1" applyFill="1" applyBorder="1"/>
    <xf numFmtId="165" fontId="2" fillId="0" borderId="35" xfId="0" applyNumberFormat="1" applyFont="1" applyBorder="1" applyProtection="1"/>
    <xf numFmtId="0" fontId="48" fillId="0" borderId="12" xfId="0" applyFont="1" applyBorder="1"/>
    <xf numFmtId="2" fontId="42" fillId="0" borderId="0" xfId="0" applyNumberFormat="1" applyFont="1"/>
    <xf numFmtId="164" fontId="52" fillId="0" borderId="31" xfId="0" applyNumberFormat="1" applyFont="1" applyBorder="1" applyAlignment="1" applyProtection="1"/>
    <xf numFmtId="164" fontId="53" fillId="0" borderId="32" xfId="0" applyNumberFormat="1" applyFont="1" applyBorder="1"/>
    <xf numFmtId="164" fontId="52" fillId="0" borderId="32" xfId="0" applyNumberFormat="1" applyFont="1" applyBorder="1"/>
    <xf numFmtId="164" fontId="53" fillId="0" borderId="24" xfId="0" applyNumberFormat="1" applyFont="1" applyBorder="1"/>
    <xf numFmtId="164" fontId="52" fillId="0" borderId="33" xfId="0" applyNumberFormat="1" applyFont="1" applyBorder="1"/>
    <xf numFmtId="164" fontId="52" fillId="0" borderId="0" xfId="0" applyNumberFormat="1" applyFont="1" applyBorder="1" applyAlignment="1" applyProtection="1"/>
    <xf numFmtId="164" fontId="52" fillId="0" borderId="0" xfId="0" applyNumberFormat="1" applyFont="1" applyBorder="1"/>
    <xf numFmtId="164" fontId="53" fillId="0" borderId="25" xfId="0" applyNumberFormat="1" applyFont="1" applyBorder="1"/>
    <xf numFmtId="164" fontId="53" fillId="0" borderId="0" xfId="0" applyNumberFormat="1" applyFont="1" applyBorder="1" applyAlignment="1">
      <alignment horizontal="right"/>
    </xf>
    <xf numFmtId="164" fontId="53" fillId="0" borderId="33" xfId="0" applyNumberFormat="1" applyFont="1" applyBorder="1" applyAlignment="1" applyProtection="1">
      <alignment horizontal="left"/>
    </xf>
    <xf numFmtId="165" fontId="53" fillId="0" borderId="0" xfId="0" applyNumberFormat="1" applyFont="1" applyBorder="1" applyAlignment="1">
      <alignment horizontal="center"/>
    </xf>
    <xf numFmtId="2" fontId="69" fillId="0" borderId="0" xfId="0" applyNumberFormat="1" applyFont="1" applyBorder="1" applyProtection="1"/>
    <xf numFmtId="2" fontId="52" fillId="0" borderId="0" xfId="0" applyNumberFormat="1" applyFont="1" applyBorder="1" applyProtection="1"/>
    <xf numFmtId="164" fontId="53" fillId="0" borderId="0" xfId="0" quotePrefix="1" applyNumberFormat="1" applyFont="1" applyBorder="1"/>
    <xf numFmtId="164" fontId="70" fillId="0" borderId="0" xfId="0" applyNumberFormat="1" applyFont="1" applyBorder="1" applyAlignment="1">
      <alignment vertical="center"/>
    </xf>
    <xf numFmtId="164" fontId="70" fillId="0" borderId="25" xfId="0" applyNumberFormat="1" applyFont="1" applyBorder="1"/>
    <xf numFmtId="2" fontId="53" fillId="0" borderId="0" xfId="0" applyNumberFormat="1" applyFont="1" applyBorder="1" applyAlignment="1" applyProtection="1">
      <alignment horizontal="right"/>
    </xf>
    <xf numFmtId="164" fontId="53" fillId="0" borderId="0" xfId="0" applyNumberFormat="1" applyFont="1" applyBorder="1" applyProtection="1">
      <protection locked="0"/>
    </xf>
    <xf numFmtId="0" fontId="53" fillId="0" borderId="0" xfId="0" applyNumberFormat="1" applyFont="1" applyBorder="1" applyAlignment="1" applyProtection="1">
      <alignment vertical="top"/>
      <protection locked="0"/>
    </xf>
    <xf numFmtId="164" fontId="53" fillId="0" borderId="0" xfId="0" applyNumberFormat="1" applyFont="1" applyBorder="1" applyProtection="1"/>
    <xf numFmtId="164" fontId="79" fillId="0" borderId="33" xfId="0" applyNumberFormat="1" applyFont="1" applyBorder="1"/>
    <xf numFmtId="164" fontId="79" fillId="0" borderId="0" xfId="0" applyNumberFormat="1" applyFont="1" applyBorder="1"/>
    <xf numFmtId="164" fontId="79" fillId="0" borderId="25" xfId="0" applyNumberFormat="1" applyFont="1" applyBorder="1"/>
    <xf numFmtId="165" fontId="53" fillId="0" borderId="0" xfId="0" applyNumberFormat="1" applyFont="1" applyBorder="1"/>
    <xf numFmtId="165" fontId="53" fillId="0" borderId="25" xfId="0" applyNumberFormat="1" applyFont="1" applyBorder="1"/>
    <xf numFmtId="165" fontId="69" fillId="0" borderId="0" xfId="0" applyNumberFormat="1" applyFont="1" applyBorder="1" applyProtection="1"/>
    <xf numFmtId="165" fontId="69" fillId="0" borderId="0" xfId="0" applyNumberFormat="1" applyFont="1" applyBorder="1" applyProtection="1">
      <protection locked="0"/>
    </xf>
    <xf numFmtId="165" fontId="66" fillId="0" borderId="25" xfId="0" applyNumberFormat="1" applyFont="1" applyBorder="1" applyAlignment="1">
      <alignment horizontal="center"/>
    </xf>
    <xf numFmtId="164" fontId="52" fillId="0" borderId="0" xfId="0" applyNumberFormat="1" applyFont="1" applyBorder="1" applyAlignment="1" applyProtection="1">
      <alignment horizontal="left"/>
    </xf>
    <xf numFmtId="3" fontId="53" fillId="0" borderId="0" xfId="0" applyNumberFormat="1" applyFont="1" applyBorder="1"/>
    <xf numFmtId="164" fontId="53" fillId="0" borderId="0" xfId="0" quotePrefix="1" applyNumberFormat="1" applyFont="1" applyBorder="1" applyAlignment="1" applyProtection="1">
      <alignment horizontal="left"/>
    </xf>
    <xf numFmtId="165" fontId="53" fillId="0" borderId="0" xfId="0" applyNumberFormat="1" applyFont="1" applyBorder="1" applyProtection="1"/>
    <xf numFmtId="164" fontId="53" fillId="0" borderId="0" xfId="0" applyNumberFormat="1" applyFont="1" applyBorder="1" applyAlignment="1" applyProtection="1">
      <alignment horizontal="fill"/>
    </xf>
    <xf numFmtId="0" fontId="53" fillId="0" borderId="0" xfId="0" applyNumberFormat="1" applyFont="1" applyBorder="1" applyAlignment="1" applyProtection="1">
      <alignment horizontal="left"/>
    </xf>
    <xf numFmtId="49" fontId="53" fillId="0" borderId="0" xfId="0" applyNumberFormat="1" applyFont="1" applyBorder="1" applyAlignment="1" applyProtection="1"/>
    <xf numFmtId="165" fontId="53" fillId="0" borderId="0" xfId="0" applyNumberFormat="1" applyFont="1" applyBorder="1" applyAlignment="1" applyProtection="1">
      <alignment horizontal="right"/>
    </xf>
    <xf numFmtId="164" fontId="53" fillId="0" borderId="34" xfId="0" applyNumberFormat="1" applyFont="1" applyBorder="1" applyAlignment="1" applyProtection="1">
      <alignment horizontal="left"/>
    </xf>
    <xf numFmtId="164" fontId="53" fillId="0" borderId="35" xfId="0" applyNumberFormat="1" applyFont="1" applyBorder="1" applyProtection="1"/>
    <xf numFmtId="164" fontId="52" fillId="0" borderId="35" xfId="0" applyNumberFormat="1" applyFont="1" applyBorder="1" applyAlignment="1">
      <alignment horizontal="center"/>
    </xf>
    <xf numFmtId="164" fontId="52" fillId="0" borderId="36" xfId="0" applyNumberFormat="1" applyFont="1" applyBorder="1"/>
    <xf numFmtId="164" fontId="53" fillId="0" borderId="31" xfId="0" applyNumberFormat="1" applyFont="1" applyBorder="1" applyAlignment="1" applyProtection="1">
      <alignment horizontal="left"/>
    </xf>
    <xf numFmtId="164" fontId="53" fillId="0" borderId="32" xfId="0" applyNumberFormat="1" applyFont="1" applyBorder="1" applyProtection="1"/>
    <xf numFmtId="164" fontId="52" fillId="0" borderId="31" xfId="0" applyNumberFormat="1" applyFont="1" applyBorder="1" applyAlignment="1" applyProtection="1">
      <alignment horizontal="left"/>
    </xf>
    <xf numFmtId="164" fontId="53" fillId="0" borderId="25" xfId="0" applyNumberFormat="1" applyFont="1" applyBorder="1" applyAlignment="1" applyProtection="1">
      <alignment horizontal="left"/>
    </xf>
    <xf numFmtId="166" fontId="53" fillId="0" borderId="0" xfId="0" applyNumberFormat="1" applyFont="1" applyBorder="1" applyProtection="1">
      <protection locked="0"/>
    </xf>
    <xf numFmtId="164" fontId="53" fillId="0" borderId="31" xfId="0" applyNumberFormat="1" applyFont="1" applyBorder="1"/>
    <xf numFmtId="164" fontId="52" fillId="0" borderId="32" xfId="0" applyNumberFormat="1" applyFont="1" applyBorder="1" applyAlignment="1" applyProtection="1">
      <alignment horizontal="left"/>
    </xf>
    <xf numFmtId="9" fontId="53" fillId="0" borderId="0" xfId="2" applyFont="1" applyBorder="1" applyAlignment="1" applyProtection="1">
      <alignment horizontal="left"/>
    </xf>
    <xf numFmtId="164" fontId="80" fillId="0" borderId="0" xfId="0" applyNumberFormat="1" applyFont="1" applyBorder="1"/>
    <xf numFmtId="164" fontId="53" fillId="0" borderId="32" xfId="0" applyNumberFormat="1" applyFont="1" applyBorder="1" applyAlignment="1" applyProtection="1">
      <alignment horizontal="left"/>
    </xf>
    <xf numFmtId="165" fontId="69" fillId="0" borderId="32" xfId="0" applyNumberFormat="1" applyFont="1" applyBorder="1" applyProtection="1">
      <protection locked="0"/>
    </xf>
    <xf numFmtId="164" fontId="52" fillId="0" borderId="17" xfId="0" applyNumberFormat="1" applyFont="1" applyBorder="1" applyAlignment="1">
      <alignment horizontal="center"/>
    </xf>
    <xf numFmtId="165" fontId="53" fillId="0" borderId="25" xfId="0" applyNumberFormat="1" applyFont="1" applyBorder="1" applyAlignment="1" applyProtection="1">
      <alignment horizontal="left"/>
    </xf>
    <xf numFmtId="164" fontId="53" fillId="0" borderId="0" xfId="0" applyNumberFormat="1" applyFont="1" applyBorder="1" applyAlignment="1" applyProtection="1">
      <alignment horizontal="right"/>
    </xf>
    <xf numFmtId="165" fontId="53" fillId="0" borderId="0" xfId="0" applyNumberFormat="1" applyFont="1" applyBorder="1" applyAlignment="1" applyProtection="1">
      <alignment horizontal="left"/>
    </xf>
    <xf numFmtId="164" fontId="52" fillId="0" borderId="37" xfId="0" applyNumberFormat="1" applyFont="1" applyBorder="1" applyAlignment="1">
      <alignment horizontal="center"/>
    </xf>
    <xf numFmtId="164" fontId="4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4" fontId="47" fillId="0" borderId="0" xfId="0" applyNumberFormat="1" applyFont="1" applyBorder="1" applyAlignment="1" applyProtection="1">
      <alignment horizontal="left"/>
      <protection locked="0"/>
    </xf>
    <xf numFmtId="174" fontId="53" fillId="0" borderId="0" xfId="0" applyNumberFormat="1" applyFont="1" applyBorder="1" applyAlignment="1" applyProtection="1">
      <alignment horizontal="right"/>
    </xf>
    <xf numFmtId="1" fontId="46" fillId="0" borderId="0" xfId="0" applyNumberFormat="1" applyFont="1"/>
    <xf numFmtId="165" fontId="41" fillId="0" borderId="0" xfId="0" applyNumberFormat="1" applyFont="1" applyBorder="1"/>
    <xf numFmtId="10" fontId="6" fillId="0" borderId="0" xfId="2" applyNumberFormat="1" applyFont="1" applyBorder="1"/>
    <xf numFmtId="166" fontId="6" fillId="0" borderId="0" xfId="0" applyNumberFormat="1" applyFont="1" applyBorder="1" applyProtection="1"/>
    <xf numFmtId="11" fontId="6" fillId="0" borderId="0" xfId="0" applyNumberFormat="1" applyFont="1" applyBorder="1" applyProtection="1"/>
    <xf numFmtId="166" fontId="6" fillId="0" borderId="35" xfId="0" applyNumberFormat="1" applyFont="1" applyBorder="1" applyProtection="1"/>
    <xf numFmtId="164" fontId="7" fillId="0" borderId="33" xfId="0" applyNumberFormat="1" applyFont="1" applyBorder="1" applyAlignment="1" applyProtection="1">
      <alignment horizontal="left"/>
    </xf>
    <xf numFmtId="164" fontId="17" fillId="0" borderId="33" xfId="0" quotePrefix="1" applyNumberFormat="1" applyFont="1" applyBorder="1" applyAlignment="1" applyProtection="1">
      <alignment horizontal="left"/>
    </xf>
    <xf numFmtId="164" fontId="6" fillId="0" borderId="34" xfId="0" applyNumberFormat="1" applyFont="1" applyBorder="1" applyAlignment="1" applyProtection="1">
      <alignment horizontal="left"/>
    </xf>
    <xf numFmtId="164" fontId="70" fillId="0" borderId="0" xfId="0" applyNumberFormat="1" applyFont="1" applyBorder="1" applyProtection="1"/>
    <xf numFmtId="2" fontId="81" fillId="0" borderId="0" xfId="0" applyNumberFormat="1" applyFont="1" applyBorder="1" applyAlignment="1">
      <alignment horizontal="center"/>
    </xf>
    <xf numFmtId="2" fontId="81" fillId="0" borderId="0" xfId="0" applyNumberFormat="1" applyFont="1" applyFill="1" applyBorder="1" applyAlignment="1">
      <alignment horizontal="center"/>
    </xf>
    <xf numFmtId="0" fontId="4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Border="1" applyAlignment="1">
      <alignment horizontal="left"/>
    </xf>
    <xf numFmtId="2" fontId="0" fillId="0" borderId="0" xfId="0" applyNumberFormat="1" applyFill="1" applyBorder="1" applyAlignment="1">
      <alignment horizontal="right"/>
    </xf>
    <xf numFmtId="2" fontId="2" fillId="0" borderId="0" xfId="0" applyNumberFormat="1" applyFont="1" applyFill="1" applyBorder="1"/>
    <xf numFmtId="2" fontId="0" fillId="0" borderId="0" xfId="0" applyNumberFormat="1" applyBorder="1"/>
    <xf numFmtId="2" fontId="3" fillId="0" borderId="0" xfId="0" applyNumberFormat="1" applyFont="1" applyBorder="1"/>
    <xf numFmtId="2" fontId="3" fillId="0" borderId="0" xfId="0" applyNumberFormat="1" applyFont="1" applyFill="1" applyBorder="1"/>
    <xf numFmtId="2" fontId="51" fillId="0" borderId="0" xfId="0" applyNumberFormat="1" applyFont="1" applyBorder="1"/>
    <xf numFmtId="167" fontId="0" fillId="0" borderId="0" xfId="0" applyNumberFormat="1" applyBorder="1" applyProtection="1"/>
    <xf numFmtId="166" fontId="0" fillId="0" borderId="0" xfId="0" applyNumberFormat="1" applyBorder="1" applyProtection="1"/>
    <xf numFmtId="164" fontId="0" fillId="0" borderId="36" xfId="0" applyNumberFormat="1" applyBorder="1"/>
    <xf numFmtId="2" fontId="70" fillId="0" borderId="0" xfId="0" applyNumberFormat="1" applyFont="1" applyBorder="1" applyProtection="1">
      <protection locked="0"/>
    </xf>
    <xf numFmtId="2" fontId="53" fillId="0" borderId="0" xfId="0" applyNumberFormat="1" applyFont="1" applyBorder="1"/>
    <xf numFmtId="2" fontId="69" fillId="0" borderId="0" xfId="0" applyNumberFormat="1" applyFont="1" applyBorder="1"/>
    <xf numFmtId="2" fontId="69" fillId="0" borderId="0" xfId="0" applyNumberFormat="1" applyFont="1" applyBorder="1" applyAlignment="1" applyProtection="1">
      <alignment horizontal="center"/>
      <protection locked="0"/>
    </xf>
    <xf numFmtId="2" fontId="82" fillId="0" borderId="0" xfId="0" applyNumberFormat="1" applyFont="1" applyBorder="1" applyProtection="1"/>
    <xf numFmtId="1" fontId="69" fillId="0" borderId="0" xfId="0" applyNumberFormat="1" applyFont="1" applyBorder="1" applyProtection="1">
      <protection locked="0"/>
    </xf>
    <xf numFmtId="1" fontId="69" fillId="0" borderId="0" xfId="0" applyNumberFormat="1" applyFont="1" applyBorder="1" applyProtection="1"/>
    <xf numFmtId="1" fontId="83" fillId="0" borderId="0" xfId="0" applyNumberFormat="1" applyFont="1" applyBorder="1" applyProtection="1"/>
    <xf numFmtId="1" fontId="82" fillId="0" borderId="0" xfId="0" applyNumberFormat="1" applyFont="1" applyBorder="1" applyProtection="1">
      <protection locked="0"/>
    </xf>
    <xf numFmtId="164" fontId="53" fillId="0" borderId="0" xfId="0" applyNumberFormat="1" applyFont="1" applyBorder="1" applyAlignment="1" applyProtection="1">
      <alignment horizontal="left"/>
    </xf>
    <xf numFmtId="164" fontId="52" fillId="0" borderId="0" xfId="0" applyNumberFormat="1" applyFont="1" applyBorder="1" applyAlignment="1">
      <alignment horizontal="center"/>
    </xf>
    <xf numFmtId="165" fontId="70" fillId="0" borderId="0" xfId="0" applyNumberFormat="1" applyFont="1" applyBorder="1" applyProtection="1"/>
    <xf numFmtId="165" fontId="79" fillId="0" borderId="0" xfId="0" applyNumberFormat="1" applyFont="1" applyBorder="1" applyProtection="1"/>
    <xf numFmtId="165" fontId="79" fillId="0" borderId="0" xfId="0" applyNumberFormat="1" applyFont="1" applyBorder="1"/>
    <xf numFmtId="164" fontId="52" fillId="0" borderId="0" xfId="0" applyNumberFormat="1" applyFont="1" applyBorder="1" applyProtection="1">
      <protection locked="0"/>
    </xf>
    <xf numFmtId="164" fontId="69" fillId="0" borderId="0" xfId="0" applyNumberFormat="1" applyFont="1" applyProtection="1">
      <protection locked="0"/>
    </xf>
    <xf numFmtId="164" fontId="53" fillId="0" borderId="0" xfId="0" applyNumberFormat="1" applyFont="1" applyAlignment="1" applyProtection="1">
      <alignment horizontal="left"/>
    </xf>
    <xf numFmtId="164" fontId="69" fillId="0" borderId="0" xfId="0" applyNumberFormat="1" applyFont="1" applyAlignment="1" applyProtection="1">
      <alignment horizontal="left"/>
      <protection locked="0"/>
    </xf>
    <xf numFmtId="165" fontId="65" fillId="0" borderId="0" xfId="0" applyNumberFormat="1" applyFont="1" applyBorder="1" applyProtection="1"/>
    <xf numFmtId="164" fontId="52" fillId="0" borderId="36" xfId="0" applyNumberFormat="1" applyFont="1" applyBorder="1" applyAlignment="1">
      <alignment horizontal="center"/>
    </xf>
    <xf numFmtId="164" fontId="53" fillId="0" borderId="0" xfId="0" applyNumberFormat="1" applyFont="1" applyProtection="1"/>
    <xf numFmtId="164" fontId="53" fillId="0" borderId="0" xfId="0" applyNumberFormat="1" applyFont="1" applyAlignment="1" applyProtection="1">
      <alignment horizontal="fill"/>
    </xf>
    <xf numFmtId="164" fontId="53" fillId="0" borderId="0" xfId="0" quotePrefix="1" applyNumberFormat="1" applyFont="1" applyAlignment="1" applyProtection="1">
      <alignment horizontal="left"/>
    </xf>
    <xf numFmtId="165" fontId="53" fillId="0" borderId="0" xfId="0" applyNumberFormat="1" applyFont="1" applyProtection="1"/>
    <xf numFmtId="167" fontId="53" fillId="0" borderId="0" xfId="0" applyNumberFormat="1" applyFont="1" applyProtection="1"/>
    <xf numFmtId="166" fontId="53" fillId="0" borderId="0" xfId="0" applyNumberFormat="1" applyFont="1" applyProtection="1"/>
    <xf numFmtId="164" fontId="53" fillId="0" borderId="0" xfId="0" quotePrefix="1" applyNumberFormat="1" applyFont="1"/>
    <xf numFmtId="164" fontId="53" fillId="0" borderId="15" xfId="0" applyNumberFormat="1" applyFont="1" applyBorder="1" applyAlignment="1" applyProtection="1">
      <alignment horizontal="left"/>
    </xf>
    <xf numFmtId="164" fontId="53" fillId="0" borderId="18" xfId="0" applyNumberFormat="1" applyFont="1" applyBorder="1"/>
    <xf numFmtId="164" fontId="53" fillId="0" borderId="20" xfId="0" applyNumberFormat="1" applyFont="1" applyBorder="1"/>
    <xf numFmtId="164" fontId="53" fillId="0" borderId="9" xfId="0" applyNumberFormat="1" applyFont="1" applyBorder="1" applyAlignment="1" applyProtection="1">
      <alignment horizontal="left"/>
    </xf>
    <xf numFmtId="164" fontId="53" fillId="0" borderId="19" xfId="0" applyNumberFormat="1" applyFont="1" applyBorder="1" applyAlignment="1" applyProtection="1">
      <alignment horizontal="left"/>
    </xf>
    <xf numFmtId="164" fontId="53" fillId="0" borderId="19" xfId="0" applyNumberFormat="1" applyFont="1" applyBorder="1"/>
    <xf numFmtId="165" fontId="53" fillId="0" borderId="19" xfId="0" applyNumberFormat="1" applyFont="1" applyBorder="1" applyProtection="1"/>
    <xf numFmtId="164" fontId="53" fillId="0" borderId="19" xfId="0" applyNumberFormat="1" applyFont="1" applyBorder="1" applyProtection="1"/>
    <xf numFmtId="164" fontId="53" fillId="0" borderId="30" xfId="0" applyNumberFormat="1" applyFont="1" applyBorder="1" applyAlignment="1" applyProtection="1">
      <alignment horizontal="left"/>
    </xf>
    <xf numFmtId="164" fontId="53" fillId="0" borderId="30" xfId="0" applyNumberFormat="1" applyFont="1" applyBorder="1"/>
    <xf numFmtId="164" fontId="53" fillId="0" borderId="30" xfId="0" applyNumberFormat="1" applyFont="1" applyBorder="1" applyProtection="1"/>
    <xf numFmtId="167" fontId="69" fillId="0" borderId="0" xfId="0" applyNumberFormat="1" applyFont="1" applyProtection="1">
      <protection locked="0"/>
    </xf>
    <xf numFmtId="164" fontId="80" fillId="0" borderId="0" xfId="0" applyNumberFormat="1" applyFont="1" applyProtection="1"/>
    <xf numFmtId="168" fontId="69" fillId="0" borderId="0" xfId="0" applyNumberFormat="1" applyFont="1" applyProtection="1">
      <protection locked="0"/>
    </xf>
    <xf numFmtId="168" fontId="53" fillId="0" borderId="0" xfId="0" applyNumberFormat="1" applyFont="1" applyProtection="1"/>
    <xf numFmtId="164" fontId="53" fillId="0" borderId="23" xfId="0" applyNumberFormat="1" applyFont="1" applyBorder="1" applyAlignment="1" applyProtection="1"/>
    <xf numFmtId="164" fontId="53" fillId="0" borderId="21" xfId="0" applyNumberFormat="1" applyFont="1" applyBorder="1" applyAlignment="1" applyProtection="1"/>
    <xf numFmtId="164" fontId="53" fillId="0" borderId="22" xfId="0" applyNumberFormat="1" applyFont="1" applyBorder="1" applyAlignment="1" applyProtection="1"/>
    <xf numFmtId="164" fontId="53" fillId="0" borderId="15" xfId="0" applyNumberFormat="1" applyFont="1" applyBorder="1" applyProtection="1"/>
    <xf numFmtId="168" fontId="53" fillId="0" borderId="14" xfId="0" applyNumberFormat="1" applyFont="1" applyBorder="1" applyProtection="1"/>
    <xf numFmtId="168" fontId="53" fillId="0" borderId="16" xfId="0" applyNumberFormat="1" applyFont="1" applyBorder="1" applyProtection="1"/>
    <xf numFmtId="164" fontId="53" fillId="0" borderId="10" xfId="0" applyNumberFormat="1" applyFont="1" applyBorder="1" applyProtection="1"/>
    <xf numFmtId="168" fontId="53" fillId="0" borderId="0" xfId="0" applyNumberFormat="1" applyFont="1" applyBorder="1" applyProtection="1"/>
    <xf numFmtId="168" fontId="53" fillId="0" borderId="17" xfId="0" applyNumberFormat="1" applyFont="1" applyBorder="1" applyProtection="1"/>
    <xf numFmtId="164" fontId="53" fillId="0" borderId="18" xfId="0" applyNumberFormat="1" applyFont="1" applyBorder="1" applyProtection="1"/>
    <xf numFmtId="168" fontId="53" fillId="0" borderId="19" xfId="0" applyNumberFormat="1" applyFont="1" applyBorder="1" applyProtection="1"/>
    <xf numFmtId="168" fontId="53" fillId="0" borderId="20" xfId="0" applyNumberFormat="1" applyFont="1" applyBorder="1" applyProtection="1"/>
    <xf numFmtId="164" fontId="53" fillId="0" borderId="0" xfId="0" applyNumberFormat="1" applyFont="1" applyAlignment="1" applyProtection="1"/>
    <xf numFmtId="164" fontId="70" fillId="0" borderId="0" xfId="0" applyNumberFormat="1" applyFont="1" applyProtection="1"/>
    <xf numFmtId="164" fontId="66" fillId="0" borderId="0" xfId="0" applyNumberFormat="1" applyFont="1" applyAlignment="1" applyProtection="1">
      <alignment horizontal="left"/>
    </xf>
    <xf numFmtId="165" fontId="66" fillId="0" borderId="0" xfId="0" applyNumberFormat="1" applyFont="1" applyProtection="1"/>
    <xf numFmtId="164" fontId="66" fillId="0" borderId="0" xfId="0" applyNumberFormat="1" applyFont="1"/>
    <xf numFmtId="164" fontId="66" fillId="0" borderId="0" xfId="0" applyNumberFormat="1" applyFont="1" applyProtection="1"/>
    <xf numFmtId="164" fontId="66" fillId="0" borderId="0" xfId="0" applyNumberFormat="1" applyFont="1" applyAlignment="1">
      <alignment horizontal="center"/>
    </xf>
    <xf numFmtId="164" fontId="70" fillId="0" borderId="0" xfId="0" applyNumberFormat="1" applyFont="1"/>
    <xf numFmtId="164" fontId="71" fillId="0" borderId="0" xfId="0" applyNumberFormat="1" applyFont="1" applyAlignment="1">
      <alignment horizontal="center"/>
    </xf>
    <xf numFmtId="165" fontId="71" fillId="0" borderId="0" xfId="0" applyNumberFormat="1" applyFont="1"/>
    <xf numFmtId="164" fontId="71" fillId="0" borderId="0" xfId="0" applyNumberFormat="1" applyFont="1" applyAlignment="1" applyProtection="1">
      <alignment horizontal="left"/>
    </xf>
    <xf numFmtId="164" fontId="71" fillId="0" borderId="0" xfId="0" applyNumberFormat="1" applyFont="1"/>
    <xf numFmtId="164" fontId="53" fillId="0" borderId="15" xfId="0" applyNumberFormat="1" applyFont="1" applyBorder="1" applyAlignment="1" applyProtection="1"/>
    <xf numFmtId="164" fontId="53" fillId="0" borderId="14" xfId="0" applyNumberFormat="1" applyFont="1" applyBorder="1" applyAlignment="1" applyProtection="1"/>
    <xf numFmtId="164" fontId="53" fillId="0" borderId="16" xfId="0" applyNumberFormat="1" applyFont="1" applyBorder="1" applyAlignment="1" applyProtection="1"/>
    <xf numFmtId="164" fontId="53" fillId="0" borderId="0" xfId="0" applyNumberFormat="1" applyFont="1" applyAlignment="1" applyProtection="1">
      <alignment horizontal="center"/>
    </xf>
    <xf numFmtId="164" fontId="84" fillId="0" borderId="0" xfId="0" applyNumberFormat="1" applyFont="1" applyAlignment="1" applyProtection="1">
      <alignment horizontal="left"/>
    </xf>
    <xf numFmtId="164" fontId="78" fillId="0" borderId="0" xfId="0" applyNumberFormat="1" applyFont="1" applyAlignment="1" applyProtection="1">
      <alignment horizontal="left"/>
    </xf>
    <xf numFmtId="165" fontId="78" fillId="0" borderId="0" xfId="0" applyNumberFormat="1" applyFont="1" applyProtection="1"/>
    <xf numFmtId="164" fontId="78" fillId="0" borderId="0" xfId="0" applyNumberFormat="1" applyFont="1"/>
    <xf numFmtId="164" fontId="53" fillId="0" borderId="31" xfId="0" applyNumberFormat="1" applyFont="1" applyBorder="1" applyProtection="1"/>
    <xf numFmtId="165" fontId="53" fillId="0" borderId="25" xfId="0" applyNumberFormat="1" applyFont="1" applyBorder="1" applyProtection="1"/>
    <xf numFmtId="165" fontId="53" fillId="0" borderId="38" xfId="0" applyNumberFormat="1" applyFont="1" applyBorder="1" applyProtection="1"/>
    <xf numFmtId="165" fontId="52" fillId="0" borderId="36" xfId="0" applyNumberFormat="1" applyFont="1" applyBorder="1" applyAlignment="1" applyProtection="1">
      <alignment horizontal="center"/>
    </xf>
    <xf numFmtId="164" fontId="53" fillId="0" borderId="33" xfId="0" applyNumberFormat="1" applyFont="1" applyBorder="1" applyProtection="1"/>
    <xf numFmtId="164" fontId="53" fillId="0" borderId="25" xfId="0" applyNumberFormat="1" applyFont="1" applyBorder="1" applyAlignment="1" applyProtection="1">
      <alignment horizontal="fill"/>
    </xf>
    <xf numFmtId="164" fontId="53" fillId="0" borderId="12" xfId="0" applyNumberFormat="1" applyFont="1" applyBorder="1" applyAlignment="1" applyProtection="1">
      <alignment horizontal="left"/>
    </xf>
    <xf numFmtId="164" fontId="53" fillId="0" borderId="12" xfId="0" applyNumberFormat="1" applyFont="1" applyBorder="1"/>
    <xf numFmtId="164" fontId="53" fillId="0" borderId="39" xfId="0" applyNumberFormat="1" applyFont="1" applyBorder="1"/>
    <xf numFmtId="164" fontId="53" fillId="0" borderId="12" xfId="0" applyNumberFormat="1" applyFont="1" applyBorder="1" applyAlignment="1" applyProtection="1">
      <alignment horizontal="fill"/>
    </xf>
    <xf numFmtId="164" fontId="53" fillId="0" borderId="39" xfId="0" applyNumberFormat="1" applyFont="1" applyBorder="1" applyAlignment="1" applyProtection="1">
      <alignment horizontal="fill"/>
    </xf>
    <xf numFmtId="165" fontId="53" fillId="0" borderId="12" xfId="0" applyNumberFormat="1" applyFont="1" applyBorder="1" applyProtection="1"/>
    <xf numFmtId="165" fontId="53" fillId="0" borderId="39" xfId="0" applyNumberFormat="1" applyFont="1" applyBorder="1" applyProtection="1"/>
    <xf numFmtId="165" fontId="71" fillId="0" borderId="12" xfId="0" applyNumberFormat="1" applyFont="1" applyBorder="1" applyProtection="1"/>
    <xf numFmtId="165" fontId="71" fillId="0" borderId="39" xfId="0" applyNumberFormat="1" applyFont="1" applyBorder="1" applyProtection="1"/>
    <xf numFmtId="164" fontId="53" fillId="0" borderId="39" xfId="0" applyNumberFormat="1" applyFont="1" applyBorder="1" applyAlignment="1" applyProtection="1">
      <alignment horizontal="left"/>
    </xf>
    <xf numFmtId="165" fontId="53" fillId="0" borderId="0" xfId="0" applyNumberFormat="1" applyFont="1" applyAlignment="1" applyProtection="1">
      <alignment horizontal="left"/>
    </xf>
    <xf numFmtId="164" fontId="83" fillId="0" borderId="39" xfId="0" applyNumberFormat="1" applyFont="1" applyBorder="1" applyAlignment="1" applyProtection="1">
      <alignment horizontal="fill"/>
    </xf>
    <xf numFmtId="165" fontId="53" fillId="0" borderId="12" xfId="0" applyNumberFormat="1" applyFont="1" applyBorder="1" applyAlignment="1" applyProtection="1">
      <alignment horizontal="left"/>
    </xf>
    <xf numFmtId="165" fontId="79" fillId="0" borderId="12" xfId="0" applyNumberFormat="1" applyFont="1" applyBorder="1" applyProtection="1"/>
    <xf numFmtId="164" fontId="79" fillId="0" borderId="39" xfId="0" applyNumberFormat="1" applyFont="1" applyBorder="1" applyAlignment="1" applyProtection="1">
      <alignment horizontal="fill"/>
    </xf>
    <xf numFmtId="164" fontId="53" fillId="0" borderId="12" xfId="0" applyNumberFormat="1" applyFont="1" applyBorder="1" applyAlignment="1" applyProtection="1"/>
    <xf numFmtId="164" fontId="53" fillId="0" borderId="39" xfId="0" applyNumberFormat="1" applyFont="1" applyBorder="1" applyAlignment="1" applyProtection="1"/>
    <xf numFmtId="164" fontId="70" fillId="0" borderId="0" xfId="0" applyNumberFormat="1" applyFont="1" applyBorder="1" applyAlignment="1" applyProtection="1"/>
    <xf numFmtId="165" fontId="70" fillId="0" borderId="12" xfId="0" applyNumberFormat="1" applyFont="1" applyBorder="1" applyProtection="1"/>
    <xf numFmtId="165" fontId="70" fillId="0" borderId="39" xfId="0" applyNumberFormat="1" applyFont="1" applyBorder="1" applyProtection="1"/>
    <xf numFmtId="164" fontId="53" fillId="0" borderId="0" xfId="0" applyNumberFormat="1" applyFont="1" applyBorder="1" applyAlignment="1" applyProtection="1"/>
    <xf numFmtId="164" fontId="53" fillId="0" borderId="25" xfId="0" applyNumberFormat="1" applyFont="1" applyBorder="1" applyAlignment="1" applyProtection="1"/>
    <xf numFmtId="1" fontId="53" fillId="0" borderId="12" xfId="0" applyNumberFormat="1" applyFont="1" applyBorder="1" applyAlignment="1" applyProtection="1"/>
    <xf numFmtId="1" fontId="53" fillId="0" borderId="12" xfId="0" applyNumberFormat="1" applyFont="1" applyBorder="1"/>
    <xf numFmtId="164" fontId="72" fillId="0" borderId="0" xfId="0" applyNumberFormat="1" applyFont="1" applyBorder="1"/>
    <xf numFmtId="164" fontId="72" fillId="0" borderId="0" xfId="0" applyNumberFormat="1" applyFont="1" applyBorder="1" applyAlignment="1" applyProtection="1"/>
    <xf numFmtId="164" fontId="72" fillId="0" borderId="0" xfId="0" applyNumberFormat="1" applyFont="1" applyBorder="1" applyProtection="1"/>
    <xf numFmtId="164" fontId="85" fillId="0" borderId="0" xfId="0" applyNumberFormat="1" applyFont="1" applyBorder="1" applyProtection="1"/>
    <xf numFmtId="37" fontId="53" fillId="0" borderId="0" xfId="0" applyNumberFormat="1" applyFont="1" applyProtection="1"/>
    <xf numFmtId="37" fontId="53" fillId="0" borderId="19" xfId="0" applyNumberFormat="1" applyFont="1" applyBorder="1" applyProtection="1"/>
    <xf numFmtId="165" fontId="70" fillId="0" borderId="0" xfId="0" applyNumberFormat="1" applyFont="1" applyProtection="1"/>
    <xf numFmtId="165" fontId="53" fillId="0" borderId="19" xfId="0" applyNumberFormat="1" applyFont="1" applyBorder="1" applyAlignment="1" applyProtection="1">
      <alignment horizontal="left"/>
    </xf>
    <xf numFmtId="164" fontId="53" fillId="0" borderId="21" xfId="0" applyNumberFormat="1" applyFont="1" applyBorder="1"/>
    <xf numFmtId="164" fontId="53" fillId="0" borderId="21" xfId="0" applyNumberFormat="1" applyFont="1" applyBorder="1" applyAlignment="1" applyProtection="1">
      <alignment horizontal="left"/>
    </xf>
    <xf numFmtId="164" fontId="53" fillId="0" borderId="7" xfId="0" applyNumberFormat="1" applyFont="1" applyBorder="1" applyAlignment="1" applyProtection="1">
      <alignment horizontal="left"/>
    </xf>
    <xf numFmtId="164" fontId="53" fillId="0" borderId="23" xfId="0" applyNumberFormat="1" applyFont="1" applyBorder="1" applyAlignment="1" applyProtection="1">
      <alignment horizontal="left"/>
    </xf>
    <xf numFmtId="164" fontId="53" fillId="0" borderId="6" xfId="0" applyNumberFormat="1" applyFont="1" applyBorder="1"/>
    <xf numFmtId="164" fontId="53" fillId="0" borderId="14" xfId="0" applyNumberFormat="1" applyFont="1" applyBorder="1"/>
    <xf numFmtId="164" fontId="53" fillId="0" borderId="9" xfId="0" applyNumberFormat="1" applyFont="1" applyBorder="1" applyAlignment="1" applyProtection="1">
      <alignment horizontal="fill"/>
    </xf>
    <xf numFmtId="164" fontId="53" fillId="0" borderId="18" xfId="0" applyNumberFormat="1" applyFont="1" applyBorder="1" applyAlignment="1" applyProtection="1"/>
    <xf numFmtId="164" fontId="53" fillId="0" borderId="19" xfId="0" applyNumberFormat="1" applyFont="1" applyBorder="1" applyAlignment="1" applyProtection="1"/>
    <xf numFmtId="164" fontId="53" fillId="0" borderId="20" xfId="0" applyNumberFormat="1" applyFont="1" applyBorder="1" applyAlignment="1" applyProtection="1"/>
    <xf numFmtId="164" fontId="53" fillId="0" borderId="18" xfId="0" applyNumberFormat="1" applyFont="1" applyBorder="1" applyAlignment="1" applyProtection="1">
      <alignment horizontal="fill"/>
    </xf>
    <xf numFmtId="164" fontId="53" fillId="0" borderId="19" xfId="0" applyNumberFormat="1" applyFont="1" applyBorder="1" applyAlignment="1" applyProtection="1">
      <alignment horizontal="fill"/>
    </xf>
    <xf numFmtId="165" fontId="53" fillId="0" borderId="14" xfId="0" applyNumberFormat="1" applyFont="1" applyBorder="1" applyProtection="1"/>
    <xf numFmtId="165" fontId="69" fillId="0" borderId="14" xfId="0" applyNumberFormat="1" applyFont="1" applyBorder="1" applyProtection="1">
      <protection locked="0"/>
    </xf>
    <xf numFmtId="165" fontId="53" fillId="0" borderId="16" xfId="0" applyNumberFormat="1" applyFont="1" applyBorder="1" applyProtection="1"/>
    <xf numFmtId="165" fontId="69" fillId="0" borderId="15" xfId="0" applyNumberFormat="1" applyFont="1" applyBorder="1" applyProtection="1">
      <protection locked="0"/>
    </xf>
    <xf numFmtId="164" fontId="53" fillId="0" borderId="10" xfId="0" applyNumberFormat="1" applyFont="1" applyBorder="1" applyAlignment="1" applyProtection="1">
      <alignment horizontal="left"/>
    </xf>
    <xf numFmtId="165" fontId="53" fillId="0" borderId="17" xfId="0" applyNumberFormat="1" applyFont="1" applyBorder="1" applyProtection="1"/>
    <xf numFmtId="165" fontId="69" fillId="0" borderId="10" xfId="0" applyNumberFormat="1" applyFont="1" applyBorder="1" applyProtection="1">
      <protection locked="0"/>
    </xf>
    <xf numFmtId="164" fontId="53" fillId="0" borderId="17" xfId="0" applyNumberFormat="1" applyFont="1" applyBorder="1" applyAlignment="1" applyProtection="1">
      <alignment horizontal="left"/>
    </xf>
    <xf numFmtId="165" fontId="53" fillId="0" borderId="10" xfId="0" applyNumberFormat="1" applyFont="1" applyBorder="1" applyProtection="1"/>
    <xf numFmtId="164" fontId="53" fillId="0" borderId="18" xfId="0" applyNumberFormat="1" applyFont="1" applyBorder="1" applyAlignment="1" applyProtection="1">
      <alignment horizontal="left"/>
    </xf>
    <xf numFmtId="165" fontId="69" fillId="0" borderId="19" xfId="0" applyNumberFormat="1" applyFont="1" applyBorder="1" applyProtection="1">
      <protection locked="0"/>
    </xf>
    <xf numFmtId="164" fontId="53" fillId="0" borderId="20" xfId="0" applyNumberFormat="1" applyFont="1" applyBorder="1" applyAlignment="1" applyProtection="1">
      <alignment horizontal="left"/>
    </xf>
    <xf numFmtId="165" fontId="69" fillId="0" borderId="18" xfId="0" applyNumberFormat="1" applyFont="1" applyBorder="1" applyProtection="1">
      <protection locked="0"/>
    </xf>
    <xf numFmtId="165" fontId="69" fillId="0" borderId="0" xfId="0" applyNumberFormat="1" applyFont="1" applyProtection="1">
      <protection locked="0"/>
    </xf>
    <xf numFmtId="165" fontId="51" fillId="0" borderId="0" xfId="0" applyNumberFormat="1" applyFont="1" applyBorder="1" applyProtection="1"/>
    <xf numFmtId="0" fontId="51" fillId="0" borderId="0" xfId="0" applyFont="1" applyBorder="1" applyAlignment="1" applyProtection="1">
      <alignment horizontal="fill"/>
      <protection locked="0"/>
    </xf>
    <xf numFmtId="0" fontId="51" fillId="0" borderId="0" xfId="0" applyFont="1" applyBorder="1" applyAlignment="1" applyProtection="1">
      <alignment horizontal="fill"/>
    </xf>
    <xf numFmtId="165" fontId="51" fillId="0" borderId="15" xfId="0" applyNumberFormat="1" applyFont="1" applyBorder="1" applyProtection="1"/>
    <xf numFmtId="165" fontId="51" fillId="0" borderId="14" xfId="0" applyNumberFormat="1" applyFont="1" applyBorder="1" applyProtection="1"/>
    <xf numFmtId="165" fontId="51" fillId="0" borderId="10" xfId="0" applyNumberFormat="1" applyFont="1" applyBorder="1" applyProtection="1"/>
    <xf numFmtId="165" fontId="51" fillId="0" borderId="18" xfId="0" applyNumberFormat="1" applyFont="1" applyBorder="1" applyProtection="1"/>
    <xf numFmtId="165" fontId="51" fillId="0" borderId="19" xfId="0" applyNumberFormat="1" applyFont="1" applyBorder="1" applyProtection="1"/>
    <xf numFmtId="165" fontId="51" fillId="0" borderId="16" xfId="0" applyNumberFormat="1" applyFont="1" applyBorder="1" applyProtection="1"/>
    <xf numFmtId="165" fontId="51" fillId="0" borderId="17" xfId="0" applyNumberFormat="1" applyFont="1" applyBorder="1" applyProtection="1"/>
    <xf numFmtId="165" fontId="51" fillId="0" borderId="20" xfId="0" applyNumberFormat="1" applyFont="1" applyBorder="1" applyProtection="1"/>
    <xf numFmtId="1" fontId="60" fillId="0" borderId="0" xfId="0" applyNumberFormat="1" applyFont="1" applyBorder="1"/>
    <xf numFmtId="164" fontId="53" fillId="0" borderId="12" xfId="0" applyNumberFormat="1" applyFont="1" applyBorder="1" applyAlignment="1" applyProtection="1">
      <alignment horizontal="center"/>
    </xf>
    <xf numFmtId="164" fontId="2" fillId="0" borderId="31" xfId="0" applyNumberFormat="1" applyFont="1" applyBorder="1" applyAlignment="1" applyProtection="1">
      <alignment horizontal="left"/>
    </xf>
    <xf numFmtId="10" fontId="2" fillId="0" borderId="32" xfId="0" applyNumberFormat="1" applyFont="1" applyBorder="1" applyProtection="1"/>
    <xf numFmtId="164" fontId="53" fillId="0" borderId="0" xfId="0" applyNumberFormat="1" applyFont="1" applyBorder="1" applyAlignment="1" applyProtection="1">
      <alignment horizontal="left"/>
    </xf>
    <xf numFmtId="164" fontId="53" fillId="0" borderId="0" xfId="0" applyNumberFormat="1" applyFont="1" applyAlignment="1">
      <alignment horizontal="center"/>
    </xf>
    <xf numFmtId="164" fontId="53" fillId="0" borderId="0" xfId="0" applyNumberFormat="1" applyFont="1" applyBorder="1" applyAlignment="1" applyProtection="1">
      <alignment horizontal="left"/>
    </xf>
    <xf numFmtId="164" fontId="49" fillId="0" borderId="0" xfId="0" applyNumberFormat="1" applyFont="1" applyBorder="1"/>
    <xf numFmtId="164" fontId="49" fillId="0" borderId="0" xfId="0" applyNumberFormat="1" applyFont="1" applyBorder="1" applyAlignment="1">
      <alignment vertical="center"/>
    </xf>
    <xf numFmtId="164" fontId="52" fillId="0" borderId="25" xfId="0" applyNumberFormat="1" applyFont="1" applyBorder="1"/>
    <xf numFmtId="165" fontId="3" fillId="0" borderId="0" xfId="0" applyNumberFormat="1" applyFont="1" applyBorder="1" applyAlignment="1" applyProtection="1">
      <alignment horizontal="right"/>
    </xf>
    <xf numFmtId="165" fontId="3" fillId="0" borderId="0" xfId="0" applyNumberFormat="1" applyFont="1" applyBorder="1" applyProtection="1"/>
    <xf numFmtId="165" fontId="33" fillId="0" borderId="0" xfId="0" applyNumberFormat="1" applyFont="1" applyBorder="1" applyProtection="1"/>
    <xf numFmtId="1" fontId="82" fillId="0" borderId="45" xfId="0" applyNumberFormat="1" applyFont="1" applyBorder="1" applyProtection="1">
      <protection locked="0"/>
    </xf>
    <xf numFmtId="1" fontId="82" fillId="0" borderId="46" xfId="0" applyNumberFormat="1" applyFont="1" applyBorder="1" applyProtection="1">
      <protection locked="0"/>
    </xf>
    <xf numFmtId="1" fontId="70" fillId="0" borderId="0" xfId="0" applyNumberFormat="1" applyFont="1" applyBorder="1" applyProtection="1"/>
    <xf numFmtId="0" fontId="0" fillId="0" borderId="0" xfId="0" applyAlignment="1">
      <alignment horizontal="left"/>
    </xf>
    <xf numFmtId="0" fontId="33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6" fillId="0" borderId="0" xfId="1" applyFont="1" applyBorder="1"/>
    <xf numFmtId="0" fontId="2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right"/>
    </xf>
    <xf numFmtId="1" fontId="0" fillId="0" borderId="0" xfId="0" applyNumberFormat="1" applyBorder="1" applyAlignment="1">
      <alignment horizontal="right"/>
    </xf>
    <xf numFmtId="165" fontId="61" fillId="0" borderId="0" xfId="0" applyNumberFormat="1" applyFont="1" applyBorder="1" applyAlignment="1">
      <alignment horizontal="center"/>
    </xf>
    <xf numFmtId="0" fontId="62" fillId="0" borderId="0" xfId="0" applyFont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3" fillId="0" borderId="0" xfId="0" applyFont="1" applyBorder="1" applyAlignment="1">
      <alignment horizontal="center"/>
    </xf>
    <xf numFmtId="2" fontId="81" fillId="0" borderId="0" xfId="0" applyNumberFormat="1" applyFont="1" applyBorder="1"/>
    <xf numFmtId="164" fontId="11" fillId="0" borderId="0" xfId="0" applyNumberFormat="1" applyFont="1" applyBorder="1" applyAlignment="1">
      <alignment horizontal="center"/>
    </xf>
    <xf numFmtId="164" fontId="44" fillId="0" borderId="0" xfId="0" applyNumberFormat="1" applyFont="1" applyBorder="1" applyAlignment="1">
      <alignment vertical="center"/>
    </xf>
    <xf numFmtId="164" fontId="2" fillId="0" borderId="0" xfId="0" applyNumberFormat="1" applyFont="1" applyBorder="1" applyAlignment="1">
      <alignment horizontal="center"/>
    </xf>
    <xf numFmtId="164" fontId="2" fillId="0" borderId="35" xfId="0" applyNumberFormat="1" applyFont="1" applyBorder="1" applyAlignment="1">
      <alignment horizontal="center"/>
    </xf>
    <xf numFmtId="164" fontId="53" fillId="0" borderId="0" xfId="0" applyNumberFormat="1" applyFont="1" applyBorder="1" applyAlignment="1">
      <alignment horizontal="center"/>
    </xf>
    <xf numFmtId="164" fontId="6" fillId="0" borderId="0" xfId="0" applyNumberFormat="1" applyFont="1" applyAlignment="1" applyProtection="1">
      <alignment horizontal="center"/>
    </xf>
    <xf numFmtId="164" fontId="51" fillId="0" borderId="0" xfId="0" applyNumberFormat="1" applyFont="1" applyBorder="1" applyAlignment="1" applyProtection="1">
      <alignment horizontal="left"/>
    </xf>
    <xf numFmtId="164" fontId="51" fillId="0" borderId="0" xfId="0" applyNumberFormat="1" applyFont="1" applyBorder="1" applyProtection="1"/>
    <xf numFmtId="164" fontId="86" fillId="0" borderId="0" xfId="0" applyNumberFormat="1" applyFont="1" applyBorder="1" applyAlignment="1" applyProtection="1">
      <alignment horizontal="left"/>
    </xf>
    <xf numFmtId="164" fontId="86" fillId="0" borderId="0" xfId="0" applyNumberFormat="1" applyFont="1" applyBorder="1"/>
    <xf numFmtId="0" fontId="53" fillId="0" borderId="0" xfId="0" applyFont="1" applyBorder="1" applyAlignment="1">
      <alignment horizontal="left"/>
    </xf>
    <xf numFmtId="164" fontId="51" fillId="0" borderId="35" xfId="0" applyNumberFormat="1" applyFont="1" applyBorder="1" applyAlignment="1" applyProtection="1">
      <alignment horizontal="left"/>
    </xf>
    <xf numFmtId="164" fontId="51" fillId="0" borderId="35" xfId="0" applyNumberFormat="1" applyFont="1" applyBorder="1"/>
    <xf numFmtId="164" fontId="86" fillId="0" borderId="35" xfId="0" applyNumberFormat="1" applyFont="1" applyBorder="1" applyAlignment="1" applyProtection="1">
      <alignment horizontal="left"/>
    </xf>
    <xf numFmtId="164" fontId="11" fillId="0" borderId="10" xfId="0" applyNumberFormat="1" applyFont="1" applyBorder="1"/>
    <xf numFmtId="164" fontId="65" fillId="0" borderId="0" xfId="0" applyNumberFormat="1" applyFont="1" applyBorder="1" applyAlignment="1" applyProtection="1">
      <alignment horizontal="left"/>
      <protection locked="0"/>
    </xf>
    <xf numFmtId="165" fontId="53" fillId="0" borderId="0" xfId="0" applyNumberFormat="1" applyFont="1" applyBorder="1" applyProtection="1">
      <protection locked="0"/>
    </xf>
    <xf numFmtId="165" fontId="52" fillId="0" borderId="0" xfId="0" applyNumberFormat="1" applyFont="1" applyBorder="1" applyProtection="1">
      <protection locked="0"/>
    </xf>
    <xf numFmtId="165" fontId="87" fillId="0" borderId="0" xfId="0" applyNumberFormat="1" applyFont="1" applyBorder="1" applyProtection="1"/>
    <xf numFmtId="164" fontId="52" fillId="0" borderId="0" xfId="0" applyNumberFormat="1" applyFont="1" applyBorder="1" applyProtection="1"/>
    <xf numFmtId="2" fontId="53" fillId="0" borderId="0" xfId="0" applyNumberFormat="1" applyFont="1" applyBorder="1" applyProtection="1"/>
    <xf numFmtId="2" fontId="52" fillId="0" borderId="0" xfId="0" applyNumberFormat="1" applyFont="1" applyBorder="1" applyAlignment="1" applyProtection="1">
      <alignment horizontal="right"/>
    </xf>
    <xf numFmtId="165" fontId="88" fillId="0" borderId="0" xfId="0" applyNumberFormat="1" applyFont="1" applyBorder="1" applyAlignment="1">
      <alignment horizontal="center"/>
    </xf>
    <xf numFmtId="164" fontId="45" fillId="5" borderId="0" xfId="0" applyNumberFormat="1" applyFont="1" applyFill="1" applyProtection="1"/>
    <xf numFmtId="0" fontId="53" fillId="0" borderId="31" xfId="0" applyFont="1" applyBorder="1"/>
    <xf numFmtId="0" fontId="53" fillId="0" borderId="32" xfId="0" applyFont="1" applyBorder="1"/>
    <xf numFmtId="0" fontId="53" fillId="0" borderId="24" xfId="0" applyFont="1" applyBorder="1"/>
    <xf numFmtId="0" fontId="53" fillId="0" borderId="33" xfId="0" applyFont="1" applyBorder="1"/>
    <xf numFmtId="0" fontId="53" fillId="0" borderId="25" xfId="0" applyFont="1" applyBorder="1"/>
    <xf numFmtId="0" fontId="53" fillId="0" borderId="33" xfId="0" applyFont="1" applyBorder="1" applyAlignment="1" applyProtection="1">
      <alignment horizontal="left"/>
    </xf>
    <xf numFmtId="0" fontId="66" fillId="0" borderId="0" xfId="0" applyFont="1" applyBorder="1" applyAlignment="1">
      <alignment horizontal="center"/>
    </xf>
    <xf numFmtId="0" fontId="53" fillId="0" borderId="0" xfId="0" applyFont="1" applyBorder="1" applyProtection="1">
      <protection locked="0"/>
    </xf>
    <xf numFmtId="0" fontId="53" fillId="0" borderId="0" xfId="0" applyFont="1" applyBorder="1" applyAlignment="1">
      <alignment horizontal="right"/>
    </xf>
    <xf numFmtId="0" fontId="89" fillId="0" borderId="33" xfId="0" applyFont="1" applyBorder="1" applyAlignment="1" applyProtection="1">
      <alignment horizontal="left"/>
    </xf>
    <xf numFmtId="0" fontId="89" fillId="0" borderId="0" xfId="0" applyFont="1" applyBorder="1" applyAlignment="1" applyProtection="1">
      <alignment horizontal="left"/>
    </xf>
    <xf numFmtId="0" fontId="69" fillId="0" borderId="0" xfId="0" applyFont="1" applyBorder="1" applyProtection="1">
      <protection locked="0"/>
    </xf>
    <xf numFmtId="0" fontId="53" fillId="0" borderId="0" xfId="0" applyFont="1" applyBorder="1" applyAlignment="1" applyProtection="1">
      <alignment horizontal="left"/>
    </xf>
    <xf numFmtId="2" fontId="66" fillId="0" borderId="0" xfId="0" applyNumberFormat="1" applyFont="1" applyBorder="1" applyAlignment="1" applyProtection="1">
      <alignment horizontal="right"/>
    </xf>
    <xf numFmtId="0" fontId="71" fillId="0" borderId="35" xfId="0" applyFont="1" applyBorder="1" applyAlignment="1" applyProtection="1">
      <alignment horizontal="left"/>
    </xf>
    <xf numFmtId="2" fontId="71" fillId="0" borderId="35" xfId="0" applyNumberFormat="1" applyFont="1" applyBorder="1" applyAlignment="1" applyProtection="1">
      <alignment horizontal="right"/>
    </xf>
    <xf numFmtId="0" fontId="90" fillId="0" borderId="0" xfId="0" applyFont="1" applyBorder="1"/>
    <xf numFmtId="0" fontId="53" fillId="0" borderId="0" xfId="0" applyFont="1" applyFill="1" applyBorder="1" applyAlignment="1" applyProtection="1">
      <alignment horizontal="left"/>
    </xf>
    <xf numFmtId="0" fontId="89" fillId="0" borderId="0" xfId="0" applyFont="1" applyBorder="1"/>
    <xf numFmtId="0" fontId="53" fillId="0" borderId="12" xfId="0" applyFont="1" applyBorder="1"/>
    <xf numFmtId="0" fontId="72" fillId="0" borderId="3" xfId="0" applyFont="1" applyBorder="1" applyAlignment="1">
      <alignment horizontal="center"/>
    </xf>
    <xf numFmtId="0" fontId="53" fillId="0" borderId="4" xfId="0" applyFont="1" applyBorder="1" applyAlignment="1">
      <alignment horizontal="center"/>
    </xf>
    <xf numFmtId="0" fontId="53" fillId="0" borderId="6" xfId="0" applyFont="1" applyBorder="1" applyAlignment="1">
      <alignment horizontal="center"/>
    </xf>
    <xf numFmtId="0" fontId="53" fillId="0" borderId="7" xfId="0" applyFont="1" applyBorder="1" applyAlignment="1">
      <alignment horizontal="center"/>
    </xf>
    <xf numFmtId="0" fontId="53" fillId="0" borderId="8" xfId="0" applyFont="1" applyBorder="1" applyAlignment="1">
      <alignment horizontal="center"/>
    </xf>
    <xf numFmtId="0" fontId="53" fillId="0" borderId="10" xfId="0" applyFont="1" applyBorder="1" applyAlignment="1">
      <alignment horizontal="center"/>
    </xf>
    <xf numFmtId="0" fontId="53" fillId="0" borderId="11" xfId="0" applyFont="1" applyBorder="1" applyAlignment="1">
      <alignment horizontal="center"/>
    </xf>
    <xf numFmtId="0" fontId="53" fillId="0" borderId="14" xfId="0" applyFont="1" applyBorder="1" applyAlignment="1">
      <alignment horizontal="center"/>
    </xf>
    <xf numFmtId="0" fontId="53" fillId="0" borderId="15" xfId="0" applyFont="1" applyBorder="1" applyAlignment="1">
      <alignment horizontal="center"/>
    </xf>
    <xf numFmtId="2" fontId="53" fillId="0" borderId="12" xfId="0" applyNumberFormat="1" applyFont="1" applyBorder="1" applyProtection="1">
      <protection locked="0"/>
    </xf>
    <xf numFmtId="165" fontId="69" fillId="0" borderId="12" xfId="0" applyNumberFormat="1" applyFont="1" applyBorder="1" applyProtection="1">
      <protection locked="0"/>
    </xf>
    <xf numFmtId="165" fontId="66" fillId="0" borderId="12" xfId="0" applyNumberFormat="1" applyFont="1" applyBorder="1" applyProtection="1">
      <protection locked="0"/>
    </xf>
    <xf numFmtId="2" fontId="69" fillId="0" borderId="12" xfId="0" applyNumberFormat="1" applyFont="1" applyBorder="1" applyProtection="1">
      <protection locked="0"/>
    </xf>
    <xf numFmtId="2" fontId="53" fillId="0" borderId="12" xfId="0" applyNumberFormat="1" applyFont="1" applyBorder="1" applyProtection="1"/>
    <xf numFmtId="165" fontId="83" fillId="0" borderId="12" xfId="0" applyNumberFormat="1" applyFont="1" applyBorder="1" applyProtection="1">
      <protection locked="0"/>
    </xf>
    <xf numFmtId="49" fontId="53" fillId="0" borderId="12" xfId="0" applyNumberFormat="1" applyFont="1" applyBorder="1" applyAlignment="1">
      <alignment horizontal="left"/>
    </xf>
    <xf numFmtId="2" fontId="53" fillId="0" borderId="12" xfId="0" applyNumberFormat="1" applyFont="1" applyBorder="1"/>
    <xf numFmtId="49" fontId="53" fillId="0" borderId="12" xfId="0" applyNumberFormat="1" applyFont="1" applyBorder="1" applyAlignment="1" applyProtection="1">
      <alignment horizontal="left"/>
    </xf>
    <xf numFmtId="49" fontId="53" fillId="0" borderId="0" xfId="0" applyNumberFormat="1" applyFont="1" applyBorder="1" applyAlignment="1" applyProtection="1">
      <alignment horizontal="center"/>
    </xf>
    <xf numFmtId="2" fontId="69" fillId="0" borderId="0" xfId="0" applyNumberFormat="1" applyFont="1" applyBorder="1" applyProtection="1">
      <protection locked="0"/>
    </xf>
    <xf numFmtId="2" fontId="53" fillId="0" borderId="0" xfId="0" applyNumberFormat="1" applyFont="1" applyFill="1" applyBorder="1" applyProtection="1"/>
    <xf numFmtId="0" fontId="53" fillId="0" borderId="0" xfId="0" applyFont="1" applyBorder="1" applyProtection="1"/>
    <xf numFmtId="169" fontId="69" fillId="0" borderId="0" xfId="0" applyNumberFormat="1" applyFont="1" applyBorder="1" applyProtection="1">
      <protection locked="0"/>
    </xf>
    <xf numFmtId="0" fontId="53" fillId="0" borderId="34" xfId="0" applyFont="1" applyBorder="1"/>
    <xf numFmtId="0" fontId="53" fillId="0" borderId="35" xfId="0" applyFont="1" applyBorder="1" applyAlignment="1" applyProtection="1">
      <alignment horizontal="left"/>
    </xf>
    <xf numFmtId="173" fontId="53" fillId="0" borderId="35" xfId="0" applyNumberFormat="1" applyFont="1" applyBorder="1" applyProtection="1"/>
    <xf numFmtId="0" fontId="71" fillId="0" borderId="35" xfId="0" applyFont="1" applyBorder="1" applyAlignment="1">
      <alignment horizontal="center"/>
    </xf>
    <xf numFmtId="0" fontId="53" fillId="0" borderId="0" xfId="0" applyFont="1" applyAlignment="1" applyProtection="1">
      <alignment horizontal="left"/>
    </xf>
    <xf numFmtId="11" fontId="69" fillId="0" borderId="0" xfId="0" applyNumberFormat="1" applyFont="1" applyProtection="1">
      <protection locked="0"/>
    </xf>
    <xf numFmtId="3" fontId="53" fillId="0" borderId="0" xfId="0" applyNumberFormat="1" applyFont="1"/>
    <xf numFmtId="166" fontId="69" fillId="0" borderId="0" xfId="0" applyNumberFormat="1" applyFont="1" applyProtection="1">
      <protection locked="0"/>
    </xf>
    <xf numFmtId="166" fontId="53" fillId="0" borderId="0" xfId="0" applyNumberFormat="1" applyFont="1" applyAlignment="1" applyProtection="1">
      <alignment horizontal="left"/>
    </xf>
    <xf numFmtId="0" fontId="69" fillId="0" borderId="0" xfId="0" applyFont="1" applyProtection="1">
      <protection locked="0"/>
    </xf>
    <xf numFmtId="0" fontId="53" fillId="0" borderId="0" xfId="0" applyFont="1" applyProtection="1">
      <protection locked="0"/>
    </xf>
    <xf numFmtId="2" fontId="53" fillId="0" borderId="0" xfId="0" applyNumberFormat="1" applyFont="1" applyProtection="1"/>
    <xf numFmtId="173" fontId="53" fillId="0" borderId="0" xfId="0" applyNumberFormat="1" applyFont="1" applyProtection="1"/>
    <xf numFmtId="0" fontId="53" fillId="0" borderId="0" xfId="0" applyFont="1" applyBorder="1" applyAlignment="1" applyProtection="1">
      <alignment horizontal="center"/>
    </xf>
    <xf numFmtId="2" fontId="67" fillId="0" borderId="0" xfId="0" applyNumberFormat="1" applyFont="1" applyBorder="1"/>
    <xf numFmtId="4" fontId="53" fillId="0" borderId="0" xfId="0" applyNumberFormat="1" applyFont="1" applyBorder="1"/>
    <xf numFmtId="4" fontId="53" fillId="0" borderId="0" xfId="0" applyNumberFormat="1" applyFont="1" applyBorder="1" applyAlignment="1" applyProtection="1">
      <alignment horizontal="right"/>
    </xf>
    <xf numFmtId="2" fontId="53" fillId="0" borderId="0" xfId="0" applyNumberFormat="1" applyFont="1" applyBorder="1" applyAlignment="1">
      <alignment horizontal="left"/>
    </xf>
    <xf numFmtId="2" fontId="53" fillId="0" borderId="0" xfId="0" applyNumberFormat="1" applyFont="1" applyBorder="1" applyAlignment="1" applyProtection="1">
      <alignment horizontal="left"/>
    </xf>
    <xf numFmtId="2" fontId="67" fillId="0" borderId="25" xfId="0" applyNumberFormat="1" applyFont="1" applyBorder="1" applyAlignment="1">
      <alignment horizontal="center"/>
    </xf>
    <xf numFmtId="0" fontId="53" fillId="0" borderId="0" xfId="0" applyFont="1" applyBorder="1" applyAlignment="1" applyProtection="1">
      <alignment horizontal="right"/>
    </xf>
    <xf numFmtId="0" fontId="53" fillId="0" borderId="25" xfId="0" applyFont="1" applyBorder="1" applyAlignment="1" applyProtection="1">
      <alignment horizontal="left"/>
    </xf>
    <xf numFmtId="2" fontId="53" fillId="0" borderId="0" xfId="0" applyNumberFormat="1" applyFont="1" applyBorder="1" applyAlignment="1">
      <alignment horizontal="right" indent="1"/>
    </xf>
    <xf numFmtId="2" fontId="53" fillId="0" borderId="0" xfId="0" applyNumberFormat="1" applyFont="1" applyBorder="1" applyAlignment="1" applyProtection="1">
      <alignment horizontal="center"/>
    </xf>
    <xf numFmtId="2" fontId="67" fillId="0" borderId="25" xfId="0" applyNumberFormat="1" applyFont="1" applyBorder="1"/>
    <xf numFmtId="165" fontId="67" fillId="0" borderId="0" xfId="0" applyNumberFormat="1" applyFont="1" applyBorder="1"/>
    <xf numFmtId="0" fontId="53" fillId="0" borderId="0" xfId="0" applyFont="1" applyBorder="1" applyAlignment="1" applyProtection="1">
      <alignment horizontal="fill"/>
    </xf>
    <xf numFmtId="1" fontId="53" fillId="0" borderId="0" xfId="0" applyNumberFormat="1" applyFont="1" applyBorder="1" applyAlignment="1" applyProtection="1">
      <alignment horizontal="left"/>
    </xf>
    <xf numFmtId="1" fontId="53" fillId="0" borderId="0" xfId="0" applyNumberFormat="1" applyFont="1" applyBorder="1" applyAlignment="1" applyProtection="1">
      <alignment horizontal="fill"/>
    </xf>
    <xf numFmtId="165" fontId="67" fillId="0" borderId="0" xfId="0" applyNumberFormat="1" applyFont="1" applyBorder="1" applyProtection="1"/>
    <xf numFmtId="1" fontId="53" fillId="0" borderId="0" xfId="0" applyNumberFormat="1" applyFont="1" applyBorder="1" applyAlignment="1">
      <alignment horizontal="left"/>
    </xf>
    <xf numFmtId="165" fontId="53" fillId="0" borderId="0" xfId="0" applyNumberFormat="1" applyFont="1" applyBorder="1" applyAlignment="1">
      <alignment horizontal="left"/>
    </xf>
    <xf numFmtId="165" fontId="67" fillId="0" borderId="0" xfId="0" applyNumberFormat="1" applyFont="1" applyBorder="1" applyAlignment="1">
      <alignment horizontal="right"/>
    </xf>
    <xf numFmtId="0" fontId="53" fillId="0" borderId="0" xfId="0" applyFont="1" applyBorder="1" applyAlignment="1">
      <alignment horizontal="center"/>
    </xf>
    <xf numFmtId="2" fontId="67" fillId="0" borderId="0" xfId="0" applyNumberFormat="1" applyFont="1" applyBorder="1" applyAlignment="1">
      <alignment horizontal="right"/>
    </xf>
    <xf numFmtId="2" fontId="91" fillId="0" borderId="0" xfId="0" applyNumberFormat="1" applyFont="1" applyBorder="1" applyAlignment="1">
      <alignment horizontal="right"/>
    </xf>
    <xf numFmtId="16" fontId="53" fillId="0" borderId="0" xfId="0" quotePrefix="1" applyNumberFormat="1" applyFont="1" applyBorder="1" applyAlignment="1">
      <alignment horizontal="center"/>
    </xf>
    <xf numFmtId="0" fontId="53" fillId="0" borderId="0" xfId="0" quotePrefix="1" applyFont="1" applyBorder="1" applyAlignment="1">
      <alignment horizontal="right"/>
    </xf>
    <xf numFmtId="0" fontId="53" fillId="0" borderId="0" xfId="0" quotePrefix="1" applyFont="1" applyBorder="1" applyAlignment="1">
      <alignment horizontal="center"/>
    </xf>
    <xf numFmtId="16" fontId="53" fillId="0" borderId="0" xfId="0" applyNumberFormat="1" applyFont="1" applyBorder="1" applyAlignment="1" applyProtection="1">
      <alignment horizontal="right"/>
    </xf>
    <xf numFmtId="0" fontId="53" fillId="0" borderId="0" xfId="0" quotePrefix="1" applyFont="1" applyBorder="1" applyAlignment="1" applyProtection="1">
      <alignment horizontal="left"/>
    </xf>
    <xf numFmtId="16" fontId="53" fillId="0" borderId="0" xfId="0" quotePrefix="1" applyNumberFormat="1" applyFont="1" applyBorder="1"/>
    <xf numFmtId="2" fontId="53" fillId="0" borderId="0" xfId="0" quotePrefix="1" applyNumberFormat="1" applyFont="1" applyBorder="1" applyAlignment="1">
      <alignment horizontal="right"/>
    </xf>
    <xf numFmtId="2" fontId="53" fillId="0" borderId="0" xfId="0" quotePrefix="1" applyNumberFormat="1" applyFont="1" applyBorder="1" applyAlignment="1">
      <alignment horizontal="center"/>
    </xf>
    <xf numFmtId="16" fontId="53" fillId="0" borderId="0" xfId="0" applyNumberFormat="1" applyFont="1" applyBorder="1" applyAlignment="1" applyProtection="1">
      <alignment horizontal="center"/>
    </xf>
    <xf numFmtId="0" fontId="92" fillId="0" borderId="0" xfId="0" applyFont="1" applyBorder="1" applyAlignment="1" applyProtection="1">
      <alignment horizontal="left"/>
    </xf>
    <xf numFmtId="0" fontId="53" fillId="0" borderId="25" xfId="0" quotePrefix="1" applyFont="1" applyBorder="1" applyAlignment="1" applyProtection="1">
      <alignment horizontal="left"/>
    </xf>
    <xf numFmtId="0" fontId="53" fillId="0" borderId="25" xfId="0" applyFont="1" applyBorder="1" applyAlignment="1" applyProtection="1">
      <alignment horizontal="center"/>
    </xf>
    <xf numFmtId="0" fontId="53" fillId="0" borderId="25" xfId="0" quotePrefix="1" applyFont="1" applyBorder="1"/>
    <xf numFmtId="0" fontId="71" fillId="0" borderId="36" xfId="0" applyFont="1" applyBorder="1" applyAlignment="1">
      <alignment horizontal="center"/>
    </xf>
    <xf numFmtId="0" fontId="93" fillId="0" borderId="0" xfId="0" applyFont="1" applyAlignment="1" applyProtection="1">
      <alignment horizontal="left"/>
    </xf>
    <xf numFmtId="0" fontId="92" fillId="0" borderId="0" xfId="0" applyFont="1"/>
    <xf numFmtId="0" fontId="89" fillId="0" borderId="0" xfId="0" applyFont="1"/>
    <xf numFmtId="0" fontId="94" fillId="0" borderId="0" xfId="0" applyFont="1" applyAlignment="1" applyProtection="1">
      <alignment horizontal="left"/>
    </xf>
    <xf numFmtId="0" fontId="53" fillId="0" borderId="0" xfId="0" applyFont="1" applyProtection="1"/>
    <xf numFmtId="49" fontId="53" fillId="0" borderId="0" xfId="0" applyNumberFormat="1" applyFont="1" applyAlignment="1" applyProtection="1">
      <alignment horizontal="center"/>
    </xf>
    <xf numFmtId="49" fontId="53" fillId="0" borderId="0" xfId="0" applyNumberFormat="1" applyFont="1" applyAlignment="1">
      <alignment horizontal="center"/>
    </xf>
    <xf numFmtId="49" fontId="53" fillId="0" borderId="0" xfId="0" applyNumberFormat="1" applyFont="1"/>
    <xf numFmtId="0" fontId="91" fillId="0" borderId="0" xfId="0" applyFont="1" applyAlignment="1" applyProtection="1">
      <alignment horizontal="left"/>
    </xf>
    <xf numFmtId="0" fontId="66" fillId="0" borderId="0" xfId="0" applyFont="1" applyAlignment="1" applyProtection="1">
      <alignment horizontal="left"/>
    </xf>
    <xf numFmtId="0" fontId="80" fillId="0" borderId="0" xfId="0" applyFont="1" applyAlignment="1" applyProtection="1">
      <alignment horizontal="left"/>
    </xf>
    <xf numFmtId="0" fontId="80" fillId="0" borderId="0" xfId="0" applyFont="1"/>
    <xf numFmtId="2" fontId="80" fillId="0" borderId="0" xfId="0" applyNumberFormat="1" applyFont="1" applyProtection="1"/>
    <xf numFmtId="171" fontId="53" fillId="0" borderId="0" xfId="0" applyNumberFormat="1" applyFont="1" applyProtection="1"/>
    <xf numFmtId="172" fontId="53" fillId="0" borderId="0" xfId="0" applyNumberFormat="1" applyFont="1" applyProtection="1"/>
    <xf numFmtId="2" fontId="53" fillId="0" borderId="0" xfId="0" applyNumberFormat="1" applyFont="1" applyAlignment="1" applyProtection="1">
      <alignment horizontal="left"/>
    </xf>
    <xf numFmtId="0" fontId="95" fillId="0" borderId="0" xfId="0" applyFont="1" applyAlignment="1" applyProtection="1">
      <alignment horizontal="left"/>
    </xf>
    <xf numFmtId="0" fontId="82" fillId="0" borderId="0" xfId="0" applyFont="1" applyProtection="1"/>
    <xf numFmtId="0" fontId="67" fillId="0" borderId="0" xfId="0" applyFont="1" applyAlignment="1" applyProtection="1">
      <alignment horizontal="left"/>
    </xf>
    <xf numFmtId="169" fontId="53" fillId="0" borderId="0" xfId="0" applyNumberFormat="1" applyFont="1" applyProtection="1"/>
    <xf numFmtId="0" fontId="96" fillId="0" borderId="0" xfId="0" applyFont="1"/>
    <xf numFmtId="0" fontId="53" fillId="2" borderId="0" xfId="0" applyFont="1" applyFill="1" applyProtection="1"/>
    <xf numFmtId="0" fontId="53" fillId="2" borderId="0" xfId="0" applyFont="1" applyFill="1"/>
    <xf numFmtId="0" fontId="97" fillId="0" borderId="0" xfId="0" applyFont="1" applyAlignment="1" applyProtection="1">
      <alignment horizontal="left"/>
    </xf>
    <xf numFmtId="0" fontId="70" fillId="0" borderId="0" xfId="0" applyFont="1" applyProtection="1"/>
    <xf numFmtId="0" fontId="98" fillId="0" borderId="0" xfId="0" applyFont="1" applyAlignment="1" applyProtection="1">
      <alignment horizontal="left"/>
    </xf>
    <xf numFmtId="0" fontId="52" fillId="0" borderId="0" xfId="0" applyFont="1" applyAlignment="1" applyProtection="1">
      <alignment horizontal="left"/>
    </xf>
    <xf numFmtId="165" fontId="52" fillId="0" borderId="0" xfId="0" applyNumberFormat="1" applyFont="1" applyProtection="1"/>
    <xf numFmtId="0" fontId="99" fillId="0" borderId="0" xfId="0" applyFont="1" applyAlignment="1" applyProtection="1">
      <alignment horizontal="left"/>
    </xf>
    <xf numFmtId="0" fontId="70" fillId="0" borderId="0" xfId="0" applyFont="1"/>
    <xf numFmtId="0" fontId="70" fillId="0" borderId="0" xfId="0" applyFont="1" applyAlignment="1" applyProtection="1">
      <alignment horizontal="left"/>
    </xf>
    <xf numFmtId="0" fontId="100" fillId="0" borderId="0" xfId="0" applyFont="1" applyAlignment="1" applyProtection="1">
      <alignment horizontal="left"/>
    </xf>
    <xf numFmtId="0" fontId="99" fillId="0" borderId="35" xfId="0" applyFont="1" applyBorder="1" applyAlignment="1" applyProtection="1">
      <alignment horizontal="left"/>
    </xf>
    <xf numFmtId="173" fontId="53" fillId="0" borderId="0" xfId="0" applyNumberFormat="1" applyFont="1"/>
    <xf numFmtId="0" fontId="53" fillId="0" borderId="31" xfId="0" applyFont="1" applyBorder="1" applyAlignment="1" applyProtection="1">
      <alignment horizontal="left"/>
    </xf>
    <xf numFmtId="49" fontId="53" fillId="0" borderId="25" xfId="0" applyNumberFormat="1" applyFont="1" applyBorder="1" applyAlignment="1" applyProtection="1">
      <alignment horizontal="left"/>
    </xf>
    <xf numFmtId="0" fontId="87" fillId="0" borderId="0" xfId="0" applyFont="1" applyBorder="1" applyAlignment="1"/>
    <xf numFmtId="49" fontId="53" fillId="0" borderId="0" xfId="0" applyNumberFormat="1" applyFont="1" applyBorder="1"/>
    <xf numFmtId="49" fontId="53" fillId="0" borderId="0" xfId="0" applyNumberFormat="1" applyFont="1" applyBorder="1" applyAlignment="1" applyProtection="1">
      <alignment horizontal="left"/>
    </xf>
    <xf numFmtId="0" fontId="53" fillId="0" borderId="12" xfId="0" applyFont="1" applyBorder="1" applyAlignment="1" applyProtection="1">
      <alignment horizontal="left"/>
    </xf>
    <xf numFmtId="49" fontId="53" fillId="0" borderId="12" xfId="0" applyNumberFormat="1" applyFont="1" applyBorder="1"/>
    <xf numFmtId="49" fontId="53" fillId="0" borderId="39" xfId="0" applyNumberFormat="1" applyFont="1" applyBorder="1" applyAlignment="1" applyProtection="1">
      <alignment horizontal="left"/>
    </xf>
    <xf numFmtId="0" fontId="53" fillId="0" borderId="12" xfId="0" applyFont="1" applyBorder="1" applyAlignment="1" applyProtection="1">
      <alignment horizontal="fill"/>
    </xf>
    <xf numFmtId="49" fontId="53" fillId="0" borderId="12" xfId="0" applyNumberFormat="1" applyFont="1" applyBorder="1" applyAlignment="1" applyProtection="1"/>
    <xf numFmtId="49" fontId="53" fillId="0" borderId="39" xfId="0" applyNumberFormat="1" applyFont="1" applyBorder="1" applyAlignment="1" applyProtection="1"/>
    <xf numFmtId="0" fontId="53" fillId="0" borderId="39" xfId="0" applyFont="1" applyBorder="1"/>
    <xf numFmtId="0" fontId="53" fillId="0" borderId="25" xfId="0" applyFont="1" applyBorder="1" applyAlignment="1" applyProtection="1">
      <alignment horizontal="fill"/>
    </xf>
    <xf numFmtId="0" fontId="53" fillId="0" borderId="39" xfId="0" applyFont="1" applyBorder="1" applyAlignment="1" applyProtection="1">
      <alignment horizontal="fill"/>
    </xf>
    <xf numFmtId="49" fontId="53" fillId="0" borderId="12" xfId="0" applyNumberFormat="1" applyFont="1" applyBorder="1" applyAlignment="1" applyProtection="1">
      <alignment horizontal="center"/>
    </xf>
    <xf numFmtId="0" fontId="53" fillId="0" borderId="12" xfId="0" applyFont="1" applyBorder="1" applyAlignment="1" applyProtection="1">
      <alignment horizontal="center"/>
      <protection locked="0"/>
    </xf>
    <xf numFmtId="0" fontId="53" fillId="0" borderId="12" xfId="0" applyFont="1" applyBorder="1" applyAlignment="1" applyProtection="1">
      <alignment horizontal="fill"/>
      <protection locked="0"/>
    </xf>
    <xf numFmtId="2" fontId="53" fillId="0" borderId="12" xfId="0" applyNumberFormat="1" applyFont="1" applyBorder="1" applyAlignment="1" applyProtection="1">
      <protection locked="0"/>
    </xf>
    <xf numFmtId="49" fontId="53" fillId="0" borderId="39" xfId="0" applyNumberFormat="1" applyFont="1" applyBorder="1" applyAlignment="1" applyProtection="1">
      <alignment horizontal="fill"/>
    </xf>
    <xf numFmtId="49" fontId="53" fillId="0" borderId="35" xfId="0" applyNumberFormat="1" applyFont="1" applyBorder="1"/>
    <xf numFmtId="165" fontId="53" fillId="0" borderId="35" xfId="0" applyNumberFormat="1" applyFont="1" applyBorder="1" applyProtection="1"/>
    <xf numFmtId="0" fontId="53" fillId="0" borderId="32" xfId="0" applyFont="1" applyBorder="1" applyAlignment="1" applyProtection="1">
      <alignment horizontal="left"/>
    </xf>
    <xf numFmtId="0" fontId="53" fillId="0" borderId="12" xfId="0" applyFont="1" applyBorder="1" applyAlignment="1">
      <alignment horizontal="center"/>
    </xf>
    <xf numFmtId="49" fontId="53" fillId="0" borderId="12" xfId="0" applyNumberFormat="1" applyFont="1" applyBorder="1" applyAlignment="1"/>
    <xf numFmtId="49" fontId="53" fillId="0" borderId="25" xfId="0" applyNumberFormat="1" applyFont="1" applyBorder="1" applyAlignment="1" applyProtection="1"/>
    <xf numFmtId="0" fontId="70" fillId="0" borderId="12" xfId="0" applyFont="1" applyBorder="1" applyProtection="1"/>
    <xf numFmtId="0" fontId="70" fillId="0" borderId="12" xfId="0" applyFont="1" applyBorder="1" applyAlignment="1" applyProtection="1">
      <alignment horizontal="left"/>
    </xf>
    <xf numFmtId="0" fontId="53" fillId="0" borderId="12" xfId="0" applyFont="1" applyBorder="1" applyProtection="1"/>
    <xf numFmtId="2" fontId="53" fillId="0" borderId="25" xfId="0" applyNumberFormat="1" applyFont="1" applyBorder="1" applyProtection="1"/>
    <xf numFmtId="0" fontId="70" fillId="0" borderId="12" xfId="0" applyFont="1" applyBorder="1"/>
    <xf numFmtId="0" fontId="70" fillId="0" borderId="0" xfId="0" applyFont="1" applyBorder="1"/>
    <xf numFmtId="0" fontId="70" fillId="0" borderId="0" xfId="0" applyFont="1" applyBorder="1" applyAlignment="1" applyProtection="1">
      <alignment horizontal="left"/>
    </xf>
    <xf numFmtId="165" fontId="53" fillId="0" borderId="12" xfId="0" applyNumberFormat="1" applyFont="1" applyBorder="1" applyAlignment="1" applyProtection="1">
      <alignment horizontal="center"/>
    </xf>
    <xf numFmtId="0" fontId="53" fillId="0" borderId="12" xfId="0" applyFont="1" applyBorder="1" applyAlignment="1" applyProtection="1">
      <alignment horizontal="center"/>
    </xf>
    <xf numFmtId="0" fontId="53" fillId="0" borderId="0" xfId="0" applyFont="1" applyAlignment="1" applyProtection="1">
      <alignment horizontal="fill"/>
    </xf>
    <xf numFmtId="49" fontId="53" fillId="0" borderId="15" xfId="0" applyNumberFormat="1" applyFont="1" applyBorder="1" applyAlignment="1" applyProtection="1">
      <alignment horizontal="left"/>
    </xf>
    <xf numFmtId="49" fontId="53" fillId="0" borderId="14" xfId="0" applyNumberFormat="1" applyFont="1" applyBorder="1"/>
    <xf numFmtId="49" fontId="53" fillId="0" borderId="16" xfId="0" applyNumberFormat="1" applyFont="1" applyBorder="1"/>
    <xf numFmtId="49" fontId="53" fillId="0" borderId="0" xfId="0" applyNumberFormat="1" applyFont="1" applyAlignment="1" applyProtection="1"/>
    <xf numFmtId="49" fontId="53" fillId="0" borderId="18" xfId="0" applyNumberFormat="1" applyFont="1" applyBorder="1" applyAlignment="1" applyProtection="1"/>
    <xf numFmtId="49" fontId="53" fillId="0" borderId="19" xfId="0" applyNumberFormat="1" applyFont="1" applyBorder="1" applyAlignment="1" applyProtection="1"/>
    <xf numFmtId="49" fontId="53" fillId="0" borderId="20" xfId="0" applyNumberFormat="1" applyFont="1" applyBorder="1" applyAlignment="1" applyProtection="1"/>
    <xf numFmtId="0" fontId="53" fillId="0" borderId="7" xfId="0" applyFont="1" applyBorder="1" applyAlignment="1" applyProtection="1">
      <alignment horizontal="left"/>
    </xf>
    <xf numFmtId="0" fontId="53" fillId="0" borderId="6" xfId="0" applyFont="1" applyBorder="1" applyAlignment="1" applyProtection="1">
      <alignment horizontal="left"/>
    </xf>
    <xf numFmtId="0" fontId="53" fillId="0" borderId="6" xfId="0" applyFont="1" applyBorder="1"/>
    <xf numFmtId="0" fontId="53" fillId="0" borderId="10" xfId="0" applyFont="1" applyBorder="1"/>
    <xf numFmtId="0" fontId="53" fillId="0" borderId="9" xfId="0" applyFont="1" applyBorder="1" applyAlignment="1" applyProtection="1">
      <alignment horizontal="left"/>
    </xf>
    <xf numFmtId="165" fontId="53" fillId="0" borderId="18" xfId="0" applyNumberFormat="1" applyFont="1" applyBorder="1" applyProtection="1"/>
    <xf numFmtId="165" fontId="53" fillId="0" borderId="20" xfId="0" applyNumberFormat="1" applyFont="1" applyBorder="1" applyProtection="1"/>
    <xf numFmtId="165" fontId="53" fillId="0" borderId="15" xfId="0" applyNumberFormat="1" applyFont="1" applyBorder="1" applyProtection="1"/>
    <xf numFmtId="1" fontId="53" fillId="0" borderId="16" xfId="0" applyNumberFormat="1" applyFont="1" applyBorder="1"/>
    <xf numFmtId="0" fontId="53" fillId="0" borderId="14" xfId="0" applyFont="1" applyBorder="1"/>
    <xf numFmtId="1" fontId="53" fillId="0" borderId="17" xfId="0" applyNumberFormat="1" applyFont="1" applyBorder="1"/>
    <xf numFmtId="1" fontId="53" fillId="0" borderId="20" xfId="0" applyNumberFormat="1" applyFont="1" applyBorder="1"/>
    <xf numFmtId="0" fontId="53" fillId="0" borderId="19" xfId="0" applyFont="1" applyFill="1" applyBorder="1"/>
    <xf numFmtId="0" fontId="53" fillId="0" borderId="19" xfId="0" applyFont="1" applyBorder="1"/>
    <xf numFmtId="0" fontId="53" fillId="0" borderId="0" xfId="0" applyFont="1" applyAlignment="1" applyProtection="1"/>
    <xf numFmtId="0" fontId="53" fillId="0" borderId="0" xfId="0" applyFont="1" applyAlignment="1">
      <alignment horizontal="right"/>
    </xf>
    <xf numFmtId="0" fontId="53" fillId="0" borderId="15" xfId="0" applyFont="1" applyBorder="1"/>
    <xf numFmtId="0" fontId="53" fillId="0" borderId="16" xfId="0" applyFont="1" applyBorder="1"/>
    <xf numFmtId="0" fontId="53" fillId="0" borderId="18" xfId="0" applyFont="1" applyBorder="1"/>
    <xf numFmtId="0" fontId="53" fillId="0" borderId="20" xfId="0" applyFont="1" applyBorder="1"/>
    <xf numFmtId="0" fontId="53" fillId="3" borderId="10" xfId="0" applyFont="1" applyFill="1" applyBorder="1"/>
    <xf numFmtId="2" fontId="53" fillId="3" borderId="0" xfId="0" applyNumberFormat="1" applyFont="1" applyFill="1" applyBorder="1"/>
    <xf numFmtId="0" fontId="53" fillId="0" borderId="17" xfId="0" applyFont="1" applyBorder="1"/>
    <xf numFmtId="0" fontId="53" fillId="0" borderId="0" xfId="0" applyFont="1" applyFill="1"/>
    <xf numFmtId="0" fontId="53" fillId="3" borderId="18" xfId="0" applyFont="1" applyFill="1" applyBorder="1"/>
    <xf numFmtId="2" fontId="53" fillId="0" borderId="19" xfId="0" applyNumberFormat="1" applyFont="1" applyBorder="1"/>
    <xf numFmtId="2" fontId="53" fillId="3" borderId="19" xfId="0" applyNumberFormat="1" applyFont="1" applyFill="1" applyBorder="1"/>
    <xf numFmtId="2" fontId="53" fillId="0" borderId="0" xfId="0" applyNumberFormat="1" applyFont="1" applyFill="1"/>
    <xf numFmtId="0" fontId="53" fillId="0" borderId="7" xfId="0" applyFont="1" applyBorder="1"/>
    <xf numFmtId="0" fontId="53" fillId="0" borderId="9" xfId="0" applyFont="1" applyBorder="1"/>
    <xf numFmtId="16" fontId="53" fillId="0" borderId="7" xfId="0" applyNumberFormat="1" applyFont="1" applyBorder="1"/>
    <xf numFmtId="165" fontId="53" fillId="0" borderId="15" xfId="0" applyNumberFormat="1" applyFont="1" applyBorder="1"/>
    <xf numFmtId="165" fontId="53" fillId="0" borderId="14" xfId="0" applyNumberFormat="1" applyFont="1" applyBorder="1"/>
    <xf numFmtId="165" fontId="53" fillId="0" borderId="16" xfId="0" applyNumberFormat="1" applyFont="1" applyBorder="1"/>
    <xf numFmtId="165" fontId="53" fillId="0" borderId="10" xfId="0" applyNumberFormat="1" applyFont="1" applyBorder="1"/>
    <xf numFmtId="165" fontId="53" fillId="0" borderId="17" xfId="0" applyNumberFormat="1" applyFont="1" applyBorder="1"/>
    <xf numFmtId="165" fontId="53" fillId="0" borderId="18" xfId="0" applyNumberFormat="1" applyFont="1" applyBorder="1"/>
    <xf numFmtId="165" fontId="53" fillId="0" borderId="19" xfId="0" applyNumberFormat="1" applyFont="1" applyBorder="1"/>
    <xf numFmtId="165" fontId="53" fillId="0" borderId="20" xfId="0" applyNumberFormat="1" applyFont="1" applyBorder="1"/>
    <xf numFmtId="0" fontId="70" fillId="0" borderId="25" xfId="0" applyFont="1" applyBorder="1"/>
    <xf numFmtId="0" fontId="53" fillId="5" borderId="0" xfId="0" applyFont="1" applyFill="1" applyBorder="1" applyAlignment="1" applyProtection="1">
      <alignment horizontal="left"/>
    </xf>
    <xf numFmtId="0" fontId="53" fillId="5" borderId="0" xfId="0" applyFont="1" applyFill="1" applyBorder="1"/>
    <xf numFmtId="0" fontId="69" fillId="5" borderId="0" xfId="0" applyFont="1" applyFill="1" applyBorder="1" applyProtection="1">
      <protection locked="0"/>
    </xf>
    <xf numFmtId="2" fontId="66" fillId="5" borderId="0" xfId="0" applyNumberFormat="1" applyFont="1" applyFill="1" applyBorder="1" applyAlignment="1" applyProtection="1">
      <alignment horizontal="right"/>
    </xf>
    <xf numFmtId="0" fontId="45" fillId="0" borderId="25" xfId="0" applyFont="1" applyBorder="1"/>
    <xf numFmtId="0" fontId="53" fillId="0" borderId="12" xfId="0" applyFont="1" applyBorder="1" applyAlignment="1">
      <alignment horizontal="center"/>
    </xf>
    <xf numFmtId="2" fontId="41" fillId="0" borderId="0" xfId="0" applyNumberFormat="1" applyFont="1" applyBorder="1" applyAlignment="1" applyProtection="1">
      <alignment horizontal="right"/>
    </xf>
    <xf numFmtId="2" fontId="41" fillId="0" borderId="0" xfId="0" applyNumberFormat="1" applyFont="1" applyBorder="1" applyProtection="1"/>
    <xf numFmtId="0" fontId="41" fillId="0" borderId="0" xfId="0" applyFont="1" applyBorder="1" applyAlignment="1" applyProtection="1">
      <alignment horizontal="left"/>
    </xf>
    <xf numFmtId="0" fontId="53" fillId="0" borderId="47" xfId="0" applyFont="1" applyBorder="1" applyAlignment="1">
      <alignment horizontal="center"/>
    </xf>
    <xf numFmtId="0" fontId="52" fillId="0" borderId="2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6" xfId="0" applyFont="1" applyBorder="1" applyAlignment="1" applyProtection="1">
      <alignment horizontal="center"/>
    </xf>
    <xf numFmtId="0" fontId="52" fillId="0" borderId="9" xfId="0" applyFont="1" applyBorder="1" applyAlignment="1">
      <alignment horizontal="center"/>
    </xf>
    <xf numFmtId="165" fontId="71" fillId="0" borderId="12" xfId="0" applyNumberFormat="1" applyFont="1" applyBorder="1" applyProtection="1">
      <protection locked="0"/>
    </xf>
    <xf numFmtId="165" fontId="101" fillId="0" borderId="0" xfId="0" applyNumberFormat="1" applyFont="1" applyProtection="1"/>
    <xf numFmtId="0" fontId="2" fillId="5" borderId="0" xfId="0" applyFont="1" applyFill="1" applyBorder="1" applyAlignment="1" applyProtection="1">
      <alignment horizontal="left"/>
    </xf>
    <xf numFmtId="0" fontId="6" fillId="5" borderId="0" xfId="0" applyFont="1" applyFill="1" applyBorder="1" applyAlignment="1" applyProtection="1">
      <alignment horizontal="left"/>
    </xf>
    <xf numFmtId="0" fontId="6" fillId="5" borderId="0" xfId="0" applyFont="1" applyFill="1" applyBorder="1"/>
    <xf numFmtId="0" fontId="5" fillId="5" borderId="0" xfId="0" applyFont="1" applyFill="1" applyBorder="1" applyProtection="1"/>
    <xf numFmtId="2" fontId="6" fillId="5" borderId="0" xfId="0" applyNumberFormat="1" applyFont="1" applyFill="1" applyBorder="1" applyAlignment="1" applyProtection="1">
      <alignment horizontal="right"/>
    </xf>
    <xf numFmtId="20" fontId="11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 applyProtection="1">
      <alignment horizontal="center"/>
    </xf>
    <xf numFmtId="49" fontId="2" fillId="0" borderId="12" xfId="0" applyNumberFormat="1" applyFont="1" applyBorder="1" applyAlignment="1">
      <alignment horizontal="center"/>
    </xf>
    <xf numFmtId="164" fontId="83" fillId="0" borderId="0" xfId="0" applyNumberFormat="1" applyFont="1"/>
    <xf numFmtId="173" fontId="53" fillId="0" borderId="35" xfId="0" applyNumberFormat="1" applyFont="1" applyBorder="1"/>
    <xf numFmtId="0" fontId="75" fillId="0" borderId="0" xfId="0" applyFont="1"/>
    <xf numFmtId="164" fontId="0" fillId="0" borderId="0" xfId="0" applyNumberFormat="1" applyAlignment="1" applyProtection="1">
      <alignment horizontal="right"/>
    </xf>
    <xf numFmtId="164" fontId="3" fillId="0" borderId="0" xfId="0" applyNumberFormat="1" applyFont="1" applyBorder="1" applyAlignment="1">
      <alignment horizontal="left"/>
    </xf>
    <xf numFmtId="164" fontId="2" fillId="0" borderId="0" xfId="0" applyNumberFormat="1" applyFont="1" applyBorder="1" applyProtection="1">
      <protection locked="0"/>
    </xf>
    <xf numFmtId="0" fontId="2" fillId="0" borderId="0" xfId="0" applyFont="1" applyBorder="1" applyAlignment="1">
      <alignment vertical="center" wrapText="1"/>
    </xf>
    <xf numFmtId="0" fontId="0" fillId="0" borderId="24" xfId="0" applyBorder="1"/>
    <xf numFmtId="0" fontId="0" fillId="0" borderId="36" xfId="0" applyBorder="1"/>
    <xf numFmtId="165" fontId="71" fillId="6" borderId="0" xfId="0" applyNumberFormat="1" applyFont="1" applyFill="1" applyBorder="1" applyProtection="1"/>
    <xf numFmtId="1" fontId="6" fillId="0" borderId="0" xfId="0" applyNumberFormat="1" applyFont="1" applyBorder="1" applyProtection="1"/>
    <xf numFmtId="0" fontId="11" fillId="0" borderId="0" xfId="0" applyFont="1"/>
    <xf numFmtId="0" fontId="75" fillId="0" borderId="0" xfId="0" applyFont="1" applyAlignment="1">
      <alignment horizontal="left" vertical="center"/>
    </xf>
    <xf numFmtId="0" fontId="102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64" fontId="2" fillId="0" borderId="0" xfId="0" applyNumberFormat="1" applyFont="1" applyFill="1" applyBorder="1" applyAlignment="1">
      <alignment horizontal="left"/>
    </xf>
    <xf numFmtId="164" fontId="3" fillId="0" borderId="0" xfId="0" applyNumberFormat="1" applyFont="1" applyBorder="1" applyAlignment="1">
      <alignment horizontal="left"/>
    </xf>
    <xf numFmtId="0" fontId="0" fillId="0" borderId="0" xfId="0" applyBorder="1" applyAlignment="1">
      <alignment horizontal="left"/>
    </xf>
    <xf numFmtId="164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64" fontId="6" fillId="0" borderId="0" xfId="0" applyNumberFormat="1" applyFont="1" applyBorder="1" applyAlignment="1" applyProtection="1">
      <alignment horizontal="center"/>
    </xf>
    <xf numFmtId="164" fontId="0" fillId="0" borderId="23" xfId="0" applyNumberFormat="1" applyBorder="1" applyAlignment="1" applyProtection="1">
      <alignment horizontal="center"/>
    </xf>
    <xf numFmtId="164" fontId="0" fillId="0" borderId="22" xfId="0" applyNumberFormat="1" applyBorder="1" applyAlignment="1" applyProtection="1">
      <alignment horizontal="center"/>
    </xf>
    <xf numFmtId="164" fontId="53" fillId="0" borderId="0" xfId="0" applyNumberFormat="1" applyFont="1" applyBorder="1" applyAlignment="1" applyProtection="1">
      <alignment horizontal="left"/>
    </xf>
    <xf numFmtId="164" fontId="53" fillId="0" borderId="12" xfId="0" applyNumberFormat="1" applyFont="1" applyBorder="1" applyAlignment="1" applyProtection="1">
      <alignment horizontal="center"/>
    </xf>
    <xf numFmtId="164" fontId="53" fillId="0" borderId="0" xfId="0" applyNumberFormat="1" applyFont="1" applyBorder="1" applyAlignment="1">
      <alignment horizontal="center"/>
    </xf>
    <xf numFmtId="165" fontId="53" fillId="0" borderId="25" xfId="0" applyNumberFormat="1" applyFont="1" applyBorder="1" applyAlignment="1">
      <alignment horizontal="center" vertical="center"/>
    </xf>
    <xf numFmtId="164" fontId="70" fillId="0" borderId="0" xfId="0" applyNumberFormat="1" applyFont="1" applyBorder="1" applyAlignment="1">
      <alignment horizontal="center"/>
    </xf>
    <xf numFmtId="164" fontId="53" fillId="0" borderId="0" xfId="0" applyNumberFormat="1" applyFont="1" applyAlignment="1">
      <alignment horizontal="center"/>
    </xf>
    <xf numFmtId="164" fontId="53" fillId="0" borderId="0" xfId="0" applyNumberFormat="1" applyFont="1" applyBorder="1" applyAlignment="1" applyProtection="1">
      <alignment horizontal="center"/>
    </xf>
    <xf numFmtId="164" fontId="53" fillId="0" borderId="23" xfId="0" applyNumberFormat="1" applyFont="1" applyBorder="1" applyAlignment="1" applyProtection="1">
      <alignment horizontal="center"/>
    </xf>
    <xf numFmtId="164" fontId="53" fillId="0" borderId="21" xfId="0" applyNumberFormat="1" applyFont="1" applyBorder="1" applyAlignment="1" applyProtection="1">
      <alignment horizontal="center"/>
    </xf>
    <xf numFmtId="164" fontId="53" fillId="0" borderId="44" xfId="0" applyNumberFormat="1" applyFont="1" applyBorder="1" applyAlignment="1" applyProtection="1">
      <alignment horizontal="center"/>
    </xf>
    <xf numFmtId="0" fontId="53" fillId="0" borderId="23" xfId="0" applyFont="1" applyBorder="1" applyAlignment="1">
      <alignment horizontal="center"/>
    </xf>
    <xf numFmtId="0" fontId="53" fillId="0" borderId="21" xfId="0" applyFont="1" applyBorder="1" applyAlignment="1">
      <alignment horizontal="center"/>
    </xf>
    <xf numFmtId="0" fontId="53" fillId="0" borderId="22" xfId="0" applyFont="1" applyBorder="1" applyAlignment="1">
      <alignment horizontal="center"/>
    </xf>
    <xf numFmtId="49" fontId="6" fillId="0" borderId="0" xfId="0" applyNumberFormat="1" applyFont="1" applyBorder="1" applyAlignment="1">
      <alignment horizontal="center"/>
    </xf>
    <xf numFmtId="0" fontId="53" fillId="0" borderId="0" xfId="0" applyFont="1" applyBorder="1" applyAlignment="1">
      <alignment horizontal="center"/>
    </xf>
    <xf numFmtId="49" fontId="53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65" fontId="53" fillId="0" borderId="0" xfId="0" applyNumberFormat="1" applyFont="1" applyBorder="1" applyAlignment="1" applyProtection="1">
      <alignment horizontal="center"/>
    </xf>
    <xf numFmtId="49" fontId="53" fillId="0" borderId="23" xfId="0" applyNumberFormat="1" applyFont="1" applyBorder="1" applyAlignment="1">
      <alignment horizontal="center"/>
    </xf>
    <xf numFmtId="49" fontId="53" fillId="0" borderId="21" xfId="0" applyNumberFormat="1" applyFont="1" applyBorder="1" applyAlignment="1">
      <alignment horizontal="center"/>
    </xf>
    <xf numFmtId="49" fontId="53" fillId="0" borderId="22" xfId="0" applyNumberFormat="1" applyFont="1" applyBorder="1" applyAlignment="1">
      <alignment horizontal="center"/>
    </xf>
    <xf numFmtId="0" fontId="89" fillId="0" borderId="33" xfId="0" applyFont="1" applyBorder="1" applyAlignment="1" applyProtection="1">
      <alignment horizontal="left"/>
    </xf>
    <xf numFmtId="0" fontId="89" fillId="0" borderId="0" xfId="0" applyFont="1" applyBorder="1" applyAlignment="1" applyProtection="1">
      <alignment horizontal="left"/>
    </xf>
    <xf numFmtId="0" fontId="53" fillId="0" borderId="26" xfId="0" applyFont="1" applyBorder="1" applyAlignment="1">
      <alignment horizontal="center"/>
    </xf>
    <xf numFmtId="0" fontId="53" fillId="0" borderId="27" xfId="0" applyFont="1" applyBorder="1" applyAlignment="1">
      <alignment horizontal="center"/>
    </xf>
    <xf numFmtId="0" fontId="53" fillId="0" borderId="28" xfId="0" applyFont="1" applyBorder="1" applyAlignment="1">
      <alignment horizontal="center"/>
    </xf>
    <xf numFmtId="0" fontId="53" fillId="0" borderId="29" xfId="0" applyFont="1" applyBorder="1" applyAlignment="1">
      <alignment horizontal="center"/>
    </xf>
    <xf numFmtId="0" fontId="53" fillId="0" borderId="12" xfId="0" applyFont="1" applyBorder="1" applyAlignment="1">
      <alignment horizontal="center"/>
    </xf>
    <xf numFmtId="0" fontId="53" fillId="0" borderId="12" xfId="0" applyFont="1" applyBorder="1" applyAlignment="1" applyProtection="1">
      <alignment horizontal="center"/>
    </xf>
    <xf numFmtId="0" fontId="87" fillId="0" borderId="0" xfId="0" applyFont="1" applyBorder="1" applyAlignment="1" applyProtection="1">
      <alignment horizontal="center"/>
    </xf>
    <xf numFmtId="0" fontId="71" fillId="0" borderId="0" xfId="0" applyFont="1" applyBorder="1" applyAlignment="1">
      <alignment horizontal="left"/>
    </xf>
    <xf numFmtId="0" fontId="6" fillId="0" borderId="23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165" fontId="6" fillId="0" borderId="23" xfId="0" applyNumberFormat="1" applyFont="1" applyBorder="1" applyAlignment="1" applyProtection="1">
      <alignment horizontal="center"/>
    </xf>
    <xf numFmtId="165" fontId="6" fillId="0" borderId="21" xfId="0" applyNumberFormat="1" applyFont="1" applyBorder="1" applyAlignment="1" applyProtection="1">
      <alignment horizontal="center"/>
    </xf>
    <xf numFmtId="165" fontId="6" fillId="0" borderId="22" xfId="0" applyNumberFormat="1" applyFont="1" applyBorder="1" applyAlignment="1" applyProtection="1">
      <alignment horizontal="center"/>
    </xf>
    <xf numFmtId="0" fontId="6" fillId="0" borderId="14" xfId="0" applyFont="1" applyBorder="1" applyAlignment="1">
      <alignment horizontal="center"/>
    </xf>
    <xf numFmtId="49" fontId="6" fillId="0" borderId="14" xfId="0" applyNumberFormat="1" applyFont="1" applyBorder="1" applyAlignment="1">
      <alignment horizontal="center"/>
    </xf>
    <xf numFmtId="0" fontId="6" fillId="0" borderId="23" xfId="0" applyFont="1" applyBorder="1" applyAlignment="1" applyProtection="1">
      <alignment horizontal="center"/>
    </xf>
    <xf numFmtId="0" fontId="6" fillId="0" borderId="21" xfId="0" applyFont="1" applyBorder="1" applyAlignment="1" applyProtection="1">
      <alignment horizontal="center"/>
    </xf>
    <xf numFmtId="0" fontId="6" fillId="0" borderId="22" xfId="0" applyFont="1" applyBorder="1" applyAlignment="1" applyProtection="1">
      <alignment horizontal="center"/>
    </xf>
    <xf numFmtId="0" fontId="7" fillId="0" borderId="33" xfId="0" applyFont="1" applyBorder="1" applyAlignment="1" applyProtection="1">
      <alignment horizontal="left"/>
    </xf>
    <xf numFmtId="0" fontId="7" fillId="0" borderId="0" xfId="0" applyFont="1" applyBorder="1" applyAlignment="1" applyProtection="1">
      <alignment horizontal="left"/>
    </xf>
    <xf numFmtId="0" fontId="6" fillId="0" borderId="26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164" fontId="6" fillId="0" borderId="0" xfId="0" applyNumberFormat="1" applyFont="1" applyAlignment="1" applyProtection="1">
      <alignment horizontal="center"/>
    </xf>
    <xf numFmtId="49" fontId="6" fillId="0" borderId="15" xfId="0" applyNumberFormat="1" applyFont="1" applyBorder="1" applyAlignment="1" applyProtection="1">
      <alignment horizontal="center"/>
    </xf>
    <xf numFmtId="49" fontId="6" fillId="0" borderId="16" xfId="0" applyNumberFormat="1" applyFont="1" applyBorder="1" applyAlignment="1" applyProtection="1">
      <alignment horizontal="center"/>
    </xf>
    <xf numFmtId="164" fontId="42" fillId="0" borderId="23" xfId="0" applyNumberFormat="1" applyFont="1" applyBorder="1" applyAlignment="1" applyProtection="1">
      <alignment horizontal="center"/>
    </xf>
    <xf numFmtId="164" fontId="42" fillId="0" borderId="22" xfId="0" applyNumberFormat="1" applyFont="1" applyBorder="1" applyAlignment="1" applyProtection="1">
      <alignment horizontal="center"/>
    </xf>
    <xf numFmtId="49" fontId="6" fillId="0" borderId="23" xfId="0" applyNumberFormat="1" applyFont="1" applyBorder="1" applyAlignment="1">
      <alignment horizontal="center"/>
    </xf>
    <xf numFmtId="49" fontId="6" fillId="0" borderId="21" xfId="0" applyNumberFormat="1" applyFont="1" applyBorder="1" applyAlignment="1">
      <alignment horizontal="center"/>
    </xf>
    <xf numFmtId="49" fontId="6" fillId="0" borderId="22" xfId="0" applyNumberFormat="1" applyFont="1" applyBorder="1" applyAlignment="1">
      <alignment horizontal="center"/>
    </xf>
    <xf numFmtId="165" fontId="0" fillId="0" borderId="23" xfId="0" applyNumberFormat="1" applyFont="1" applyBorder="1" applyAlignment="1" applyProtection="1">
      <alignment horizontal="center"/>
      <protection locked="0"/>
    </xf>
    <xf numFmtId="165" fontId="0" fillId="0" borderId="21" xfId="0" applyNumberFormat="1" applyFont="1" applyBorder="1" applyAlignment="1" applyProtection="1">
      <alignment horizontal="center"/>
      <protection locked="0"/>
    </xf>
    <xf numFmtId="165" fontId="0" fillId="0" borderId="22" xfId="0" applyNumberFormat="1" applyFont="1" applyBorder="1" applyAlignment="1" applyProtection="1">
      <alignment horizontal="center"/>
      <protection locked="0"/>
    </xf>
    <xf numFmtId="165" fontId="0" fillId="0" borderId="23" xfId="0" applyNumberFormat="1" applyBorder="1" applyAlignment="1" applyProtection="1">
      <alignment horizontal="center"/>
    </xf>
    <xf numFmtId="165" fontId="0" fillId="0" borderId="21" xfId="0" applyNumberFormat="1" applyBorder="1" applyAlignment="1" applyProtection="1">
      <alignment horizontal="center"/>
    </xf>
    <xf numFmtId="165" fontId="0" fillId="0" borderId="22" xfId="0" applyNumberFormat="1" applyBorder="1" applyAlignment="1" applyProtection="1">
      <alignment horizontal="center"/>
    </xf>
    <xf numFmtId="164" fontId="6" fillId="0" borderId="23" xfId="0" applyNumberFormat="1" applyFont="1" applyBorder="1" applyAlignment="1" applyProtection="1">
      <alignment horizontal="center"/>
    </xf>
    <xf numFmtId="164" fontId="6" fillId="0" borderId="21" xfId="0" applyNumberFormat="1" applyFont="1" applyBorder="1" applyAlignment="1" applyProtection="1">
      <alignment horizontal="center"/>
    </xf>
    <xf numFmtId="164" fontId="45" fillId="0" borderId="35" xfId="0" applyNumberFormat="1" applyFont="1" applyBorder="1" applyAlignment="1">
      <alignment horizontal="center"/>
    </xf>
    <xf numFmtId="164" fontId="45" fillId="0" borderId="36" xfId="0" applyNumberFormat="1" applyFont="1" applyBorder="1" applyAlignment="1">
      <alignment horizontal="center"/>
    </xf>
    <xf numFmtId="164" fontId="5" fillId="0" borderId="0" xfId="0" applyNumberFormat="1" applyFont="1" applyBorder="1" applyAlignment="1" applyProtection="1">
      <alignment horizontal="center"/>
      <protection locked="0"/>
    </xf>
    <xf numFmtId="164" fontId="45" fillId="0" borderId="0" xfId="0" applyNumberFormat="1" applyFont="1" applyBorder="1" applyAlignment="1">
      <alignment horizontal="center"/>
    </xf>
    <xf numFmtId="164" fontId="45" fillId="0" borderId="25" xfId="0" applyNumberFormat="1" applyFont="1" applyBorder="1" applyAlignment="1">
      <alignment horizontal="center"/>
    </xf>
    <xf numFmtId="0" fontId="52" fillId="0" borderId="0" xfId="0" applyFont="1" applyAlignment="1">
      <alignment horizontal="left"/>
    </xf>
    <xf numFmtId="164" fontId="2" fillId="0" borderId="15" xfId="0" applyNumberFormat="1" applyFon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164" fontId="2" fillId="0" borderId="10" xfId="0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64" fontId="2" fillId="0" borderId="18" xfId="0" applyNumberFormat="1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0" fontId="53" fillId="0" borderId="0" xfId="0" applyFont="1" applyBorder="1" applyAlignment="1">
      <alignment horizontal="left"/>
    </xf>
    <xf numFmtId="164" fontId="66" fillId="0" borderId="0" xfId="0" applyNumberFormat="1" applyFont="1" applyBorder="1" applyAlignment="1">
      <alignment horizontal="center"/>
    </xf>
    <xf numFmtId="164" fontId="53" fillId="0" borderId="6" xfId="0" applyNumberFormat="1" applyFont="1" applyBorder="1" applyAlignment="1">
      <alignment horizontal="center" vertical="top" wrapText="1"/>
    </xf>
    <xf numFmtId="0" fontId="53" fillId="0" borderId="9" xfId="0" applyFont="1" applyBorder="1" applyAlignment="1">
      <alignment wrapText="1"/>
    </xf>
    <xf numFmtId="164" fontId="53" fillId="0" borderId="23" xfId="0" applyNumberFormat="1" applyFont="1" applyBorder="1" applyAlignment="1">
      <alignment horizontal="center"/>
    </xf>
    <xf numFmtId="164" fontId="53" fillId="0" borderId="22" xfId="0" applyNumberFormat="1" applyFont="1" applyBorder="1" applyAlignment="1">
      <alignment horizontal="center"/>
    </xf>
    <xf numFmtId="164" fontId="53" fillId="0" borderId="23" xfId="0" applyNumberFormat="1" applyFont="1" applyBorder="1" applyAlignment="1">
      <alignment horizontal="left"/>
    </xf>
    <xf numFmtId="164" fontId="53" fillId="0" borderId="22" xfId="0" applyNumberFormat="1" applyFont="1" applyBorder="1" applyAlignment="1">
      <alignment horizontal="left"/>
    </xf>
    <xf numFmtId="2" fontId="53" fillId="0" borderId="23" xfId="0" applyNumberFormat="1" applyFont="1" applyBorder="1" applyAlignment="1">
      <alignment horizontal="center"/>
    </xf>
    <xf numFmtId="164" fontId="53" fillId="0" borderId="10" xfId="0" applyNumberFormat="1" applyFont="1" applyBorder="1" applyAlignment="1">
      <alignment horizontal="center" vertical="top" wrapText="1"/>
    </xf>
    <xf numFmtId="164" fontId="53" fillId="0" borderId="17" xfId="0" applyNumberFormat="1" applyFont="1" applyBorder="1" applyAlignment="1">
      <alignment horizontal="center" vertical="top" wrapText="1"/>
    </xf>
    <xf numFmtId="164" fontId="53" fillId="0" borderId="18" xfId="0" applyNumberFormat="1" applyFont="1" applyBorder="1" applyAlignment="1">
      <alignment horizontal="center" vertical="top" wrapText="1"/>
    </xf>
    <xf numFmtId="164" fontId="53" fillId="0" borderId="20" xfId="0" applyNumberFormat="1" applyFont="1" applyBorder="1" applyAlignment="1">
      <alignment horizontal="center" vertical="top" wrapText="1"/>
    </xf>
    <xf numFmtId="164" fontId="53" fillId="0" borderId="15" xfId="0" applyNumberFormat="1" applyFont="1" applyBorder="1" applyAlignment="1">
      <alignment horizontal="center" wrapText="1"/>
    </xf>
    <xf numFmtId="164" fontId="53" fillId="0" borderId="16" xfId="0" applyNumberFormat="1" applyFont="1" applyBorder="1" applyAlignment="1">
      <alignment horizontal="center" wrapText="1"/>
    </xf>
    <xf numFmtId="164" fontId="53" fillId="0" borderId="10" xfId="0" applyNumberFormat="1" applyFont="1" applyBorder="1" applyAlignment="1">
      <alignment horizontal="center" wrapText="1"/>
    </xf>
    <xf numFmtId="164" fontId="53" fillId="0" borderId="17" xfId="0" applyNumberFormat="1" applyFont="1" applyBorder="1" applyAlignment="1">
      <alignment horizontal="center" wrapText="1"/>
    </xf>
    <xf numFmtId="164" fontId="53" fillId="0" borderId="18" xfId="0" applyNumberFormat="1" applyFont="1" applyBorder="1" applyAlignment="1">
      <alignment horizontal="center" wrapText="1"/>
    </xf>
    <xf numFmtId="164" fontId="53" fillId="0" borderId="20" xfId="0" applyNumberFormat="1" applyFont="1" applyBorder="1" applyAlignment="1">
      <alignment horizontal="center" wrapText="1"/>
    </xf>
  </cellXfs>
  <cellStyles count="6">
    <cellStyle name="Comma" xfId="5" builtinId="3"/>
    <cellStyle name="Currency" xfId="4" builtinId="4"/>
    <cellStyle name="Normal" xfId="0" builtinId="0"/>
    <cellStyle name="Normal 2" xfId="3" xr:uid="{00000000-0005-0000-0000-000003000000}"/>
    <cellStyle name="Normal_Sreg-NT-Karuna" xfId="1" xr:uid="{00000000-0005-0000-0000-000004000000}"/>
    <cellStyle name="Percent" xfId="2" builtinId="5"/>
  </cellStyles>
  <dxfs count="0"/>
  <tableStyles count="0" defaultTableStyle="TableStyleMedium9" defaultPivotStyle="PivotStyleLight16"/>
  <colors>
    <mruColors>
      <color rgb="FF0000CC"/>
      <color rgb="FF000099"/>
      <color rgb="FF660066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5</xdr:row>
      <xdr:rowOff>104775</xdr:rowOff>
    </xdr:from>
    <xdr:to>
      <xdr:col>3</xdr:col>
      <xdr:colOff>19050</xdr:colOff>
      <xdr:row>5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F3931AE-7450-42DE-9B84-466D0E8289FA}"/>
            </a:ext>
          </a:extLst>
        </xdr:cNvPr>
        <xdr:cNvCxnSpPr/>
      </xdr:nvCxnSpPr>
      <xdr:spPr bwMode="auto">
        <a:xfrm>
          <a:off x="1695450" y="9839325"/>
          <a:ext cx="238125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" name="Drawing 1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6" name="Lin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" name="Lin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8" name="Lin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9" name="Lin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0" name="Lin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1" name="Lin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2" name="Lin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3" name="Lin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4" name="Lin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5" name="Lin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6" name="Lin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7" name="Lin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8" name="Lin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9" name="Lin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" name="Lin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1" name="Lin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2" name="Lin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3" name="Lin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4" name="Lin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5" name="Lin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6" name="Lin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" name="Lin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8" name="Lin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9" name="Lin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0" name="Lin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1" name="Lin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2" name="Lin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4" name="Lin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5" name="Lin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6" name="Lin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7" name="Lin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8" name="Lin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9" name="Lin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50" name="Lin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51" name="Lin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52" name="Lin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53" name="Lin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54" name="Line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55" name="Line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56" name="Lin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57" name="Lin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59" name="Line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60" name="Lin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61" name="Lin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62" name="Line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63" name="Line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64" name="Line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65" name="Line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66" name="Lin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67" name="Lin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68" name="Line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69" name="Lin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71" name="Drawing 1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72" name="Line 3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73" name="Line 4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74" name="Line 5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75" name="Line 6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76" name="Line 7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77" name="Line 8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78" name="Line 9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79" name="Line 10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80" name="Line 11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81" name="Line 12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82" name="Line 13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3" name="Line 14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84" name="Line 15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5" name="Line 16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86" name="Line 17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87" name="Line 18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88" name="Line 19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89" name="Line 20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90" name="Line 21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91" name="Line 22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92" name="Line 23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93" name="Line 24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94" name="Line 25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95" name="Line 26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96" name="Line 27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97" name="Line 28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98" name="Line 29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99" name="Line 30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00" name="Line 31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01" name="Line 32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02" name="Line 33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03" name="Line 34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04" name="Line 35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05" name="Line 36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06" name="Line 37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07" name="Line 38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08" name="Line 39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09" name="Line 40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10" name="Line 41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11" name="Rectangle 42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2" name="Line 43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3" name="Line 44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14" name="Line 45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15" name="Line 46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16" name="Line 47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17" name="Line 48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18" name="Line 49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19" name="Line 50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20" name="Line 51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21" name="Line 52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22" name="Line 53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23" name="Line 54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24" name="Line 55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25" name="Line 56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26" name="Rectangle 57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27" name="Line 58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28" name="Line 59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29" name="Line 60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30" name="Line 61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31" name="Line 62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32" name="Line 63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33" name="Line 64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34" name="Line 65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35" name="Line 66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36" name="Line 67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37" name="Line 68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38" name="Line 1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39" name="Drawing 16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40" name="Line 3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41" name="Line 4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42" name="Line 5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43" name="Line 6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44" name="Line 7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45" name="Line 8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46" name="Line 9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47" name="Line 10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48" name="Line 11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49" name="Line 12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50" name="Line 13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1" name="Line 14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52" name="Line 15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3" name="Line 16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54" name="Line 17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55" name="Line 18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56" name="Line 19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57" name="Line 20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58" name="Line 21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59" name="Line 22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60" name="Line 23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61" name="Line 24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62" name="Line 25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63" name="Line 26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64" name="Line 27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65" name="Line 28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66" name="Line 29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67" name="Line 30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68" name="Line 31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69" name="Line 32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70" name="Line 33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71" name="Line 34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72" name="Line 35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73" name="Line 36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74" name="Line 37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75" name="Line 38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76" name="Line 39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77" name="Line 40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78" name="Line 41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79" name="Rectangle 42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0" name="Line 43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1" name="Line 44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82" name="Line 45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83" name="Line 46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84" name="Line 47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85" name="Line 48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86" name="Line 49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87" name="Line 50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88" name="Line 51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89" name="Line 52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90" name="Line 53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91" name="Line 54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92" name="Line 55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93" name="Line 56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94" name="Rectangle 57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95" name="Line 58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96" name="Line 59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97" name="Line 60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98" name="Line 61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99" name="Line 62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00" name="Line 63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01" name="Line 64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02" name="Line 65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03" name="Line 66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04" name="Line 67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05" name="Line 68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06" name="Line 1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07" name="Drawing 1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08" name="Line 3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09" name="Line 4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10" name="Line 5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11" name="Line 6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12" name="Line 7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13" name="Line 8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14" name="Line 9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15" name="Line 10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16" name="Line 11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17" name="Line 12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18" name="Line 13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9" name="Line 14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20" name="Line 15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21" name="Line 16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22" name="Line 17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23" name="Line 18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24" name="Line 19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25" name="Line 20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26" name="Line 21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27" name="Line 22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28" name="Line 23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29" name="Line 24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30" name="Line 25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31" name="Line 26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32" name="Line 27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33" name="Line 28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34" name="Line 29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35" name="Line 30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36" name="Line 31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37" name="Line 32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38" name="Line 33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39" name="Line 34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40" name="Line 35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41" name="Line 36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42" name="Line 37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43" name="Line 38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44" name="Line 39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45" name="Line 40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46" name="Line 41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47" name="Rectangle 42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8" name="Line 43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9" name="Line 44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50" name="Line 45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51" name="Line 46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52" name="Line 47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53" name="Line 48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54" name="Line 49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55" name="Line 50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56" name="Line 51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57" name="Line 52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58" name="Line 53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59" name="Line 54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60" name="Line 55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61" name="Line 56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62" name="Rectangle 57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63" name="Line 58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64" name="Line 59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65" name="Line 60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66" name="Line 61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67" name="Line 62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68" name="Line 63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69" name="Line 64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70" name="Line 65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71" name="Line 66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72" name="Line 67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73" name="Line 68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74" name="Line 1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75" name="Drawing 16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76" name="Line 3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77" name="Line 4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78" name="Line 5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79" name="Line 6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80" name="Line 7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81" name="Line 8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82" name="Line 9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83" name="Line 10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84" name="Line 11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85" name="Line 12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86" name="Line 13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7" name="Line 14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88" name="Line 15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9" name="Line 16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90" name="Line 17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91" name="Line 18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92" name="Line 19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93" name="Line 20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94" name="Line 21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95" name="Line 22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96" name="Line 23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97" name="Line 24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98" name="Line 25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99" name="Line 26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00" name="Line 27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01" name="Line 28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2" name="Line 29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03" name="Line 30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04" name="Line 31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05" name="Line 32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06" name="Line 33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07" name="Line 34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08" name="Line 35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09" name="Line 36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10" name="Line 37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11" name="Line 38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12" name="Line 39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13" name="Line 40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14" name="Line 41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15" name="Rectangle 42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6" name="Line 43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7" name="Line 44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18" name="Line 45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19" name="Line 46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20" name="Line 47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21" name="Line 48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22" name="Line 49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23" name="Line 50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24" name="Line 51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25" name="Line 52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26" name="Line 53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27" name="Line 54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28" name="Line 55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29" name="Line 56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30" name="Rectangle 57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31" name="Line 58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32" name="Line 59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33" name="Line 60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34" name="Line 61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35" name="Line 62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36" name="Line 63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37" name="Line 64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38" name="Line 65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39" name="Line 66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40" name="Line 67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41" name="Line 68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42" name="Line 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43" name="Drawing 16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44" name="Line 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45" name="Line 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46" name="Line 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47" name="Line 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48" name="Line 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49" name="Line 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50" name="Line 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51" name="Line 1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52" name="Line 1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53" name="Line 1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54" name="Line 1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5" name="Line 1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56" name="Line 1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7" name="Line 1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58" name="Line 1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59" name="Line 18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60" name="Line 1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61" name="Line 2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62" name="Line 2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63" name="Line 2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64" name="Line 2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65" name="Line 2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66" name="Line 2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67" name="Line 2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68" name="Line 2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69" name="Line 2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70" name="Line 2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71" name="Line 3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72" name="Line 3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73" name="Line 3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74" name="Line 3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75" name="Line 3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76" name="Line 3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7" name="Line 3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78" name="Line 3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79" name="Line 3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80" name="Line 3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81" name="Line 4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82" name="Line 4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83" name="Rectangle 4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4" name="Line 4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5" name="Line 4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86" name="Line 45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87" name="Line 4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88" name="Line 4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89" name="Line 48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90" name="Line 4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91" name="Line 5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92" name="Line 5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93" name="Line 5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94" name="Line 5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95" name="Line 5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96" name="Line 55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97" name="Line 5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98" name="Rectangle 5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99" name="Line 5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00" name="Line 5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01" name="Line 6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02" name="Line 6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03" name="Line 6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04" name="Line 63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05" name="Line 6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06" name="Line 6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07" name="Line 6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08" name="Line 6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09" name="Line 6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10" name="Line 1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11" name="Drawing 16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12" name="Line 3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13" name="Line 4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14" name="Line 5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15" name="Line 6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16" name="Line 7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17" name="Line 8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18" name="Line 9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19" name="Line 10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20" name="Line 11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21" name="Line 12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22" name="Line 13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3" name="Line 14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24" name="Line 15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5" name="Line 16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26" name="Line 17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27" name="Line 18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28" name="Line 19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29" name="Line 20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30" name="Line 21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31" name="Line 22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32" name="Line 23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33" name="Line 24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34" name="Line 25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35" name="Line 26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36" name="Line 27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37" name="Line 28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38" name="Line 29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39" name="Line 30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40" name="Line 31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41" name="Line 32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42" name="Line 33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43" name="Line 34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44" name="Line 35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45" name="Line 36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46" name="Line 37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47" name="Line 38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48" name="Line 39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49" name="Line 40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50" name="Line 41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51" name="Rectangle 42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52" name="Line 43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53" name="Line 44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54" name="Line 45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55" name="Line 46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56" name="Line 47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57" name="Line 48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58" name="Line 49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59" name="Line 50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60" name="Line 51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61" name="Line 52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62" name="Line 53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63" name="Line 54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64" name="Line 55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65" name="Line 56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66" name="Rectangle 57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67" name="Line 58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68" name="Line 59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69" name="Line 60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70" name="Line 61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71" name="Line 62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72" name="Line 63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73" name="Line 64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74" name="Line 65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75" name="Line 66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76" name="Line 67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77" name="Line 68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78" name="Line 1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79" name="Drawing 16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80" name="Line 3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81" name="Line 4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82" name="Line 5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83" name="Line 6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84" name="Line 7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85" name="Line 8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86" name="Line 9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87" name="Line 10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88" name="Line 11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89" name="Line 12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90" name="Line 13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91" name="Line 14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92" name="Line 15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93" name="Line 16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94" name="Line 17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95" name="Line 18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96" name="Line 19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97" name="Line 20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98" name="Line 21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99" name="Line 22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500" name="Line 23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501" name="Line 24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502" name="Line 25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503" name="Line 26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504" name="Line 27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505" name="Line 28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506" name="Line 29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507" name="Line 30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508" name="Line 31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509" name="Line 32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510" name="Line 33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511" name="Line 34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512" name="Line 35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513" name="Line 36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514" name="Line 37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515" name="Line 38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516" name="Line 39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517" name="Line 40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518" name="Line 41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519" name="Rectangle 42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20" name="Line 43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21" name="Line 44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522" name="Line 45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523" name="Line 46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524" name="Line 47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525" name="Line 48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526" name="Line 49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527" name="Line 50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528" name="Line 51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529" name="Line 52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530" name="Line 53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531" name="Line 54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532" name="Line 55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533" name="Line 56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534" name="Rectangle 57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535" name="Line 58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536" name="Line 59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537" name="Line 60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538" name="Line 61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539" name="Line 62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540" name="Line 63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541" name="Line 64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542" name="Line 65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543" name="Line 66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544" name="Line 67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545" name="Line 68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546" name="Line 1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547" name="Drawing 16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548" name="Line 3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549" name="Line 4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550" name="Line 5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551" name="Line 6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552" name="Line 7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553" name="Line 8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554" name="Line 9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555" name="Line 10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556" name="Line 11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557" name="Line 12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558" name="Line 13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559" name="Line 14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560" name="Line 15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561" name="Line 16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62" name="Line 17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563" name="Line 18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564" name="Line 19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565" name="Line 20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566" name="Line 21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567" name="Line 22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568" name="Line 23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569" name="Line 24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570" name="Line 25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571" name="Line 26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572" name="Line 27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573" name="Line 28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574" name="Line 29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575" name="Line 30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576" name="Line 31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577" name="Line 32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578" name="Line 33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579" name="Line 34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580" name="Line 35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581" name="Line 36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582" name="Line 37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583" name="Line 38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584" name="Line 39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585" name="Line 40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586" name="Line 41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587" name="Rectangle 586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88" name="Line 43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89" name="Line 44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590" name="Line 45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591" name="Line 46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592" name="Line 47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593" name="Line 48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594" name="Line 49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595" name="Line 50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596" name="Line 51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597" name="Line 52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598" name="Line 53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599" name="Line 54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600" name="Line 55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601" name="Line 56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602" name="Rectangle 601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603" name="Line 58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604" name="Line 59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605" name="Line 60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606" name="Line 61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607" name="Line 62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608" name="Line 63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609" name="Line 64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610" name="Line 65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611" name="Line 66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612" name="Line 67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613" name="Line 68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614" name="Line 1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615" name="Drawing 16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616" name="Line 3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617" name="Line 4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618" name="Line 5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619" name="Line 6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620" name="Line 7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621" name="Line 8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622" name="Line 9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623" name="Line 10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624" name="Line 11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625" name="Line 12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626" name="Line 13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27" name="Line 14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628" name="Line 15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29" name="Line 16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630" name="Line 17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631" name="Line 18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632" name="Line 19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633" name="Line 20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634" name="Line 21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635" name="Line 22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636" name="Line 23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637" name="Line 24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638" name="Line 25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639" name="Line 26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640" name="Line 27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641" name="Line 28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642" name="Line 29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643" name="Line 30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644" name="Line 31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645" name="Line 32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646" name="Line 33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647" name="Line 34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648" name="Line 35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649" name="Line 36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650" name="Line 37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651" name="Line 38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652" name="Line 39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653" name="Line 40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654" name="Line 41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655" name="Rectangle 42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656" name="Line 43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657" name="Line 44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658" name="Line 45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659" name="Line 46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660" name="Line 47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661" name="Line 48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662" name="Line 49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663" name="Line 50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664" name="Line 51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665" name="Line 52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666" name="Line 53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667" name="Line 54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668" name="Line 55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669" name="Line 56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670" name="Rectangle 57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671" name="Line 58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672" name="Line 59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673" name="Line 60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674" name="Line 61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675" name="Line 62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676" name="Line 63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677" name="Line 64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678" name="Line 65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679" name="Line 66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680" name="Line 67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681" name="Line 68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682" name="Line 1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683" name="Drawing 16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684" name="Line 3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685" name="Line 4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686" name="Line 5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687" name="Line 6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688" name="Line 7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689" name="Line 8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690" name="Line 9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691" name="Line 10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692" name="Line 11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693" name="Line 12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694" name="Line 13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95" name="Line 14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696" name="Line 15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97" name="Line 16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698" name="Line 17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699" name="Line 18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700" name="Line 19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701" name="Line 20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702" name="Line 21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703" name="Line 22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704" name="Line 23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705" name="Line 24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706" name="Line 25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707" name="Line 26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708" name="Line 27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709" name="Line 28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710" name="Line 29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711" name="Line 30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712" name="Line 31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713" name="Line 32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714" name="Line 33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715" name="Line 34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716" name="Line 35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717" name="Line 36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718" name="Line 37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719" name="Line 38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720" name="Line 39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721" name="Line 40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722" name="Line 41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723" name="Rectangle 42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24" name="Line 43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25" name="Line 44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726" name="Line 45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727" name="Line 46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728" name="Line 47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729" name="Line 48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730" name="Line 49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731" name="Line 50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732" name="Line 51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733" name="Line 52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734" name="Line 53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735" name="Line 54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736" name="Line 55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737" name="Line 56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738" name="Rectangle 57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739" name="Line 58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740" name="Line 59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741" name="Line 60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742" name="Line 61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743" name="Line 62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744" name="Line 63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745" name="Line 64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746" name="Line 65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747" name="Line 66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748" name="Line 67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749" name="Line 68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750" name="Line 1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751" name="Drawing 16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752" name="Line 3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753" name="Line 4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754" name="Line 5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755" name="Line 6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756" name="Line 7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757" name="Line 8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758" name="Line 9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759" name="Line 10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760" name="Line 11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761" name="Line 12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762" name="Line 13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763" name="Line 14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764" name="Line 15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765" name="Line 16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766" name="Line 17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767" name="Line 18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768" name="Line 19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769" name="Line 20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770" name="Line 21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771" name="Line 22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772" name="Line 23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773" name="Line 24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774" name="Line 25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775" name="Line 26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776" name="Line 27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777" name="Line 28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778" name="Line 29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779" name="Line 30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780" name="Line 31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781" name="Line 32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782" name="Line 33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783" name="Line 34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784" name="Line 35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785" name="Line 36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786" name="Line 37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787" name="Line 38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788" name="Line 39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789" name="Line 40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790" name="Line 41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791" name="Rectangle 42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92" name="Line 43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93" name="Line 44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794" name="Line 45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795" name="Line 46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796" name="Line 47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797" name="Line 48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798" name="Line 49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799" name="Line 50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800" name="Line 51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801" name="Line 52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802" name="Line 53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803" name="Line 54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804" name="Line 55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805" name="Line 56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806" name="Rectangle 57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807" name="Line 58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808" name="Line 59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809" name="Line 60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810" name="Line 61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811" name="Line 62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812" name="Line 63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813" name="Line 64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814" name="Line 65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815" name="Line 66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816" name="Line 67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817" name="Line 68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818" name="Line 1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819" name="Drawing 16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820" name="Line 3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821" name="Line 4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822" name="Line 5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823" name="Line 6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824" name="Line 7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825" name="Line 8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826" name="Line 9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827" name="Line 10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828" name="Line 11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829" name="Line 12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830" name="Line 13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31" name="Line 14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832" name="Line 15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33" name="Line 16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834" name="Line 17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835" name="Line 18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836" name="Line 19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837" name="Line 20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838" name="Line 21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839" name="Line 22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840" name="Line 23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841" name="Line 24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842" name="Line 25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843" name="Line 26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844" name="Line 27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845" name="Line 28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846" name="Line 29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847" name="Line 30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848" name="Line 31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849" name="Line 32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850" name="Line 33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851" name="Line 34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852" name="Line 35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853" name="Line 36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854" name="Line 37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855" name="Line 38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856" name="Line 39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857" name="Line 40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858" name="Line 41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859" name="Rectangle 42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860" name="Line 43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861" name="Line 44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862" name="Line 45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863" name="Line 46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864" name="Line 47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865" name="Line 48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866" name="Line 49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867" name="Line 50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868" name="Line 51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869" name="Line 52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870" name="Line 53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871" name="Line 54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872" name="Line 55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873" name="Line 56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874" name="Rectangle 57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875" name="Line 58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876" name="Line 59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877" name="Line 60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878" name="Line 61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879" name="Line 62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880" name="Line 63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881" name="Line 64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882" name="Line 65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883" name="Line 66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884" name="Line 67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885" name="Line 68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886" name="Line 1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887" name="Drawing 16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888" name="Line 3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889" name="Line 4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890" name="Line 5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891" name="Line 6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892" name="Line 7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893" name="Line 8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894" name="Line 9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895" name="Line 10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896" name="Line 11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897" name="Line 12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898" name="Line 13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99" name="Line 14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900" name="Line 15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901" name="Line 16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902" name="Line 17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903" name="Line 18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904" name="Line 19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905" name="Line 20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906" name="Line 21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907" name="Line 22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908" name="Line 23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909" name="Line 24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910" name="Line 25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911" name="Line 26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912" name="Line 27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913" name="Line 28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914" name="Line 29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915" name="Line 30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916" name="Line 31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917" name="Line 32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918" name="Line 33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919" name="Line 34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920" name="Line 35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921" name="Line 36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922" name="Line 37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923" name="Line 38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924" name="Line 39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925" name="Line 40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926" name="Line 41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927" name="Rectangle 42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28" name="Line 43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29" name="Line 44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930" name="Line 45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931" name="Line 46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932" name="Line 47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933" name="Line 48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934" name="Line 49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935" name="Line 50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936" name="Line 51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937" name="Line 52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938" name="Line 53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939" name="Line 54">
          <a:extLst>
            <a:ext uri="{FF2B5EF4-FFF2-40B4-BE49-F238E27FC236}">
              <a16:creationId xmlns:a16="http://schemas.microsoft.com/office/drawing/2014/main" id="{00000000-0008-0000-0100-0000AB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940" name="Line 55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941" name="Line 56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942" name="Rectangle 57">
          <a:extLst>
            <a:ext uri="{FF2B5EF4-FFF2-40B4-BE49-F238E27FC236}">
              <a16:creationId xmlns:a16="http://schemas.microsoft.com/office/drawing/2014/main" id="{00000000-0008-0000-0100-0000AE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943" name="Line 58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944" name="Line 59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945" name="Line 60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946" name="Line 61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947" name="Line 62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948" name="Line 63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949" name="Line 64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950" name="Line 65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951" name="Line 66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952" name="Line 67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953" name="Line 68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954" name="Line 1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955" name="Drawing 16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956" name="Line 3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957" name="Line 4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958" name="Line 5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959" name="Line 6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960" name="Line 7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961" name="Line 8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962" name="Line 9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963" name="Line 10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964" name="Line 11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965" name="Line 12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966" name="Line 13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967" name="Line 14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968" name="Line 15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969" name="Line 16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970" name="Line 17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971" name="Line 18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972" name="Line 19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973" name="Line 20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974" name="Line 21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975" name="Line 22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976" name="Line 23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977" name="Line 24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978" name="Line 25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979" name="Line 26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980" name="Line 27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981" name="Line 28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982" name="Line 29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983" name="Line 30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984" name="Line 31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985" name="Line 32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986" name="Line 33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987" name="Line 34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988" name="Line 35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989" name="Line 36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990" name="Line 37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991" name="Line 38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992" name="Line 39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993" name="Line 40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994" name="Line 41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995" name="Rectangle 42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96" name="Line 43">
          <a:extLst>
            <a:ext uri="{FF2B5EF4-FFF2-40B4-BE49-F238E27FC236}">
              <a16:creationId xmlns:a16="http://schemas.microsoft.com/office/drawing/2014/main" id="{00000000-0008-0000-0100-0000E4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97" name="Line 44">
          <a:extLst>
            <a:ext uri="{FF2B5EF4-FFF2-40B4-BE49-F238E27FC236}">
              <a16:creationId xmlns:a16="http://schemas.microsoft.com/office/drawing/2014/main" id="{00000000-0008-0000-0100-0000E5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998" name="Line 45">
          <a:extLst>
            <a:ext uri="{FF2B5EF4-FFF2-40B4-BE49-F238E27FC236}">
              <a16:creationId xmlns:a16="http://schemas.microsoft.com/office/drawing/2014/main" id="{00000000-0008-0000-0100-0000E6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999" name="Line 46">
          <a:extLst>
            <a:ext uri="{FF2B5EF4-FFF2-40B4-BE49-F238E27FC236}">
              <a16:creationId xmlns:a16="http://schemas.microsoft.com/office/drawing/2014/main" id="{00000000-0008-0000-0100-0000E7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000" name="Line 47">
          <a:extLst>
            <a:ext uri="{FF2B5EF4-FFF2-40B4-BE49-F238E27FC236}">
              <a16:creationId xmlns:a16="http://schemas.microsoft.com/office/drawing/2014/main" id="{00000000-0008-0000-0100-0000E8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001" name="Line 48">
          <a:extLst>
            <a:ext uri="{FF2B5EF4-FFF2-40B4-BE49-F238E27FC236}">
              <a16:creationId xmlns:a16="http://schemas.microsoft.com/office/drawing/2014/main" id="{00000000-0008-0000-0100-0000E9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002" name="Line 49">
          <a:extLst>
            <a:ext uri="{FF2B5EF4-FFF2-40B4-BE49-F238E27FC236}">
              <a16:creationId xmlns:a16="http://schemas.microsoft.com/office/drawing/2014/main" id="{00000000-0008-0000-0100-0000EA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003" name="Line 50">
          <a:extLst>
            <a:ext uri="{FF2B5EF4-FFF2-40B4-BE49-F238E27FC236}">
              <a16:creationId xmlns:a16="http://schemas.microsoft.com/office/drawing/2014/main" id="{00000000-0008-0000-0100-0000EB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004" name="Line 51">
          <a:extLst>
            <a:ext uri="{FF2B5EF4-FFF2-40B4-BE49-F238E27FC236}">
              <a16:creationId xmlns:a16="http://schemas.microsoft.com/office/drawing/2014/main" id="{00000000-0008-0000-0100-0000EC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005" name="Line 52">
          <a:extLst>
            <a:ext uri="{FF2B5EF4-FFF2-40B4-BE49-F238E27FC236}">
              <a16:creationId xmlns:a16="http://schemas.microsoft.com/office/drawing/2014/main" id="{00000000-0008-0000-0100-0000ED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006" name="Line 53">
          <a:extLst>
            <a:ext uri="{FF2B5EF4-FFF2-40B4-BE49-F238E27FC236}">
              <a16:creationId xmlns:a16="http://schemas.microsoft.com/office/drawing/2014/main" id="{00000000-0008-0000-0100-0000EE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007" name="Line 54">
          <a:extLst>
            <a:ext uri="{FF2B5EF4-FFF2-40B4-BE49-F238E27FC236}">
              <a16:creationId xmlns:a16="http://schemas.microsoft.com/office/drawing/2014/main" id="{00000000-0008-0000-0100-0000EF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008" name="Line 55">
          <a:extLst>
            <a:ext uri="{FF2B5EF4-FFF2-40B4-BE49-F238E27FC236}">
              <a16:creationId xmlns:a16="http://schemas.microsoft.com/office/drawing/2014/main" id="{00000000-0008-0000-0100-0000F0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009" name="Line 56">
          <a:extLst>
            <a:ext uri="{FF2B5EF4-FFF2-40B4-BE49-F238E27FC236}">
              <a16:creationId xmlns:a16="http://schemas.microsoft.com/office/drawing/2014/main" id="{00000000-0008-0000-0100-0000F1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010" name="Rectangle 57">
          <a:extLst>
            <a:ext uri="{FF2B5EF4-FFF2-40B4-BE49-F238E27FC236}">
              <a16:creationId xmlns:a16="http://schemas.microsoft.com/office/drawing/2014/main" id="{00000000-0008-0000-0100-0000F2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011" name="Line 58">
          <a:extLst>
            <a:ext uri="{FF2B5EF4-FFF2-40B4-BE49-F238E27FC236}">
              <a16:creationId xmlns:a16="http://schemas.microsoft.com/office/drawing/2014/main" id="{00000000-0008-0000-0100-0000F3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012" name="Line 59">
          <a:extLst>
            <a:ext uri="{FF2B5EF4-FFF2-40B4-BE49-F238E27FC236}">
              <a16:creationId xmlns:a16="http://schemas.microsoft.com/office/drawing/2014/main" id="{00000000-0008-0000-0100-0000F4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013" name="Line 60">
          <a:extLst>
            <a:ext uri="{FF2B5EF4-FFF2-40B4-BE49-F238E27FC236}">
              <a16:creationId xmlns:a16="http://schemas.microsoft.com/office/drawing/2014/main" id="{00000000-0008-0000-0100-0000F5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014" name="Line 61">
          <a:extLst>
            <a:ext uri="{FF2B5EF4-FFF2-40B4-BE49-F238E27FC236}">
              <a16:creationId xmlns:a16="http://schemas.microsoft.com/office/drawing/2014/main" id="{00000000-0008-0000-0100-0000F6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015" name="Line 62">
          <a:extLst>
            <a:ext uri="{FF2B5EF4-FFF2-40B4-BE49-F238E27FC236}">
              <a16:creationId xmlns:a16="http://schemas.microsoft.com/office/drawing/2014/main" id="{00000000-0008-0000-0100-0000F7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016" name="Line 63">
          <a:extLst>
            <a:ext uri="{FF2B5EF4-FFF2-40B4-BE49-F238E27FC236}">
              <a16:creationId xmlns:a16="http://schemas.microsoft.com/office/drawing/2014/main" id="{00000000-0008-0000-0100-0000F8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017" name="Line 64">
          <a:extLst>
            <a:ext uri="{FF2B5EF4-FFF2-40B4-BE49-F238E27FC236}">
              <a16:creationId xmlns:a16="http://schemas.microsoft.com/office/drawing/2014/main" id="{00000000-0008-0000-0100-0000F9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018" name="Line 65">
          <a:extLst>
            <a:ext uri="{FF2B5EF4-FFF2-40B4-BE49-F238E27FC236}">
              <a16:creationId xmlns:a16="http://schemas.microsoft.com/office/drawing/2014/main" id="{00000000-0008-0000-0100-0000FA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019" name="Line 66">
          <a:extLst>
            <a:ext uri="{FF2B5EF4-FFF2-40B4-BE49-F238E27FC236}">
              <a16:creationId xmlns:a16="http://schemas.microsoft.com/office/drawing/2014/main" id="{00000000-0008-0000-0100-0000FB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020" name="Line 67">
          <a:extLst>
            <a:ext uri="{FF2B5EF4-FFF2-40B4-BE49-F238E27FC236}">
              <a16:creationId xmlns:a16="http://schemas.microsoft.com/office/drawing/2014/main" id="{00000000-0008-0000-0100-0000FC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021" name="Line 68">
          <a:extLst>
            <a:ext uri="{FF2B5EF4-FFF2-40B4-BE49-F238E27FC236}">
              <a16:creationId xmlns:a16="http://schemas.microsoft.com/office/drawing/2014/main" id="{00000000-0008-0000-0100-0000FD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022" name="Line 1">
          <a:extLst>
            <a:ext uri="{FF2B5EF4-FFF2-40B4-BE49-F238E27FC236}">
              <a16:creationId xmlns:a16="http://schemas.microsoft.com/office/drawing/2014/main" id="{00000000-0008-0000-0100-0000FE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023" name="Drawing 16">
          <a:extLst>
            <a:ext uri="{FF2B5EF4-FFF2-40B4-BE49-F238E27FC236}">
              <a16:creationId xmlns:a16="http://schemas.microsoft.com/office/drawing/2014/main" id="{00000000-0008-0000-0100-0000FF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024" name="Line 3">
          <a:extLst>
            <a:ext uri="{FF2B5EF4-FFF2-40B4-BE49-F238E27FC236}">
              <a16:creationId xmlns:a16="http://schemas.microsoft.com/office/drawing/2014/main" id="{00000000-0008-0000-0100-000000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025" name="Line 4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026" name="Line 5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027" name="Line 6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028" name="Line 7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029" name="Line 8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030" name="Line 9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031" name="Line 10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032" name="Line 11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033" name="Line 12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034" name="Line 13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035" name="Line 14">
          <a:extLst>
            <a:ext uri="{FF2B5EF4-FFF2-40B4-BE49-F238E27FC236}">
              <a16:creationId xmlns:a16="http://schemas.microsoft.com/office/drawing/2014/main" id="{00000000-0008-0000-0100-00000B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036" name="Line 15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037" name="Line 16">
          <a:extLst>
            <a:ext uri="{FF2B5EF4-FFF2-40B4-BE49-F238E27FC236}">
              <a16:creationId xmlns:a16="http://schemas.microsoft.com/office/drawing/2014/main" id="{00000000-0008-0000-0100-00000D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038" name="Line 17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039" name="Line 18">
          <a:extLst>
            <a:ext uri="{FF2B5EF4-FFF2-40B4-BE49-F238E27FC236}">
              <a16:creationId xmlns:a16="http://schemas.microsoft.com/office/drawing/2014/main" id="{00000000-0008-0000-0100-00000F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040" name="Line 19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041" name="Line 20">
          <a:extLst>
            <a:ext uri="{FF2B5EF4-FFF2-40B4-BE49-F238E27FC236}">
              <a16:creationId xmlns:a16="http://schemas.microsoft.com/office/drawing/2014/main" id="{00000000-0008-0000-0100-000011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042" name="Line 21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043" name="Line 22">
          <a:extLst>
            <a:ext uri="{FF2B5EF4-FFF2-40B4-BE49-F238E27FC236}">
              <a16:creationId xmlns:a16="http://schemas.microsoft.com/office/drawing/2014/main" id="{00000000-0008-0000-0100-000013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044" name="Line 23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045" name="Line 24">
          <a:extLst>
            <a:ext uri="{FF2B5EF4-FFF2-40B4-BE49-F238E27FC236}">
              <a16:creationId xmlns:a16="http://schemas.microsoft.com/office/drawing/2014/main" id="{00000000-0008-0000-0100-000015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046" name="Line 25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047" name="Line 26">
          <a:extLst>
            <a:ext uri="{FF2B5EF4-FFF2-40B4-BE49-F238E27FC236}">
              <a16:creationId xmlns:a16="http://schemas.microsoft.com/office/drawing/2014/main" id="{00000000-0008-0000-0100-000017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048" name="Line 27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049" name="Line 28">
          <a:extLst>
            <a:ext uri="{FF2B5EF4-FFF2-40B4-BE49-F238E27FC236}">
              <a16:creationId xmlns:a16="http://schemas.microsoft.com/office/drawing/2014/main" id="{00000000-0008-0000-0100-000019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050" name="Line 29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051" name="Line 30">
          <a:extLst>
            <a:ext uri="{FF2B5EF4-FFF2-40B4-BE49-F238E27FC236}">
              <a16:creationId xmlns:a16="http://schemas.microsoft.com/office/drawing/2014/main" id="{00000000-0008-0000-0100-00001B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052" name="Line 31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053" name="Line 32">
          <a:extLst>
            <a:ext uri="{FF2B5EF4-FFF2-40B4-BE49-F238E27FC236}">
              <a16:creationId xmlns:a16="http://schemas.microsoft.com/office/drawing/2014/main" id="{00000000-0008-0000-0100-00001D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054" name="Line 33">
          <a:extLst>
            <a:ext uri="{FF2B5EF4-FFF2-40B4-BE49-F238E27FC236}">
              <a16:creationId xmlns:a16="http://schemas.microsoft.com/office/drawing/2014/main" id="{00000000-0008-0000-0100-00001E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055" name="Line 34">
          <a:extLst>
            <a:ext uri="{FF2B5EF4-FFF2-40B4-BE49-F238E27FC236}">
              <a16:creationId xmlns:a16="http://schemas.microsoft.com/office/drawing/2014/main" id="{00000000-0008-0000-0100-00001F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056" name="Line 35">
          <a:extLst>
            <a:ext uri="{FF2B5EF4-FFF2-40B4-BE49-F238E27FC236}">
              <a16:creationId xmlns:a16="http://schemas.microsoft.com/office/drawing/2014/main" id="{00000000-0008-0000-0100-000020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057" name="Line 36">
          <a:extLst>
            <a:ext uri="{FF2B5EF4-FFF2-40B4-BE49-F238E27FC236}">
              <a16:creationId xmlns:a16="http://schemas.microsoft.com/office/drawing/2014/main" id="{00000000-0008-0000-0100-000021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058" name="Line 37">
          <a:extLst>
            <a:ext uri="{FF2B5EF4-FFF2-40B4-BE49-F238E27FC236}">
              <a16:creationId xmlns:a16="http://schemas.microsoft.com/office/drawing/2014/main" id="{00000000-0008-0000-0100-000022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059" name="Line 38">
          <a:extLst>
            <a:ext uri="{FF2B5EF4-FFF2-40B4-BE49-F238E27FC236}">
              <a16:creationId xmlns:a16="http://schemas.microsoft.com/office/drawing/2014/main" id="{00000000-0008-0000-0100-000023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060" name="Line 39">
          <a:extLst>
            <a:ext uri="{FF2B5EF4-FFF2-40B4-BE49-F238E27FC236}">
              <a16:creationId xmlns:a16="http://schemas.microsoft.com/office/drawing/2014/main" id="{00000000-0008-0000-0100-000024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061" name="Line 40">
          <a:extLst>
            <a:ext uri="{FF2B5EF4-FFF2-40B4-BE49-F238E27FC236}">
              <a16:creationId xmlns:a16="http://schemas.microsoft.com/office/drawing/2014/main" id="{00000000-0008-0000-0100-000025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062" name="Line 41">
          <a:extLst>
            <a:ext uri="{FF2B5EF4-FFF2-40B4-BE49-F238E27FC236}">
              <a16:creationId xmlns:a16="http://schemas.microsoft.com/office/drawing/2014/main" id="{00000000-0008-0000-0100-000026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063" name="Rectangle 42">
          <a:extLst>
            <a:ext uri="{FF2B5EF4-FFF2-40B4-BE49-F238E27FC236}">
              <a16:creationId xmlns:a16="http://schemas.microsoft.com/office/drawing/2014/main" id="{00000000-0008-0000-0100-000027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64" name="Line 43">
          <a:extLst>
            <a:ext uri="{FF2B5EF4-FFF2-40B4-BE49-F238E27FC236}">
              <a16:creationId xmlns:a16="http://schemas.microsoft.com/office/drawing/2014/main" id="{00000000-0008-0000-0100-000028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65" name="Line 44">
          <a:extLst>
            <a:ext uri="{FF2B5EF4-FFF2-40B4-BE49-F238E27FC236}">
              <a16:creationId xmlns:a16="http://schemas.microsoft.com/office/drawing/2014/main" id="{00000000-0008-0000-0100-000029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066" name="Line 45">
          <a:extLst>
            <a:ext uri="{FF2B5EF4-FFF2-40B4-BE49-F238E27FC236}">
              <a16:creationId xmlns:a16="http://schemas.microsoft.com/office/drawing/2014/main" id="{00000000-0008-0000-0100-00002A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067" name="Line 46">
          <a:extLst>
            <a:ext uri="{FF2B5EF4-FFF2-40B4-BE49-F238E27FC236}">
              <a16:creationId xmlns:a16="http://schemas.microsoft.com/office/drawing/2014/main" id="{00000000-0008-0000-0100-00002B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068" name="Line 47">
          <a:extLst>
            <a:ext uri="{FF2B5EF4-FFF2-40B4-BE49-F238E27FC236}">
              <a16:creationId xmlns:a16="http://schemas.microsoft.com/office/drawing/2014/main" id="{00000000-0008-0000-0100-00002C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069" name="Line 48">
          <a:extLst>
            <a:ext uri="{FF2B5EF4-FFF2-40B4-BE49-F238E27FC236}">
              <a16:creationId xmlns:a16="http://schemas.microsoft.com/office/drawing/2014/main" id="{00000000-0008-0000-0100-00002D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070" name="Line 49">
          <a:extLst>
            <a:ext uri="{FF2B5EF4-FFF2-40B4-BE49-F238E27FC236}">
              <a16:creationId xmlns:a16="http://schemas.microsoft.com/office/drawing/2014/main" id="{00000000-0008-0000-0100-00002E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071" name="Line 50">
          <a:extLst>
            <a:ext uri="{FF2B5EF4-FFF2-40B4-BE49-F238E27FC236}">
              <a16:creationId xmlns:a16="http://schemas.microsoft.com/office/drawing/2014/main" id="{00000000-0008-0000-0100-00002F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072" name="Line 51">
          <a:extLst>
            <a:ext uri="{FF2B5EF4-FFF2-40B4-BE49-F238E27FC236}">
              <a16:creationId xmlns:a16="http://schemas.microsoft.com/office/drawing/2014/main" id="{00000000-0008-0000-0100-000030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073" name="Line 52">
          <a:extLst>
            <a:ext uri="{FF2B5EF4-FFF2-40B4-BE49-F238E27FC236}">
              <a16:creationId xmlns:a16="http://schemas.microsoft.com/office/drawing/2014/main" id="{00000000-0008-0000-0100-000031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074" name="Line 53">
          <a:extLst>
            <a:ext uri="{FF2B5EF4-FFF2-40B4-BE49-F238E27FC236}">
              <a16:creationId xmlns:a16="http://schemas.microsoft.com/office/drawing/2014/main" id="{00000000-0008-0000-0100-000032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075" name="Line 54">
          <a:extLst>
            <a:ext uri="{FF2B5EF4-FFF2-40B4-BE49-F238E27FC236}">
              <a16:creationId xmlns:a16="http://schemas.microsoft.com/office/drawing/2014/main" id="{00000000-0008-0000-0100-000033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076" name="Line 55">
          <a:extLst>
            <a:ext uri="{FF2B5EF4-FFF2-40B4-BE49-F238E27FC236}">
              <a16:creationId xmlns:a16="http://schemas.microsoft.com/office/drawing/2014/main" id="{00000000-0008-0000-0100-00003404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077" name="Line 56">
          <a:extLst>
            <a:ext uri="{FF2B5EF4-FFF2-40B4-BE49-F238E27FC236}">
              <a16:creationId xmlns:a16="http://schemas.microsoft.com/office/drawing/2014/main" id="{00000000-0008-0000-0100-00003504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078" name="Rectangle 57">
          <a:extLst>
            <a:ext uri="{FF2B5EF4-FFF2-40B4-BE49-F238E27FC236}">
              <a16:creationId xmlns:a16="http://schemas.microsoft.com/office/drawing/2014/main" id="{00000000-0008-0000-0100-00003604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079" name="Line 58">
          <a:extLst>
            <a:ext uri="{FF2B5EF4-FFF2-40B4-BE49-F238E27FC236}">
              <a16:creationId xmlns:a16="http://schemas.microsoft.com/office/drawing/2014/main" id="{00000000-0008-0000-0100-00003704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080" name="Line 59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081" name="Line 60">
          <a:extLst>
            <a:ext uri="{FF2B5EF4-FFF2-40B4-BE49-F238E27FC236}">
              <a16:creationId xmlns:a16="http://schemas.microsoft.com/office/drawing/2014/main" id="{00000000-0008-0000-0100-00003904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082" name="Line 61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083" name="Line 62">
          <a:extLst>
            <a:ext uri="{FF2B5EF4-FFF2-40B4-BE49-F238E27FC236}">
              <a16:creationId xmlns:a16="http://schemas.microsoft.com/office/drawing/2014/main" id="{00000000-0008-0000-0100-00003B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084" name="Line 63">
          <a:extLst>
            <a:ext uri="{FF2B5EF4-FFF2-40B4-BE49-F238E27FC236}">
              <a16:creationId xmlns:a16="http://schemas.microsoft.com/office/drawing/2014/main" id="{00000000-0008-0000-0100-00003C04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085" name="Line 64">
          <a:extLst>
            <a:ext uri="{FF2B5EF4-FFF2-40B4-BE49-F238E27FC236}">
              <a16:creationId xmlns:a16="http://schemas.microsoft.com/office/drawing/2014/main" id="{00000000-0008-0000-0100-00003D04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086" name="Line 65">
          <a:extLst>
            <a:ext uri="{FF2B5EF4-FFF2-40B4-BE49-F238E27FC236}">
              <a16:creationId xmlns:a16="http://schemas.microsoft.com/office/drawing/2014/main" id="{00000000-0008-0000-0100-00003E04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087" name="Line 66">
          <a:extLst>
            <a:ext uri="{FF2B5EF4-FFF2-40B4-BE49-F238E27FC236}">
              <a16:creationId xmlns:a16="http://schemas.microsoft.com/office/drawing/2014/main" id="{00000000-0008-0000-0100-00003F04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088" name="Line 67">
          <a:extLst>
            <a:ext uri="{FF2B5EF4-FFF2-40B4-BE49-F238E27FC236}">
              <a16:creationId xmlns:a16="http://schemas.microsoft.com/office/drawing/2014/main" id="{00000000-0008-0000-0100-00004004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089" name="Line 68">
          <a:extLst>
            <a:ext uri="{FF2B5EF4-FFF2-40B4-BE49-F238E27FC236}">
              <a16:creationId xmlns:a16="http://schemas.microsoft.com/office/drawing/2014/main" id="{00000000-0008-0000-0100-00004104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090" name="Line 1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091" name="Drawing 16">
          <a:extLst>
            <a:ext uri="{FF2B5EF4-FFF2-40B4-BE49-F238E27FC236}">
              <a16:creationId xmlns:a16="http://schemas.microsoft.com/office/drawing/2014/main" id="{00000000-0008-0000-0100-00004304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092" name="Line 3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093" name="Line 4">
          <a:extLst>
            <a:ext uri="{FF2B5EF4-FFF2-40B4-BE49-F238E27FC236}">
              <a16:creationId xmlns:a16="http://schemas.microsoft.com/office/drawing/2014/main" id="{00000000-0008-0000-0100-000045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094" name="Line 5">
          <a:extLst>
            <a:ext uri="{FF2B5EF4-FFF2-40B4-BE49-F238E27FC236}">
              <a16:creationId xmlns:a16="http://schemas.microsoft.com/office/drawing/2014/main" id="{00000000-0008-0000-0100-000046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095" name="Line 6">
          <a:extLst>
            <a:ext uri="{FF2B5EF4-FFF2-40B4-BE49-F238E27FC236}">
              <a16:creationId xmlns:a16="http://schemas.microsoft.com/office/drawing/2014/main" id="{00000000-0008-0000-0100-000047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096" name="Line 7">
          <a:extLst>
            <a:ext uri="{FF2B5EF4-FFF2-40B4-BE49-F238E27FC236}">
              <a16:creationId xmlns:a16="http://schemas.microsoft.com/office/drawing/2014/main" id="{00000000-0008-0000-0100-000048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097" name="Line 8">
          <a:extLst>
            <a:ext uri="{FF2B5EF4-FFF2-40B4-BE49-F238E27FC236}">
              <a16:creationId xmlns:a16="http://schemas.microsoft.com/office/drawing/2014/main" id="{00000000-0008-0000-0100-000049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098" name="Line 9">
          <a:extLst>
            <a:ext uri="{FF2B5EF4-FFF2-40B4-BE49-F238E27FC236}">
              <a16:creationId xmlns:a16="http://schemas.microsoft.com/office/drawing/2014/main" id="{00000000-0008-0000-0100-00004A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099" name="Line 10">
          <a:extLst>
            <a:ext uri="{FF2B5EF4-FFF2-40B4-BE49-F238E27FC236}">
              <a16:creationId xmlns:a16="http://schemas.microsoft.com/office/drawing/2014/main" id="{00000000-0008-0000-0100-00004B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100" name="Line 11">
          <a:extLst>
            <a:ext uri="{FF2B5EF4-FFF2-40B4-BE49-F238E27FC236}">
              <a16:creationId xmlns:a16="http://schemas.microsoft.com/office/drawing/2014/main" id="{00000000-0008-0000-0100-00004C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101" name="Line 12">
          <a:extLst>
            <a:ext uri="{FF2B5EF4-FFF2-40B4-BE49-F238E27FC236}">
              <a16:creationId xmlns:a16="http://schemas.microsoft.com/office/drawing/2014/main" id="{00000000-0008-0000-0100-00004D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102" name="Line 13">
          <a:extLst>
            <a:ext uri="{FF2B5EF4-FFF2-40B4-BE49-F238E27FC236}">
              <a16:creationId xmlns:a16="http://schemas.microsoft.com/office/drawing/2014/main" id="{00000000-0008-0000-0100-00004E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03" name="Line 14">
          <a:extLst>
            <a:ext uri="{FF2B5EF4-FFF2-40B4-BE49-F238E27FC236}">
              <a16:creationId xmlns:a16="http://schemas.microsoft.com/office/drawing/2014/main" id="{00000000-0008-0000-0100-00004F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104" name="Line 15">
          <a:extLst>
            <a:ext uri="{FF2B5EF4-FFF2-40B4-BE49-F238E27FC236}">
              <a16:creationId xmlns:a16="http://schemas.microsoft.com/office/drawing/2014/main" id="{00000000-0008-0000-0100-000050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05" name="Line 16">
          <a:extLst>
            <a:ext uri="{FF2B5EF4-FFF2-40B4-BE49-F238E27FC236}">
              <a16:creationId xmlns:a16="http://schemas.microsoft.com/office/drawing/2014/main" id="{00000000-0008-0000-0100-000051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106" name="Line 17">
          <a:extLst>
            <a:ext uri="{FF2B5EF4-FFF2-40B4-BE49-F238E27FC236}">
              <a16:creationId xmlns:a16="http://schemas.microsoft.com/office/drawing/2014/main" id="{00000000-0008-0000-0100-000052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107" name="Line 18">
          <a:extLst>
            <a:ext uri="{FF2B5EF4-FFF2-40B4-BE49-F238E27FC236}">
              <a16:creationId xmlns:a16="http://schemas.microsoft.com/office/drawing/2014/main" id="{00000000-0008-0000-0100-000053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108" name="Line 19">
          <a:extLst>
            <a:ext uri="{FF2B5EF4-FFF2-40B4-BE49-F238E27FC236}">
              <a16:creationId xmlns:a16="http://schemas.microsoft.com/office/drawing/2014/main" id="{00000000-0008-0000-0100-000054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109" name="Line 20">
          <a:extLst>
            <a:ext uri="{FF2B5EF4-FFF2-40B4-BE49-F238E27FC236}">
              <a16:creationId xmlns:a16="http://schemas.microsoft.com/office/drawing/2014/main" id="{00000000-0008-0000-0100-000055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110" name="Line 21">
          <a:extLst>
            <a:ext uri="{FF2B5EF4-FFF2-40B4-BE49-F238E27FC236}">
              <a16:creationId xmlns:a16="http://schemas.microsoft.com/office/drawing/2014/main" id="{00000000-0008-0000-0100-000056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111" name="Line 22">
          <a:extLst>
            <a:ext uri="{FF2B5EF4-FFF2-40B4-BE49-F238E27FC236}">
              <a16:creationId xmlns:a16="http://schemas.microsoft.com/office/drawing/2014/main" id="{00000000-0008-0000-0100-000057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112" name="Line 23">
          <a:extLst>
            <a:ext uri="{FF2B5EF4-FFF2-40B4-BE49-F238E27FC236}">
              <a16:creationId xmlns:a16="http://schemas.microsoft.com/office/drawing/2014/main" id="{00000000-0008-0000-0100-000058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113" name="Line 24">
          <a:extLst>
            <a:ext uri="{FF2B5EF4-FFF2-40B4-BE49-F238E27FC236}">
              <a16:creationId xmlns:a16="http://schemas.microsoft.com/office/drawing/2014/main" id="{00000000-0008-0000-0100-000059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114" name="Line 25">
          <a:extLst>
            <a:ext uri="{FF2B5EF4-FFF2-40B4-BE49-F238E27FC236}">
              <a16:creationId xmlns:a16="http://schemas.microsoft.com/office/drawing/2014/main" id="{00000000-0008-0000-0100-00005A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115" name="Line 26">
          <a:extLst>
            <a:ext uri="{FF2B5EF4-FFF2-40B4-BE49-F238E27FC236}">
              <a16:creationId xmlns:a16="http://schemas.microsoft.com/office/drawing/2014/main" id="{00000000-0008-0000-0100-00005B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116" name="Line 27">
          <a:extLst>
            <a:ext uri="{FF2B5EF4-FFF2-40B4-BE49-F238E27FC236}">
              <a16:creationId xmlns:a16="http://schemas.microsoft.com/office/drawing/2014/main" id="{00000000-0008-0000-0100-00005C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117" name="Line 28">
          <a:extLst>
            <a:ext uri="{FF2B5EF4-FFF2-40B4-BE49-F238E27FC236}">
              <a16:creationId xmlns:a16="http://schemas.microsoft.com/office/drawing/2014/main" id="{00000000-0008-0000-0100-00005D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118" name="Line 29">
          <a:extLst>
            <a:ext uri="{FF2B5EF4-FFF2-40B4-BE49-F238E27FC236}">
              <a16:creationId xmlns:a16="http://schemas.microsoft.com/office/drawing/2014/main" id="{00000000-0008-0000-0100-00005E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119" name="Line 30">
          <a:extLst>
            <a:ext uri="{FF2B5EF4-FFF2-40B4-BE49-F238E27FC236}">
              <a16:creationId xmlns:a16="http://schemas.microsoft.com/office/drawing/2014/main" id="{00000000-0008-0000-0100-00005F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120" name="Line 31">
          <a:extLst>
            <a:ext uri="{FF2B5EF4-FFF2-40B4-BE49-F238E27FC236}">
              <a16:creationId xmlns:a16="http://schemas.microsoft.com/office/drawing/2014/main" id="{00000000-0008-0000-0100-000060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121" name="Line 32">
          <a:extLst>
            <a:ext uri="{FF2B5EF4-FFF2-40B4-BE49-F238E27FC236}">
              <a16:creationId xmlns:a16="http://schemas.microsoft.com/office/drawing/2014/main" id="{00000000-0008-0000-0100-000061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122" name="Line 33">
          <a:extLst>
            <a:ext uri="{FF2B5EF4-FFF2-40B4-BE49-F238E27FC236}">
              <a16:creationId xmlns:a16="http://schemas.microsoft.com/office/drawing/2014/main" id="{00000000-0008-0000-0100-000062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123" name="Line 34">
          <a:extLst>
            <a:ext uri="{FF2B5EF4-FFF2-40B4-BE49-F238E27FC236}">
              <a16:creationId xmlns:a16="http://schemas.microsoft.com/office/drawing/2014/main" id="{00000000-0008-0000-0100-000063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124" name="Line 35">
          <a:extLst>
            <a:ext uri="{FF2B5EF4-FFF2-40B4-BE49-F238E27FC236}">
              <a16:creationId xmlns:a16="http://schemas.microsoft.com/office/drawing/2014/main" id="{00000000-0008-0000-0100-000064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125" name="Line 36">
          <a:extLst>
            <a:ext uri="{FF2B5EF4-FFF2-40B4-BE49-F238E27FC236}">
              <a16:creationId xmlns:a16="http://schemas.microsoft.com/office/drawing/2014/main" id="{00000000-0008-0000-0100-000065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126" name="Line 37">
          <a:extLst>
            <a:ext uri="{FF2B5EF4-FFF2-40B4-BE49-F238E27FC236}">
              <a16:creationId xmlns:a16="http://schemas.microsoft.com/office/drawing/2014/main" id="{00000000-0008-0000-0100-000066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127" name="Line 38">
          <a:extLst>
            <a:ext uri="{FF2B5EF4-FFF2-40B4-BE49-F238E27FC236}">
              <a16:creationId xmlns:a16="http://schemas.microsoft.com/office/drawing/2014/main" id="{00000000-0008-0000-0100-000067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128" name="Line 39">
          <a:extLst>
            <a:ext uri="{FF2B5EF4-FFF2-40B4-BE49-F238E27FC236}">
              <a16:creationId xmlns:a16="http://schemas.microsoft.com/office/drawing/2014/main" id="{00000000-0008-0000-0100-000068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129" name="Line 40">
          <a:extLst>
            <a:ext uri="{FF2B5EF4-FFF2-40B4-BE49-F238E27FC236}">
              <a16:creationId xmlns:a16="http://schemas.microsoft.com/office/drawing/2014/main" id="{00000000-0008-0000-0100-000069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130" name="Line 41">
          <a:extLst>
            <a:ext uri="{FF2B5EF4-FFF2-40B4-BE49-F238E27FC236}">
              <a16:creationId xmlns:a16="http://schemas.microsoft.com/office/drawing/2014/main" id="{00000000-0008-0000-0100-00006A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131" name="Rectangle 1130">
          <a:extLst>
            <a:ext uri="{FF2B5EF4-FFF2-40B4-BE49-F238E27FC236}">
              <a16:creationId xmlns:a16="http://schemas.microsoft.com/office/drawing/2014/main" id="{00000000-0008-0000-0100-00006B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32" name="Line 43">
          <a:extLst>
            <a:ext uri="{FF2B5EF4-FFF2-40B4-BE49-F238E27FC236}">
              <a16:creationId xmlns:a16="http://schemas.microsoft.com/office/drawing/2014/main" id="{00000000-0008-0000-0100-00006C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33" name="Line 44">
          <a:extLst>
            <a:ext uri="{FF2B5EF4-FFF2-40B4-BE49-F238E27FC236}">
              <a16:creationId xmlns:a16="http://schemas.microsoft.com/office/drawing/2014/main" id="{00000000-0008-0000-0100-00006D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134" name="Line 45">
          <a:extLst>
            <a:ext uri="{FF2B5EF4-FFF2-40B4-BE49-F238E27FC236}">
              <a16:creationId xmlns:a16="http://schemas.microsoft.com/office/drawing/2014/main" id="{00000000-0008-0000-0100-00006E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135" name="Line 46">
          <a:extLst>
            <a:ext uri="{FF2B5EF4-FFF2-40B4-BE49-F238E27FC236}">
              <a16:creationId xmlns:a16="http://schemas.microsoft.com/office/drawing/2014/main" id="{00000000-0008-0000-0100-00006F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136" name="Line 47">
          <a:extLst>
            <a:ext uri="{FF2B5EF4-FFF2-40B4-BE49-F238E27FC236}">
              <a16:creationId xmlns:a16="http://schemas.microsoft.com/office/drawing/2014/main" id="{00000000-0008-0000-0100-000070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137" name="Line 48">
          <a:extLst>
            <a:ext uri="{FF2B5EF4-FFF2-40B4-BE49-F238E27FC236}">
              <a16:creationId xmlns:a16="http://schemas.microsoft.com/office/drawing/2014/main" id="{00000000-0008-0000-0100-000071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138" name="Line 49">
          <a:extLst>
            <a:ext uri="{FF2B5EF4-FFF2-40B4-BE49-F238E27FC236}">
              <a16:creationId xmlns:a16="http://schemas.microsoft.com/office/drawing/2014/main" id="{00000000-0008-0000-0100-000072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139" name="Line 50">
          <a:extLst>
            <a:ext uri="{FF2B5EF4-FFF2-40B4-BE49-F238E27FC236}">
              <a16:creationId xmlns:a16="http://schemas.microsoft.com/office/drawing/2014/main" id="{00000000-0008-0000-0100-000073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140" name="Line 51">
          <a:extLst>
            <a:ext uri="{FF2B5EF4-FFF2-40B4-BE49-F238E27FC236}">
              <a16:creationId xmlns:a16="http://schemas.microsoft.com/office/drawing/2014/main" id="{00000000-0008-0000-0100-000074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141" name="Line 52">
          <a:extLst>
            <a:ext uri="{FF2B5EF4-FFF2-40B4-BE49-F238E27FC236}">
              <a16:creationId xmlns:a16="http://schemas.microsoft.com/office/drawing/2014/main" id="{00000000-0008-0000-0100-000075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142" name="Line 53">
          <a:extLst>
            <a:ext uri="{FF2B5EF4-FFF2-40B4-BE49-F238E27FC236}">
              <a16:creationId xmlns:a16="http://schemas.microsoft.com/office/drawing/2014/main" id="{00000000-0008-0000-0100-000076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143" name="Line 54">
          <a:extLst>
            <a:ext uri="{FF2B5EF4-FFF2-40B4-BE49-F238E27FC236}">
              <a16:creationId xmlns:a16="http://schemas.microsoft.com/office/drawing/2014/main" id="{00000000-0008-0000-0100-000077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144" name="Line 55">
          <a:extLst>
            <a:ext uri="{FF2B5EF4-FFF2-40B4-BE49-F238E27FC236}">
              <a16:creationId xmlns:a16="http://schemas.microsoft.com/office/drawing/2014/main" id="{00000000-0008-0000-0100-00007804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145" name="Line 56">
          <a:extLst>
            <a:ext uri="{FF2B5EF4-FFF2-40B4-BE49-F238E27FC236}">
              <a16:creationId xmlns:a16="http://schemas.microsoft.com/office/drawing/2014/main" id="{00000000-0008-0000-0100-00007904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146" name="Rectangle 1145">
          <a:extLst>
            <a:ext uri="{FF2B5EF4-FFF2-40B4-BE49-F238E27FC236}">
              <a16:creationId xmlns:a16="http://schemas.microsoft.com/office/drawing/2014/main" id="{00000000-0008-0000-0100-00007A04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147" name="Line 58">
          <a:extLst>
            <a:ext uri="{FF2B5EF4-FFF2-40B4-BE49-F238E27FC236}">
              <a16:creationId xmlns:a16="http://schemas.microsoft.com/office/drawing/2014/main" id="{00000000-0008-0000-0100-00007B04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148" name="Line 59">
          <a:extLst>
            <a:ext uri="{FF2B5EF4-FFF2-40B4-BE49-F238E27FC236}">
              <a16:creationId xmlns:a16="http://schemas.microsoft.com/office/drawing/2014/main" id="{00000000-0008-0000-0100-00007C04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149" name="Line 60">
          <a:extLst>
            <a:ext uri="{FF2B5EF4-FFF2-40B4-BE49-F238E27FC236}">
              <a16:creationId xmlns:a16="http://schemas.microsoft.com/office/drawing/2014/main" id="{00000000-0008-0000-0100-00007D04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150" name="Line 61">
          <a:extLst>
            <a:ext uri="{FF2B5EF4-FFF2-40B4-BE49-F238E27FC236}">
              <a16:creationId xmlns:a16="http://schemas.microsoft.com/office/drawing/2014/main" id="{00000000-0008-0000-0100-00007E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151" name="Line 62">
          <a:extLst>
            <a:ext uri="{FF2B5EF4-FFF2-40B4-BE49-F238E27FC236}">
              <a16:creationId xmlns:a16="http://schemas.microsoft.com/office/drawing/2014/main" id="{00000000-0008-0000-0100-00007F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152" name="Line 63">
          <a:extLst>
            <a:ext uri="{FF2B5EF4-FFF2-40B4-BE49-F238E27FC236}">
              <a16:creationId xmlns:a16="http://schemas.microsoft.com/office/drawing/2014/main" id="{00000000-0008-0000-0100-00008004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153" name="Line 64">
          <a:extLst>
            <a:ext uri="{FF2B5EF4-FFF2-40B4-BE49-F238E27FC236}">
              <a16:creationId xmlns:a16="http://schemas.microsoft.com/office/drawing/2014/main" id="{00000000-0008-0000-0100-00008104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154" name="Line 65">
          <a:extLst>
            <a:ext uri="{FF2B5EF4-FFF2-40B4-BE49-F238E27FC236}">
              <a16:creationId xmlns:a16="http://schemas.microsoft.com/office/drawing/2014/main" id="{00000000-0008-0000-0100-00008204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155" name="Line 66">
          <a:extLst>
            <a:ext uri="{FF2B5EF4-FFF2-40B4-BE49-F238E27FC236}">
              <a16:creationId xmlns:a16="http://schemas.microsoft.com/office/drawing/2014/main" id="{00000000-0008-0000-0100-00008304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156" name="Line 67">
          <a:extLst>
            <a:ext uri="{FF2B5EF4-FFF2-40B4-BE49-F238E27FC236}">
              <a16:creationId xmlns:a16="http://schemas.microsoft.com/office/drawing/2014/main" id="{00000000-0008-0000-0100-00008404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157" name="Line 68">
          <a:extLst>
            <a:ext uri="{FF2B5EF4-FFF2-40B4-BE49-F238E27FC236}">
              <a16:creationId xmlns:a16="http://schemas.microsoft.com/office/drawing/2014/main" id="{00000000-0008-0000-0100-00008504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158" name="Line 1">
          <a:extLst>
            <a:ext uri="{FF2B5EF4-FFF2-40B4-BE49-F238E27FC236}">
              <a16:creationId xmlns:a16="http://schemas.microsoft.com/office/drawing/2014/main" id="{00000000-0008-0000-0100-00008604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159" name="Drawing 16">
          <a:extLst>
            <a:ext uri="{FF2B5EF4-FFF2-40B4-BE49-F238E27FC236}">
              <a16:creationId xmlns:a16="http://schemas.microsoft.com/office/drawing/2014/main" id="{00000000-0008-0000-0100-00008704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160" name="Line 3">
          <a:extLst>
            <a:ext uri="{FF2B5EF4-FFF2-40B4-BE49-F238E27FC236}">
              <a16:creationId xmlns:a16="http://schemas.microsoft.com/office/drawing/2014/main" id="{00000000-0008-0000-0100-000088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161" name="Line 4">
          <a:extLst>
            <a:ext uri="{FF2B5EF4-FFF2-40B4-BE49-F238E27FC236}">
              <a16:creationId xmlns:a16="http://schemas.microsoft.com/office/drawing/2014/main" id="{00000000-0008-0000-0100-000089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162" name="Line 5">
          <a:extLst>
            <a:ext uri="{FF2B5EF4-FFF2-40B4-BE49-F238E27FC236}">
              <a16:creationId xmlns:a16="http://schemas.microsoft.com/office/drawing/2014/main" id="{00000000-0008-0000-0100-00008A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163" name="Line 6">
          <a:extLst>
            <a:ext uri="{FF2B5EF4-FFF2-40B4-BE49-F238E27FC236}">
              <a16:creationId xmlns:a16="http://schemas.microsoft.com/office/drawing/2014/main" id="{00000000-0008-0000-0100-00008B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164" name="Line 7">
          <a:extLst>
            <a:ext uri="{FF2B5EF4-FFF2-40B4-BE49-F238E27FC236}">
              <a16:creationId xmlns:a16="http://schemas.microsoft.com/office/drawing/2014/main" id="{00000000-0008-0000-0100-00008C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165" name="Line 8">
          <a:extLst>
            <a:ext uri="{FF2B5EF4-FFF2-40B4-BE49-F238E27FC236}">
              <a16:creationId xmlns:a16="http://schemas.microsoft.com/office/drawing/2014/main" id="{00000000-0008-0000-0100-00008D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166" name="Line 9">
          <a:extLst>
            <a:ext uri="{FF2B5EF4-FFF2-40B4-BE49-F238E27FC236}">
              <a16:creationId xmlns:a16="http://schemas.microsoft.com/office/drawing/2014/main" id="{00000000-0008-0000-0100-00008E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167" name="Line 10">
          <a:extLst>
            <a:ext uri="{FF2B5EF4-FFF2-40B4-BE49-F238E27FC236}">
              <a16:creationId xmlns:a16="http://schemas.microsoft.com/office/drawing/2014/main" id="{00000000-0008-0000-0100-00008F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168" name="Line 11">
          <a:extLst>
            <a:ext uri="{FF2B5EF4-FFF2-40B4-BE49-F238E27FC236}">
              <a16:creationId xmlns:a16="http://schemas.microsoft.com/office/drawing/2014/main" id="{00000000-0008-0000-0100-000090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169" name="Line 12">
          <a:extLst>
            <a:ext uri="{FF2B5EF4-FFF2-40B4-BE49-F238E27FC236}">
              <a16:creationId xmlns:a16="http://schemas.microsoft.com/office/drawing/2014/main" id="{00000000-0008-0000-0100-000091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170" name="Line 13">
          <a:extLst>
            <a:ext uri="{FF2B5EF4-FFF2-40B4-BE49-F238E27FC236}">
              <a16:creationId xmlns:a16="http://schemas.microsoft.com/office/drawing/2014/main" id="{00000000-0008-0000-0100-000092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71" name="Line 14">
          <a:extLst>
            <a:ext uri="{FF2B5EF4-FFF2-40B4-BE49-F238E27FC236}">
              <a16:creationId xmlns:a16="http://schemas.microsoft.com/office/drawing/2014/main" id="{00000000-0008-0000-0100-000093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172" name="Line 15">
          <a:extLst>
            <a:ext uri="{FF2B5EF4-FFF2-40B4-BE49-F238E27FC236}">
              <a16:creationId xmlns:a16="http://schemas.microsoft.com/office/drawing/2014/main" id="{00000000-0008-0000-0100-000094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73" name="Line 16">
          <a:extLst>
            <a:ext uri="{FF2B5EF4-FFF2-40B4-BE49-F238E27FC236}">
              <a16:creationId xmlns:a16="http://schemas.microsoft.com/office/drawing/2014/main" id="{00000000-0008-0000-0100-000095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174" name="Line 17">
          <a:extLst>
            <a:ext uri="{FF2B5EF4-FFF2-40B4-BE49-F238E27FC236}">
              <a16:creationId xmlns:a16="http://schemas.microsoft.com/office/drawing/2014/main" id="{00000000-0008-0000-0100-000096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175" name="Line 18">
          <a:extLst>
            <a:ext uri="{FF2B5EF4-FFF2-40B4-BE49-F238E27FC236}">
              <a16:creationId xmlns:a16="http://schemas.microsoft.com/office/drawing/2014/main" id="{00000000-0008-0000-0100-000097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176" name="Line 19">
          <a:extLst>
            <a:ext uri="{FF2B5EF4-FFF2-40B4-BE49-F238E27FC236}">
              <a16:creationId xmlns:a16="http://schemas.microsoft.com/office/drawing/2014/main" id="{00000000-0008-0000-0100-000098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177" name="Line 20">
          <a:extLst>
            <a:ext uri="{FF2B5EF4-FFF2-40B4-BE49-F238E27FC236}">
              <a16:creationId xmlns:a16="http://schemas.microsoft.com/office/drawing/2014/main" id="{00000000-0008-0000-0100-000099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178" name="Line 21">
          <a:extLst>
            <a:ext uri="{FF2B5EF4-FFF2-40B4-BE49-F238E27FC236}">
              <a16:creationId xmlns:a16="http://schemas.microsoft.com/office/drawing/2014/main" id="{00000000-0008-0000-0100-00009A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179" name="Line 22">
          <a:extLst>
            <a:ext uri="{FF2B5EF4-FFF2-40B4-BE49-F238E27FC236}">
              <a16:creationId xmlns:a16="http://schemas.microsoft.com/office/drawing/2014/main" id="{00000000-0008-0000-0100-00009B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180" name="Line 23">
          <a:extLst>
            <a:ext uri="{FF2B5EF4-FFF2-40B4-BE49-F238E27FC236}">
              <a16:creationId xmlns:a16="http://schemas.microsoft.com/office/drawing/2014/main" id="{00000000-0008-0000-0100-00009C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181" name="Line 24">
          <a:extLst>
            <a:ext uri="{FF2B5EF4-FFF2-40B4-BE49-F238E27FC236}">
              <a16:creationId xmlns:a16="http://schemas.microsoft.com/office/drawing/2014/main" id="{00000000-0008-0000-0100-00009D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182" name="Line 25">
          <a:extLst>
            <a:ext uri="{FF2B5EF4-FFF2-40B4-BE49-F238E27FC236}">
              <a16:creationId xmlns:a16="http://schemas.microsoft.com/office/drawing/2014/main" id="{00000000-0008-0000-0100-00009E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183" name="Line 26">
          <a:extLst>
            <a:ext uri="{FF2B5EF4-FFF2-40B4-BE49-F238E27FC236}">
              <a16:creationId xmlns:a16="http://schemas.microsoft.com/office/drawing/2014/main" id="{00000000-0008-0000-0100-00009F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184" name="Line 27">
          <a:extLst>
            <a:ext uri="{FF2B5EF4-FFF2-40B4-BE49-F238E27FC236}">
              <a16:creationId xmlns:a16="http://schemas.microsoft.com/office/drawing/2014/main" id="{00000000-0008-0000-0100-0000A0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185" name="Line 28">
          <a:extLst>
            <a:ext uri="{FF2B5EF4-FFF2-40B4-BE49-F238E27FC236}">
              <a16:creationId xmlns:a16="http://schemas.microsoft.com/office/drawing/2014/main" id="{00000000-0008-0000-0100-0000A1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186" name="Line 29">
          <a:extLst>
            <a:ext uri="{FF2B5EF4-FFF2-40B4-BE49-F238E27FC236}">
              <a16:creationId xmlns:a16="http://schemas.microsoft.com/office/drawing/2014/main" id="{00000000-0008-0000-0100-0000A2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187" name="Line 30">
          <a:extLst>
            <a:ext uri="{FF2B5EF4-FFF2-40B4-BE49-F238E27FC236}">
              <a16:creationId xmlns:a16="http://schemas.microsoft.com/office/drawing/2014/main" id="{00000000-0008-0000-0100-0000A3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188" name="Line 31">
          <a:extLst>
            <a:ext uri="{FF2B5EF4-FFF2-40B4-BE49-F238E27FC236}">
              <a16:creationId xmlns:a16="http://schemas.microsoft.com/office/drawing/2014/main" id="{00000000-0008-0000-0100-0000A4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189" name="Line 32">
          <a:extLst>
            <a:ext uri="{FF2B5EF4-FFF2-40B4-BE49-F238E27FC236}">
              <a16:creationId xmlns:a16="http://schemas.microsoft.com/office/drawing/2014/main" id="{00000000-0008-0000-0100-0000A5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190" name="Line 33">
          <a:extLst>
            <a:ext uri="{FF2B5EF4-FFF2-40B4-BE49-F238E27FC236}">
              <a16:creationId xmlns:a16="http://schemas.microsoft.com/office/drawing/2014/main" id="{00000000-0008-0000-0100-0000A6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191" name="Line 34">
          <a:extLst>
            <a:ext uri="{FF2B5EF4-FFF2-40B4-BE49-F238E27FC236}">
              <a16:creationId xmlns:a16="http://schemas.microsoft.com/office/drawing/2014/main" id="{00000000-0008-0000-0100-0000A7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192" name="Line 35">
          <a:extLst>
            <a:ext uri="{FF2B5EF4-FFF2-40B4-BE49-F238E27FC236}">
              <a16:creationId xmlns:a16="http://schemas.microsoft.com/office/drawing/2014/main" id="{00000000-0008-0000-0100-0000A8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193" name="Line 36">
          <a:extLst>
            <a:ext uri="{FF2B5EF4-FFF2-40B4-BE49-F238E27FC236}">
              <a16:creationId xmlns:a16="http://schemas.microsoft.com/office/drawing/2014/main" id="{00000000-0008-0000-0100-0000A9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194" name="Line 37">
          <a:extLst>
            <a:ext uri="{FF2B5EF4-FFF2-40B4-BE49-F238E27FC236}">
              <a16:creationId xmlns:a16="http://schemas.microsoft.com/office/drawing/2014/main" id="{00000000-0008-0000-0100-0000AA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195" name="Line 38">
          <a:extLst>
            <a:ext uri="{FF2B5EF4-FFF2-40B4-BE49-F238E27FC236}">
              <a16:creationId xmlns:a16="http://schemas.microsoft.com/office/drawing/2014/main" id="{00000000-0008-0000-0100-0000AB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196" name="Line 39">
          <a:extLst>
            <a:ext uri="{FF2B5EF4-FFF2-40B4-BE49-F238E27FC236}">
              <a16:creationId xmlns:a16="http://schemas.microsoft.com/office/drawing/2014/main" id="{00000000-0008-0000-0100-0000AC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197" name="Line 40">
          <a:extLst>
            <a:ext uri="{FF2B5EF4-FFF2-40B4-BE49-F238E27FC236}">
              <a16:creationId xmlns:a16="http://schemas.microsoft.com/office/drawing/2014/main" id="{00000000-0008-0000-0100-0000AD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198" name="Line 41">
          <a:extLst>
            <a:ext uri="{FF2B5EF4-FFF2-40B4-BE49-F238E27FC236}">
              <a16:creationId xmlns:a16="http://schemas.microsoft.com/office/drawing/2014/main" id="{00000000-0008-0000-0100-0000AE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199" name="Rectangle 42">
          <a:extLst>
            <a:ext uri="{FF2B5EF4-FFF2-40B4-BE49-F238E27FC236}">
              <a16:creationId xmlns:a16="http://schemas.microsoft.com/office/drawing/2014/main" id="{00000000-0008-0000-0100-0000AF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00" name="Line 43">
          <a:extLst>
            <a:ext uri="{FF2B5EF4-FFF2-40B4-BE49-F238E27FC236}">
              <a16:creationId xmlns:a16="http://schemas.microsoft.com/office/drawing/2014/main" id="{00000000-0008-0000-0100-0000B0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01" name="Line 44">
          <a:extLst>
            <a:ext uri="{FF2B5EF4-FFF2-40B4-BE49-F238E27FC236}">
              <a16:creationId xmlns:a16="http://schemas.microsoft.com/office/drawing/2014/main" id="{00000000-0008-0000-0100-0000B1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202" name="Line 45">
          <a:extLst>
            <a:ext uri="{FF2B5EF4-FFF2-40B4-BE49-F238E27FC236}">
              <a16:creationId xmlns:a16="http://schemas.microsoft.com/office/drawing/2014/main" id="{00000000-0008-0000-0100-0000B2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203" name="Line 46">
          <a:extLst>
            <a:ext uri="{FF2B5EF4-FFF2-40B4-BE49-F238E27FC236}">
              <a16:creationId xmlns:a16="http://schemas.microsoft.com/office/drawing/2014/main" id="{00000000-0008-0000-0100-0000B3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204" name="Line 47">
          <a:extLst>
            <a:ext uri="{FF2B5EF4-FFF2-40B4-BE49-F238E27FC236}">
              <a16:creationId xmlns:a16="http://schemas.microsoft.com/office/drawing/2014/main" id="{00000000-0008-0000-0100-0000B4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205" name="Line 48">
          <a:extLst>
            <a:ext uri="{FF2B5EF4-FFF2-40B4-BE49-F238E27FC236}">
              <a16:creationId xmlns:a16="http://schemas.microsoft.com/office/drawing/2014/main" id="{00000000-0008-0000-0100-0000B5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206" name="Line 49">
          <a:extLst>
            <a:ext uri="{FF2B5EF4-FFF2-40B4-BE49-F238E27FC236}">
              <a16:creationId xmlns:a16="http://schemas.microsoft.com/office/drawing/2014/main" id="{00000000-0008-0000-0100-0000B6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207" name="Line 50">
          <a:extLst>
            <a:ext uri="{FF2B5EF4-FFF2-40B4-BE49-F238E27FC236}">
              <a16:creationId xmlns:a16="http://schemas.microsoft.com/office/drawing/2014/main" id="{00000000-0008-0000-0100-0000B7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208" name="Line 51">
          <a:extLst>
            <a:ext uri="{FF2B5EF4-FFF2-40B4-BE49-F238E27FC236}">
              <a16:creationId xmlns:a16="http://schemas.microsoft.com/office/drawing/2014/main" id="{00000000-0008-0000-0100-0000B8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209" name="Line 52">
          <a:extLst>
            <a:ext uri="{FF2B5EF4-FFF2-40B4-BE49-F238E27FC236}">
              <a16:creationId xmlns:a16="http://schemas.microsoft.com/office/drawing/2014/main" id="{00000000-0008-0000-0100-0000B9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210" name="Line 53">
          <a:extLst>
            <a:ext uri="{FF2B5EF4-FFF2-40B4-BE49-F238E27FC236}">
              <a16:creationId xmlns:a16="http://schemas.microsoft.com/office/drawing/2014/main" id="{00000000-0008-0000-0100-0000BA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211" name="Line 54">
          <a:extLst>
            <a:ext uri="{FF2B5EF4-FFF2-40B4-BE49-F238E27FC236}">
              <a16:creationId xmlns:a16="http://schemas.microsoft.com/office/drawing/2014/main" id="{00000000-0008-0000-0100-0000BB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212" name="Line 55">
          <a:extLst>
            <a:ext uri="{FF2B5EF4-FFF2-40B4-BE49-F238E27FC236}">
              <a16:creationId xmlns:a16="http://schemas.microsoft.com/office/drawing/2014/main" id="{00000000-0008-0000-0100-0000BC04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213" name="Line 56">
          <a:extLst>
            <a:ext uri="{FF2B5EF4-FFF2-40B4-BE49-F238E27FC236}">
              <a16:creationId xmlns:a16="http://schemas.microsoft.com/office/drawing/2014/main" id="{00000000-0008-0000-0100-0000BD04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214" name="Rectangle 57">
          <a:extLst>
            <a:ext uri="{FF2B5EF4-FFF2-40B4-BE49-F238E27FC236}">
              <a16:creationId xmlns:a16="http://schemas.microsoft.com/office/drawing/2014/main" id="{00000000-0008-0000-0100-0000BE04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215" name="Line 58">
          <a:extLst>
            <a:ext uri="{FF2B5EF4-FFF2-40B4-BE49-F238E27FC236}">
              <a16:creationId xmlns:a16="http://schemas.microsoft.com/office/drawing/2014/main" id="{00000000-0008-0000-0100-0000BF04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216" name="Line 59">
          <a:extLst>
            <a:ext uri="{FF2B5EF4-FFF2-40B4-BE49-F238E27FC236}">
              <a16:creationId xmlns:a16="http://schemas.microsoft.com/office/drawing/2014/main" id="{00000000-0008-0000-0100-0000C004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217" name="Line 60">
          <a:extLst>
            <a:ext uri="{FF2B5EF4-FFF2-40B4-BE49-F238E27FC236}">
              <a16:creationId xmlns:a16="http://schemas.microsoft.com/office/drawing/2014/main" id="{00000000-0008-0000-0100-0000C104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218" name="Line 61">
          <a:extLst>
            <a:ext uri="{FF2B5EF4-FFF2-40B4-BE49-F238E27FC236}">
              <a16:creationId xmlns:a16="http://schemas.microsoft.com/office/drawing/2014/main" id="{00000000-0008-0000-0100-0000C2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219" name="Line 62">
          <a:extLst>
            <a:ext uri="{FF2B5EF4-FFF2-40B4-BE49-F238E27FC236}">
              <a16:creationId xmlns:a16="http://schemas.microsoft.com/office/drawing/2014/main" id="{00000000-0008-0000-0100-0000C3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220" name="Line 63">
          <a:extLst>
            <a:ext uri="{FF2B5EF4-FFF2-40B4-BE49-F238E27FC236}">
              <a16:creationId xmlns:a16="http://schemas.microsoft.com/office/drawing/2014/main" id="{00000000-0008-0000-0100-0000C404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221" name="Line 64">
          <a:extLst>
            <a:ext uri="{FF2B5EF4-FFF2-40B4-BE49-F238E27FC236}">
              <a16:creationId xmlns:a16="http://schemas.microsoft.com/office/drawing/2014/main" id="{00000000-0008-0000-0100-0000C504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222" name="Line 65">
          <a:extLst>
            <a:ext uri="{FF2B5EF4-FFF2-40B4-BE49-F238E27FC236}">
              <a16:creationId xmlns:a16="http://schemas.microsoft.com/office/drawing/2014/main" id="{00000000-0008-0000-0100-0000C604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223" name="Line 66">
          <a:extLst>
            <a:ext uri="{FF2B5EF4-FFF2-40B4-BE49-F238E27FC236}">
              <a16:creationId xmlns:a16="http://schemas.microsoft.com/office/drawing/2014/main" id="{00000000-0008-0000-0100-0000C704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224" name="Line 67">
          <a:extLst>
            <a:ext uri="{FF2B5EF4-FFF2-40B4-BE49-F238E27FC236}">
              <a16:creationId xmlns:a16="http://schemas.microsoft.com/office/drawing/2014/main" id="{00000000-0008-0000-0100-0000C804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225" name="Line 68">
          <a:extLst>
            <a:ext uri="{FF2B5EF4-FFF2-40B4-BE49-F238E27FC236}">
              <a16:creationId xmlns:a16="http://schemas.microsoft.com/office/drawing/2014/main" id="{00000000-0008-0000-0100-0000C904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226" name="Line 1">
          <a:extLst>
            <a:ext uri="{FF2B5EF4-FFF2-40B4-BE49-F238E27FC236}">
              <a16:creationId xmlns:a16="http://schemas.microsoft.com/office/drawing/2014/main" id="{00000000-0008-0000-0100-0000CA04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227" name="Drawing 16">
          <a:extLst>
            <a:ext uri="{FF2B5EF4-FFF2-40B4-BE49-F238E27FC236}">
              <a16:creationId xmlns:a16="http://schemas.microsoft.com/office/drawing/2014/main" id="{00000000-0008-0000-0100-0000CB04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228" name="Line 3">
          <a:extLst>
            <a:ext uri="{FF2B5EF4-FFF2-40B4-BE49-F238E27FC236}">
              <a16:creationId xmlns:a16="http://schemas.microsoft.com/office/drawing/2014/main" id="{00000000-0008-0000-0100-0000CC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229" name="Line 4">
          <a:extLst>
            <a:ext uri="{FF2B5EF4-FFF2-40B4-BE49-F238E27FC236}">
              <a16:creationId xmlns:a16="http://schemas.microsoft.com/office/drawing/2014/main" id="{00000000-0008-0000-0100-0000CD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230" name="Line 5">
          <a:extLst>
            <a:ext uri="{FF2B5EF4-FFF2-40B4-BE49-F238E27FC236}">
              <a16:creationId xmlns:a16="http://schemas.microsoft.com/office/drawing/2014/main" id="{00000000-0008-0000-0100-0000CE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231" name="Line 6">
          <a:extLst>
            <a:ext uri="{FF2B5EF4-FFF2-40B4-BE49-F238E27FC236}">
              <a16:creationId xmlns:a16="http://schemas.microsoft.com/office/drawing/2014/main" id="{00000000-0008-0000-0100-0000CF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232" name="Line 7">
          <a:extLst>
            <a:ext uri="{FF2B5EF4-FFF2-40B4-BE49-F238E27FC236}">
              <a16:creationId xmlns:a16="http://schemas.microsoft.com/office/drawing/2014/main" id="{00000000-0008-0000-0100-0000D0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233" name="Line 8">
          <a:extLst>
            <a:ext uri="{FF2B5EF4-FFF2-40B4-BE49-F238E27FC236}">
              <a16:creationId xmlns:a16="http://schemas.microsoft.com/office/drawing/2014/main" id="{00000000-0008-0000-0100-0000D1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234" name="Line 9">
          <a:extLst>
            <a:ext uri="{FF2B5EF4-FFF2-40B4-BE49-F238E27FC236}">
              <a16:creationId xmlns:a16="http://schemas.microsoft.com/office/drawing/2014/main" id="{00000000-0008-0000-0100-0000D2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235" name="Line 10">
          <a:extLst>
            <a:ext uri="{FF2B5EF4-FFF2-40B4-BE49-F238E27FC236}">
              <a16:creationId xmlns:a16="http://schemas.microsoft.com/office/drawing/2014/main" id="{00000000-0008-0000-0100-0000D3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236" name="Line 11">
          <a:extLst>
            <a:ext uri="{FF2B5EF4-FFF2-40B4-BE49-F238E27FC236}">
              <a16:creationId xmlns:a16="http://schemas.microsoft.com/office/drawing/2014/main" id="{00000000-0008-0000-0100-0000D4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237" name="Line 12">
          <a:extLst>
            <a:ext uri="{FF2B5EF4-FFF2-40B4-BE49-F238E27FC236}">
              <a16:creationId xmlns:a16="http://schemas.microsoft.com/office/drawing/2014/main" id="{00000000-0008-0000-0100-0000D5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238" name="Line 13">
          <a:extLst>
            <a:ext uri="{FF2B5EF4-FFF2-40B4-BE49-F238E27FC236}">
              <a16:creationId xmlns:a16="http://schemas.microsoft.com/office/drawing/2014/main" id="{00000000-0008-0000-0100-0000D6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239" name="Line 14">
          <a:extLst>
            <a:ext uri="{FF2B5EF4-FFF2-40B4-BE49-F238E27FC236}">
              <a16:creationId xmlns:a16="http://schemas.microsoft.com/office/drawing/2014/main" id="{00000000-0008-0000-0100-0000D7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240" name="Line 15">
          <a:extLst>
            <a:ext uri="{FF2B5EF4-FFF2-40B4-BE49-F238E27FC236}">
              <a16:creationId xmlns:a16="http://schemas.microsoft.com/office/drawing/2014/main" id="{00000000-0008-0000-0100-0000D8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241" name="Line 16">
          <a:extLst>
            <a:ext uri="{FF2B5EF4-FFF2-40B4-BE49-F238E27FC236}">
              <a16:creationId xmlns:a16="http://schemas.microsoft.com/office/drawing/2014/main" id="{00000000-0008-0000-0100-0000D9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242" name="Line 17">
          <a:extLst>
            <a:ext uri="{FF2B5EF4-FFF2-40B4-BE49-F238E27FC236}">
              <a16:creationId xmlns:a16="http://schemas.microsoft.com/office/drawing/2014/main" id="{00000000-0008-0000-0100-0000DA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243" name="Line 18">
          <a:extLst>
            <a:ext uri="{FF2B5EF4-FFF2-40B4-BE49-F238E27FC236}">
              <a16:creationId xmlns:a16="http://schemas.microsoft.com/office/drawing/2014/main" id="{00000000-0008-0000-0100-0000DB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244" name="Line 19">
          <a:extLst>
            <a:ext uri="{FF2B5EF4-FFF2-40B4-BE49-F238E27FC236}">
              <a16:creationId xmlns:a16="http://schemas.microsoft.com/office/drawing/2014/main" id="{00000000-0008-0000-0100-0000DC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245" name="Line 20">
          <a:extLst>
            <a:ext uri="{FF2B5EF4-FFF2-40B4-BE49-F238E27FC236}">
              <a16:creationId xmlns:a16="http://schemas.microsoft.com/office/drawing/2014/main" id="{00000000-0008-0000-0100-0000DD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246" name="Line 21">
          <a:extLst>
            <a:ext uri="{FF2B5EF4-FFF2-40B4-BE49-F238E27FC236}">
              <a16:creationId xmlns:a16="http://schemas.microsoft.com/office/drawing/2014/main" id="{00000000-0008-0000-0100-0000DE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247" name="Line 22">
          <a:extLst>
            <a:ext uri="{FF2B5EF4-FFF2-40B4-BE49-F238E27FC236}">
              <a16:creationId xmlns:a16="http://schemas.microsoft.com/office/drawing/2014/main" id="{00000000-0008-0000-0100-0000DF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248" name="Line 23">
          <a:extLst>
            <a:ext uri="{FF2B5EF4-FFF2-40B4-BE49-F238E27FC236}">
              <a16:creationId xmlns:a16="http://schemas.microsoft.com/office/drawing/2014/main" id="{00000000-0008-0000-0100-0000E0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249" name="Line 24">
          <a:extLst>
            <a:ext uri="{FF2B5EF4-FFF2-40B4-BE49-F238E27FC236}">
              <a16:creationId xmlns:a16="http://schemas.microsoft.com/office/drawing/2014/main" id="{00000000-0008-0000-0100-0000E1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250" name="Line 25">
          <a:extLst>
            <a:ext uri="{FF2B5EF4-FFF2-40B4-BE49-F238E27FC236}">
              <a16:creationId xmlns:a16="http://schemas.microsoft.com/office/drawing/2014/main" id="{00000000-0008-0000-0100-0000E2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251" name="Line 26">
          <a:extLst>
            <a:ext uri="{FF2B5EF4-FFF2-40B4-BE49-F238E27FC236}">
              <a16:creationId xmlns:a16="http://schemas.microsoft.com/office/drawing/2014/main" id="{00000000-0008-0000-0100-0000E3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252" name="Line 27">
          <a:extLst>
            <a:ext uri="{FF2B5EF4-FFF2-40B4-BE49-F238E27FC236}">
              <a16:creationId xmlns:a16="http://schemas.microsoft.com/office/drawing/2014/main" id="{00000000-0008-0000-0100-0000E4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253" name="Line 28">
          <a:extLst>
            <a:ext uri="{FF2B5EF4-FFF2-40B4-BE49-F238E27FC236}">
              <a16:creationId xmlns:a16="http://schemas.microsoft.com/office/drawing/2014/main" id="{00000000-0008-0000-0100-0000E5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254" name="Line 29">
          <a:extLst>
            <a:ext uri="{FF2B5EF4-FFF2-40B4-BE49-F238E27FC236}">
              <a16:creationId xmlns:a16="http://schemas.microsoft.com/office/drawing/2014/main" id="{00000000-0008-0000-0100-0000E6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255" name="Line 30">
          <a:extLst>
            <a:ext uri="{FF2B5EF4-FFF2-40B4-BE49-F238E27FC236}">
              <a16:creationId xmlns:a16="http://schemas.microsoft.com/office/drawing/2014/main" id="{00000000-0008-0000-0100-0000E7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256" name="Line 31">
          <a:extLst>
            <a:ext uri="{FF2B5EF4-FFF2-40B4-BE49-F238E27FC236}">
              <a16:creationId xmlns:a16="http://schemas.microsoft.com/office/drawing/2014/main" id="{00000000-0008-0000-0100-0000E8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257" name="Line 32">
          <a:extLst>
            <a:ext uri="{FF2B5EF4-FFF2-40B4-BE49-F238E27FC236}">
              <a16:creationId xmlns:a16="http://schemas.microsoft.com/office/drawing/2014/main" id="{00000000-0008-0000-0100-0000E9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258" name="Line 33">
          <a:extLst>
            <a:ext uri="{FF2B5EF4-FFF2-40B4-BE49-F238E27FC236}">
              <a16:creationId xmlns:a16="http://schemas.microsoft.com/office/drawing/2014/main" id="{00000000-0008-0000-0100-0000EA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259" name="Line 34">
          <a:extLst>
            <a:ext uri="{FF2B5EF4-FFF2-40B4-BE49-F238E27FC236}">
              <a16:creationId xmlns:a16="http://schemas.microsoft.com/office/drawing/2014/main" id="{00000000-0008-0000-0100-0000EB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260" name="Line 35">
          <a:extLst>
            <a:ext uri="{FF2B5EF4-FFF2-40B4-BE49-F238E27FC236}">
              <a16:creationId xmlns:a16="http://schemas.microsoft.com/office/drawing/2014/main" id="{00000000-0008-0000-0100-0000EC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261" name="Line 36">
          <a:extLst>
            <a:ext uri="{FF2B5EF4-FFF2-40B4-BE49-F238E27FC236}">
              <a16:creationId xmlns:a16="http://schemas.microsoft.com/office/drawing/2014/main" id="{00000000-0008-0000-0100-0000ED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262" name="Line 37">
          <a:extLst>
            <a:ext uri="{FF2B5EF4-FFF2-40B4-BE49-F238E27FC236}">
              <a16:creationId xmlns:a16="http://schemas.microsoft.com/office/drawing/2014/main" id="{00000000-0008-0000-0100-0000EE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263" name="Line 38">
          <a:extLst>
            <a:ext uri="{FF2B5EF4-FFF2-40B4-BE49-F238E27FC236}">
              <a16:creationId xmlns:a16="http://schemas.microsoft.com/office/drawing/2014/main" id="{00000000-0008-0000-0100-0000EF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264" name="Line 39">
          <a:extLst>
            <a:ext uri="{FF2B5EF4-FFF2-40B4-BE49-F238E27FC236}">
              <a16:creationId xmlns:a16="http://schemas.microsoft.com/office/drawing/2014/main" id="{00000000-0008-0000-0100-0000F0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265" name="Line 40">
          <a:extLst>
            <a:ext uri="{FF2B5EF4-FFF2-40B4-BE49-F238E27FC236}">
              <a16:creationId xmlns:a16="http://schemas.microsoft.com/office/drawing/2014/main" id="{00000000-0008-0000-0100-0000F1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266" name="Line 41">
          <a:extLst>
            <a:ext uri="{FF2B5EF4-FFF2-40B4-BE49-F238E27FC236}">
              <a16:creationId xmlns:a16="http://schemas.microsoft.com/office/drawing/2014/main" id="{00000000-0008-0000-0100-0000F2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267" name="Rectangle 42">
          <a:extLst>
            <a:ext uri="{FF2B5EF4-FFF2-40B4-BE49-F238E27FC236}">
              <a16:creationId xmlns:a16="http://schemas.microsoft.com/office/drawing/2014/main" id="{00000000-0008-0000-0100-0000F3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68" name="Line 43">
          <a:extLst>
            <a:ext uri="{FF2B5EF4-FFF2-40B4-BE49-F238E27FC236}">
              <a16:creationId xmlns:a16="http://schemas.microsoft.com/office/drawing/2014/main" id="{00000000-0008-0000-0100-0000F4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69" name="Line 44">
          <a:extLst>
            <a:ext uri="{FF2B5EF4-FFF2-40B4-BE49-F238E27FC236}">
              <a16:creationId xmlns:a16="http://schemas.microsoft.com/office/drawing/2014/main" id="{00000000-0008-0000-0100-0000F5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270" name="Line 45">
          <a:extLst>
            <a:ext uri="{FF2B5EF4-FFF2-40B4-BE49-F238E27FC236}">
              <a16:creationId xmlns:a16="http://schemas.microsoft.com/office/drawing/2014/main" id="{00000000-0008-0000-0100-0000F6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271" name="Line 46">
          <a:extLst>
            <a:ext uri="{FF2B5EF4-FFF2-40B4-BE49-F238E27FC236}">
              <a16:creationId xmlns:a16="http://schemas.microsoft.com/office/drawing/2014/main" id="{00000000-0008-0000-0100-0000F7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272" name="Line 47">
          <a:extLst>
            <a:ext uri="{FF2B5EF4-FFF2-40B4-BE49-F238E27FC236}">
              <a16:creationId xmlns:a16="http://schemas.microsoft.com/office/drawing/2014/main" id="{00000000-0008-0000-0100-0000F8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273" name="Line 48">
          <a:extLst>
            <a:ext uri="{FF2B5EF4-FFF2-40B4-BE49-F238E27FC236}">
              <a16:creationId xmlns:a16="http://schemas.microsoft.com/office/drawing/2014/main" id="{00000000-0008-0000-0100-0000F9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274" name="Line 49">
          <a:extLst>
            <a:ext uri="{FF2B5EF4-FFF2-40B4-BE49-F238E27FC236}">
              <a16:creationId xmlns:a16="http://schemas.microsoft.com/office/drawing/2014/main" id="{00000000-0008-0000-0100-0000FA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275" name="Line 50">
          <a:extLst>
            <a:ext uri="{FF2B5EF4-FFF2-40B4-BE49-F238E27FC236}">
              <a16:creationId xmlns:a16="http://schemas.microsoft.com/office/drawing/2014/main" id="{00000000-0008-0000-0100-0000FB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276" name="Line 51">
          <a:extLst>
            <a:ext uri="{FF2B5EF4-FFF2-40B4-BE49-F238E27FC236}">
              <a16:creationId xmlns:a16="http://schemas.microsoft.com/office/drawing/2014/main" id="{00000000-0008-0000-0100-0000FC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277" name="Line 52">
          <a:extLst>
            <a:ext uri="{FF2B5EF4-FFF2-40B4-BE49-F238E27FC236}">
              <a16:creationId xmlns:a16="http://schemas.microsoft.com/office/drawing/2014/main" id="{00000000-0008-0000-0100-0000FD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278" name="Line 53">
          <a:extLst>
            <a:ext uri="{FF2B5EF4-FFF2-40B4-BE49-F238E27FC236}">
              <a16:creationId xmlns:a16="http://schemas.microsoft.com/office/drawing/2014/main" id="{00000000-0008-0000-0100-0000FE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279" name="Line 54">
          <a:extLst>
            <a:ext uri="{FF2B5EF4-FFF2-40B4-BE49-F238E27FC236}">
              <a16:creationId xmlns:a16="http://schemas.microsoft.com/office/drawing/2014/main" id="{00000000-0008-0000-0100-0000FF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280" name="Line 55">
          <a:extLst>
            <a:ext uri="{FF2B5EF4-FFF2-40B4-BE49-F238E27FC236}">
              <a16:creationId xmlns:a16="http://schemas.microsoft.com/office/drawing/2014/main" id="{00000000-0008-0000-0100-000000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281" name="Line 56">
          <a:extLst>
            <a:ext uri="{FF2B5EF4-FFF2-40B4-BE49-F238E27FC236}">
              <a16:creationId xmlns:a16="http://schemas.microsoft.com/office/drawing/2014/main" id="{00000000-0008-0000-0100-000001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282" name="Rectangle 57">
          <a:extLst>
            <a:ext uri="{FF2B5EF4-FFF2-40B4-BE49-F238E27FC236}">
              <a16:creationId xmlns:a16="http://schemas.microsoft.com/office/drawing/2014/main" id="{00000000-0008-0000-0100-000002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283" name="Line 58">
          <a:extLst>
            <a:ext uri="{FF2B5EF4-FFF2-40B4-BE49-F238E27FC236}">
              <a16:creationId xmlns:a16="http://schemas.microsoft.com/office/drawing/2014/main" id="{00000000-0008-0000-0100-000003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284" name="Line 59">
          <a:extLst>
            <a:ext uri="{FF2B5EF4-FFF2-40B4-BE49-F238E27FC236}">
              <a16:creationId xmlns:a16="http://schemas.microsoft.com/office/drawing/2014/main" id="{00000000-0008-0000-0100-000004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285" name="Line 60">
          <a:extLst>
            <a:ext uri="{FF2B5EF4-FFF2-40B4-BE49-F238E27FC236}">
              <a16:creationId xmlns:a16="http://schemas.microsoft.com/office/drawing/2014/main" id="{00000000-0008-0000-0100-000005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286" name="Line 61">
          <a:extLst>
            <a:ext uri="{FF2B5EF4-FFF2-40B4-BE49-F238E27FC236}">
              <a16:creationId xmlns:a16="http://schemas.microsoft.com/office/drawing/2014/main" id="{00000000-0008-0000-0100-000006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287" name="Line 62">
          <a:extLst>
            <a:ext uri="{FF2B5EF4-FFF2-40B4-BE49-F238E27FC236}">
              <a16:creationId xmlns:a16="http://schemas.microsoft.com/office/drawing/2014/main" id="{00000000-0008-0000-0100-000007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288" name="Line 63">
          <a:extLst>
            <a:ext uri="{FF2B5EF4-FFF2-40B4-BE49-F238E27FC236}">
              <a16:creationId xmlns:a16="http://schemas.microsoft.com/office/drawing/2014/main" id="{00000000-0008-0000-0100-000008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289" name="Line 64">
          <a:extLst>
            <a:ext uri="{FF2B5EF4-FFF2-40B4-BE49-F238E27FC236}">
              <a16:creationId xmlns:a16="http://schemas.microsoft.com/office/drawing/2014/main" id="{00000000-0008-0000-0100-000009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290" name="Line 65">
          <a:extLst>
            <a:ext uri="{FF2B5EF4-FFF2-40B4-BE49-F238E27FC236}">
              <a16:creationId xmlns:a16="http://schemas.microsoft.com/office/drawing/2014/main" id="{00000000-0008-0000-0100-00000A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291" name="Line 66">
          <a:extLst>
            <a:ext uri="{FF2B5EF4-FFF2-40B4-BE49-F238E27FC236}">
              <a16:creationId xmlns:a16="http://schemas.microsoft.com/office/drawing/2014/main" id="{00000000-0008-0000-0100-00000B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292" name="Line 67">
          <a:extLst>
            <a:ext uri="{FF2B5EF4-FFF2-40B4-BE49-F238E27FC236}">
              <a16:creationId xmlns:a16="http://schemas.microsoft.com/office/drawing/2014/main" id="{00000000-0008-0000-0100-00000C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293" name="Line 68">
          <a:extLst>
            <a:ext uri="{FF2B5EF4-FFF2-40B4-BE49-F238E27FC236}">
              <a16:creationId xmlns:a16="http://schemas.microsoft.com/office/drawing/2014/main" id="{00000000-0008-0000-0100-00000D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294" name="Line 1">
          <a:extLst>
            <a:ext uri="{FF2B5EF4-FFF2-40B4-BE49-F238E27FC236}">
              <a16:creationId xmlns:a16="http://schemas.microsoft.com/office/drawing/2014/main" id="{00000000-0008-0000-0100-00000E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295" name="Drawing 16">
          <a:extLst>
            <a:ext uri="{FF2B5EF4-FFF2-40B4-BE49-F238E27FC236}">
              <a16:creationId xmlns:a16="http://schemas.microsoft.com/office/drawing/2014/main" id="{00000000-0008-0000-0100-00000F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296" name="Line 3">
          <a:extLst>
            <a:ext uri="{FF2B5EF4-FFF2-40B4-BE49-F238E27FC236}">
              <a16:creationId xmlns:a16="http://schemas.microsoft.com/office/drawing/2014/main" id="{00000000-0008-0000-0100-000010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297" name="Line 4">
          <a:extLst>
            <a:ext uri="{FF2B5EF4-FFF2-40B4-BE49-F238E27FC236}">
              <a16:creationId xmlns:a16="http://schemas.microsoft.com/office/drawing/2014/main" id="{00000000-0008-0000-0100-000011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298" name="Line 5">
          <a:extLst>
            <a:ext uri="{FF2B5EF4-FFF2-40B4-BE49-F238E27FC236}">
              <a16:creationId xmlns:a16="http://schemas.microsoft.com/office/drawing/2014/main" id="{00000000-0008-0000-0100-000012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299" name="Line 6">
          <a:extLst>
            <a:ext uri="{FF2B5EF4-FFF2-40B4-BE49-F238E27FC236}">
              <a16:creationId xmlns:a16="http://schemas.microsoft.com/office/drawing/2014/main" id="{00000000-0008-0000-0100-000013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300" name="Line 7">
          <a:extLst>
            <a:ext uri="{FF2B5EF4-FFF2-40B4-BE49-F238E27FC236}">
              <a16:creationId xmlns:a16="http://schemas.microsoft.com/office/drawing/2014/main" id="{00000000-0008-0000-0100-000014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301" name="Line 8">
          <a:extLst>
            <a:ext uri="{FF2B5EF4-FFF2-40B4-BE49-F238E27FC236}">
              <a16:creationId xmlns:a16="http://schemas.microsoft.com/office/drawing/2014/main" id="{00000000-0008-0000-0100-000015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302" name="Line 9">
          <a:extLst>
            <a:ext uri="{FF2B5EF4-FFF2-40B4-BE49-F238E27FC236}">
              <a16:creationId xmlns:a16="http://schemas.microsoft.com/office/drawing/2014/main" id="{00000000-0008-0000-0100-000016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303" name="Line 10">
          <a:extLst>
            <a:ext uri="{FF2B5EF4-FFF2-40B4-BE49-F238E27FC236}">
              <a16:creationId xmlns:a16="http://schemas.microsoft.com/office/drawing/2014/main" id="{00000000-0008-0000-0100-000017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304" name="Line 11">
          <a:extLst>
            <a:ext uri="{FF2B5EF4-FFF2-40B4-BE49-F238E27FC236}">
              <a16:creationId xmlns:a16="http://schemas.microsoft.com/office/drawing/2014/main" id="{00000000-0008-0000-0100-000018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305" name="Line 12">
          <a:extLst>
            <a:ext uri="{FF2B5EF4-FFF2-40B4-BE49-F238E27FC236}">
              <a16:creationId xmlns:a16="http://schemas.microsoft.com/office/drawing/2014/main" id="{00000000-0008-0000-0100-000019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306" name="Line 13">
          <a:extLst>
            <a:ext uri="{FF2B5EF4-FFF2-40B4-BE49-F238E27FC236}">
              <a16:creationId xmlns:a16="http://schemas.microsoft.com/office/drawing/2014/main" id="{00000000-0008-0000-0100-00001A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07" name="Line 14">
          <a:extLst>
            <a:ext uri="{FF2B5EF4-FFF2-40B4-BE49-F238E27FC236}">
              <a16:creationId xmlns:a16="http://schemas.microsoft.com/office/drawing/2014/main" id="{00000000-0008-0000-0100-00001B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308" name="Line 15">
          <a:extLst>
            <a:ext uri="{FF2B5EF4-FFF2-40B4-BE49-F238E27FC236}">
              <a16:creationId xmlns:a16="http://schemas.microsoft.com/office/drawing/2014/main" id="{00000000-0008-0000-0100-00001C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09" name="Line 16">
          <a:extLst>
            <a:ext uri="{FF2B5EF4-FFF2-40B4-BE49-F238E27FC236}">
              <a16:creationId xmlns:a16="http://schemas.microsoft.com/office/drawing/2014/main" id="{00000000-0008-0000-0100-00001D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310" name="Line 17">
          <a:extLst>
            <a:ext uri="{FF2B5EF4-FFF2-40B4-BE49-F238E27FC236}">
              <a16:creationId xmlns:a16="http://schemas.microsoft.com/office/drawing/2014/main" id="{00000000-0008-0000-0100-00001E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311" name="Line 18">
          <a:extLst>
            <a:ext uri="{FF2B5EF4-FFF2-40B4-BE49-F238E27FC236}">
              <a16:creationId xmlns:a16="http://schemas.microsoft.com/office/drawing/2014/main" id="{00000000-0008-0000-0100-00001F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312" name="Line 19">
          <a:extLst>
            <a:ext uri="{FF2B5EF4-FFF2-40B4-BE49-F238E27FC236}">
              <a16:creationId xmlns:a16="http://schemas.microsoft.com/office/drawing/2014/main" id="{00000000-0008-0000-0100-000020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313" name="Line 20">
          <a:extLst>
            <a:ext uri="{FF2B5EF4-FFF2-40B4-BE49-F238E27FC236}">
              <a16:creationId xmlns:a16="http://schemas.microsoft.com/office/drawing/2014/main" id="{00000000-0008-0000-0100-000021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314" name="Line 21">
          <a:extLst>
            <a:ext uri="{FF2B5EF4-FFF2-40B4-BE49-F238E27FC236}">
              <a16:creationId xmlns:a16="http://schemas.microsoft.com/office/drawing/2014/main" id="{00000000-0008-0000-0100-000022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315" name="Line 22">
          <a:extLst>
            <a:ext uri="{FF2B5EF4-FFF2-40B4-BE49-F238E27FC236}">
              <a16:creationId xmlns:a16="http://schemas.microsoft.com/office/drawing/2014/main" id="{00000000-0008-0000-0100-000023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316" name="Line 23">
          <a:extLst>
            <a:ext uri="{FF2B5EF4-FFF2-40B4-BE49-F238E27FC236}">
              <a16:creationId xmlns:a16="http://schemas.microsoft.com/office/drawing/2014/main" id="{00000000-0008-0000-0100-000024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317" name="Line 24">
          <a:extLst>
            <a:ext uri="{FF2B5EF4-FFF2-40B4-BE49-F238E27FC236}">
              <a16:creationId xmlns:a16="http://schemas.microsoft.com/office/drawing/2014/main" id="{00000000-0008-0000-0100-000025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318" name="Line 25">
          <a:extLst>
            <a:ext uri="{FF2B5EF4-FFF2-40B4-BE49-F238E27FC236}">
              <a16:creationId xmlns:a16="http://schemas.microsoft.com/office/drawing/2014/main" id="{00000000-0008-0000-0100-000026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319" name="Line 26">
          <a:extLst>
            <a:ext uri="{FF2B5EF4-FFF2-40B4-BE49-F238E27FC236}">
              <a16:creationId xmlns:a16="http://schemas.microsoft.com/office/drawing/2014/main" id="{00000000-0008-0000-0100-000027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320" name="Line 27">
          <a:extLst>
            <a:ext uri="{FF2B5EF4-FFF2-40B4-BE49-F238E27FC236}">
              <a16:creationId xmlns:a16="http://schemas.microsoft.com/office/drawing/2014/main" id="{00000000-0008-0000-0100-000028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321" name="Line 28">
          <a:extLst>
            <a:ext uri="{FF2B5EF4-FFF2-40B4-BE49-F238E27FC236}">
              <a16:creationId xmlns:a16="http://schemas.microsoft.com/office/drawing/2014/main" id="{00000000-0008-0000-0100-000029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322" name="Line 29">
          <a:extLst>
            <a:ext uri="{FF2B5EF4-FFF2-40B4-BE49-F238E27FC236}">
              <a16:creationId xmlns:a16="http://schemas.microsoft.com/office/drawing/2014/main" id="{00000000-0008-0000-0100-00002A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323" name="Line 30">
          <a:extLst>
            <a:ext uri="{FF2B5EF4-FFF2-40B4-BE49-F238E27FC236}">
              <a16:creationId xmlns:a16="http://schemas.microsoft.com/office/drawing/2014/main" id="{00000000-0008-0000-0100-00002B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324" name="Line 31">
          <a:extLst>
            <a:ext uri="{FF2B5EF4-FFF2-40B4-BE49-F238E27FC236}">
              <a16:creationId xmlns:a16="http://schemas.microsoft.com/office/drawing/2014/main" id="{00000000-0008-0000-0100-00002C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325" name="Line 32">
          <a:extLst>
            <a:ext uri="{FF2B5EF4-FFF2-40B4-BE49-F238E27FC236}">
              <a16:creationId xmlns:a16="http://schemas.microsoft.com/office/drawing/2014/main" id="{00000000-0008-0000-0100-00002D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326" name="Line 33">
          <a:extLst>
            <a:ext uri="{FF2B5EF4-FFF2-40B4-BE49-F238E27FC236}">
              <a16:creationId xmlns:a16="http://schemas.microsoft.com/office/drawing/2014/main" id="{00000000-0008-0000-0100-00002E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327" name="Line 34">
          <a:extLst>
            <a:ext uri="{FF2B5EF4-FFF2-40B4-BE49-F238E27FC236}">
              <a16:creationId xmlns:a16="http://schemas.microsoft.com/office/drawing/2014/main" id="{00000000-0008-0000-0100-00002F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328" name="Line 35">
          <a:extLst>
            <a:ext uri="{FF2B5EF4-FFF2-40B4-BE49-F238E27FC236}">
              <a16:creationId xmlns:a16="http://schemas.microsoft.com/office/drawing/2014/main" id="{00000000-0008-0000-0100-000030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329" name="Line 36">
          <a:extLst>
            <a:ext uri="{FF2B5EF4-FFF2-40B4-BE49-F238E27FC236}">
              <a16:creationId xmlns:a16="http://schemas.microsoft.com/office/drawing/2014/main" id="{00000000-0008-0000-0100-000031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330" name="Line 37">
          <a:extLst>
            <a:ext uri="{FF2B5EF4-FFF2-40B4-BE49-F238E27FC236}">
              <a16:creationId xmlns:a16="http://schemas.microsoft.com/office/drawing/2014/main" id="{00000000-0008-0000-0100-000032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331" name="Line 38">
          <a:extLst>
            <a:ext uri="{FF2B5EF4-FFF2-40B4-BE49-F238E27FC236}">
              <a16:creationId xmlns:a16="http://schemas.microsoft.com/office/drawing/2014/main" id="{00000000-0008-0000-0100-000033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332" name="Line 39">
          <a:extLst>
            <a:ext uri="{FF2B5EF4-FFF2-40B4-BE49-F238E27FC236}">
              <a16:creationId xmlns:a16="http://schemas.microsoft.com/office/drawing/2014/main" id="{00000000-0008-0000-0100-00003405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333" name="Line 40">
          <a:extLst>
            <a:ext uri="{FF2B5EF4-FFF2-40B4-BE49-F238E27FC236}">
              <a16:creationId xmlns:a16="http://schemas.microsoft.com/office/drawing/2014/main" id="{00000000-0008-0000-0100-00003505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334" name="Line 41">
          <a:extLst>
            <a:ext uri="{FF2B5EF4-FFF2-40B4-BE49-F238E27FC236}">
              <a16:creationId xmlns:a16="http://schemas.microsoft.com/office/drawing/2014/main" id="{00000000-0008-0000-0100-00003605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335" name="Rectangle 42">
          <a:extLst>
            <a:ext uri="{FF2B5EF4-FFF2-40B4-BE49-F238E27FC236}">
              <a16:creationId xmlns:a16="http://schemas.microsoft.com/office/drawing/2014/main" id="{00000000-0008-0000-0100-00003705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336" name="Line 43">
          <a:extLst>
            <a:ext uri="{FF2B5EF4-FFF2-40B4-BE49-F238E27FC236}">
              <a16:creationId xmlns:a16="http://schemas.microsoft.com/office/drawing/2014/main" id="{00000000-0008-0000-0100-00003805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337" name="Line 44">
          <a:extLst>
            <a:ext uri="{FF2B5EF4-FFF2-40B4-BE49-F238E27FC236}">
              <a16:creationId xmlns:a16="http://schemas.microsoft.com/office/drawing/2014/main" id="{00000000-0008-0000-0100-000039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338" name="Line 45">
          <a:extLst>
            <a:ext uri="{FF2B5EF4-FFF2-40B4-BE49-F238E27FC236}">
              <a16:creationId xmlns:a16="http://schemas.microsoft.com/office/drawing/2014/main" id="{00000000-0008-0000-0100-00003A05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339" name="Line 46">
          <a:extLst>
            <a:ext uri="{FF2B5EF4-FFF2-40B4-BE49-F238E27FC236}">
              <a16:creationId xmlns:a16="http://schemas.microsoft.com/office/drawing/2014/main" id="{00000000-0008-0000-0100-00003B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340" name="Line 47">
          <a:extLst>
            <a:ext uri="{FF2B5EF4-FFF2-40B4-BE49-F238E27FC236}">
              <a16:creationId xmlns:a16="http://schemas.microsoft.com/office/drawing/2014/main" id="{00000000-0008-0000-0100-00003C05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341" name="Line 48">
          <a:extLst>
            <a:ext uri="{FF2B5EF4-FFF2-40B4-BE49-F238E27FC236}">
              <a16:creationId xmlns:a16="http://schemas.microsoft.com/office/drawing/2014/main" id="{00000000-0008-0000-0100-00003D05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342" name="Line 49">
          <a:extLst>
            <a:ext uri="{FF2B5EF4-FFF2-40B4-BE49-F238E27FC236}">
              <a16:creationId xmlns:a16="http://schemas.microsoft.com/office/drawing/2014/main" id="{00000000-0008-0000-0100-00003E05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343" name="Line 50">
          <a:extLst>
            <a:ext uri="{FF2B5EF4-FFF2-40B4-BE49-F238E27FC236}">
              <a16:creationId xmlns:a16="http://schemas.microsoft.com/office/drawing/2014/main" id="{00000000-0008-0000-0100-00003F05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344" name="Line 51">
          <a:extLst>
            <a:ext uri="{FF2B5EF4-FFF2-40B4-BE49-F238E27FC236}">
              <a16:creationId xmlns:a16="http://schemas.microsoft.com/office/drawing/2014/main" id="{00000000-0008-0000-0100-00004005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345" name="Line 52">
          <a:extLst>
            <a:ext uri="{FF2B5EF4-FFF2-40B4-BE49-F238E27FC236}">
              <a16:creationId xmlns:a16="http://schemas.microsoft.com/office/drawing/2014/main" id="{00000000-0008-0000-0100-00004105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346" name="Line 53">
          <a:extLst>
            <a:ext uri="{FF2B5EF4-FFF2-40B4-BE49-F238E27FC236}">
              <a16:creationId xmlns:a16="http://schemas.microsoft.com/office/drawing/2014/main" id="{00000000-0008-0000-0100-00004205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347" name="Line 54">
          <a:extLst>
            <a:ext uri="{FF2B5EF4-FFF2-40B4-BE49-F238E27FC236}">
              <a16:creationId xmlns:a16="http://schemas.microsoft.com/office/drawing/2014/main" id="{00000000-0008-0000-0100-00004305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348" name="Line 55">
          <a:extLst>
            <a:ext uri="{FF2B5EF4-FFF2-40B4-BE49-F238E27FC236}">
              <a16:creationId xmlns:a16="http://schemas.microsoft.com/office/drawing/2014/main" id="{00000000-0008-0000-0100-000044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349" name="Line 56">
          <a:extLst>
            <a:ext uri="{FF2B5EF4-FFF2-40B4-BE49-F238E27FC236}">
              <a16:creationId xmlns:a16="http://schemas.microsoft.com/office/drawing/2014/main" id="{00000000-0008-0000-0100-000045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350" name="Rectangle 57">
          <a:extLst>
            <a:ext uri="{FF2B5EF4-FFF2-40B4-BE49-F238E27FC236}">
              <a16:creationId xmlns:a16="http://schemas.microsoft.com/office/drawing/2014/main" id="{00000000-0008-0000-0100-000046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351" name="Line 58">
          <a:extLst>
            <a:ext uri="{FF2B5EF4-FFF2-40B4-BE49-F238E27FC236}">
              <a16:creationId xmlns:a16="http://schemas.microsoft.com/office/drawing/2014/main" id="{00000000-0008-0000-0100-000047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352" name="Line 59">
          <a:extLst>
            <a:ext uri="{FF2B5EF4-FFF2-40B4-BE49-F238E27FC236}">
              <a16:creationId xmlns:a16="http://schemas.microsoft.com/office/drawing/2014/main" id="{00000000-0008-0000-0100-000048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353" name="Line 60">
          <a:extLst>
            <a:ext uri="{FF2B5EF4-FFF2-40B4-BE49-F238E27FC236}">
              <a16:creationId xmlns:a16="http://schemas.microsoft.com/office/drawing/2014/main" id="{00000000-0008-0000-0100-000049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354" name="Line 61">
          <a:extLst>
            <a:ext uri="{FF2B5EF4-FFF2-40B4-BE49-F238E27FC236}">
              <a16:creationId xmlns:a16="http://schemas.microsoft.com/office/drawing/2014/main" id="{00000000-0008-0000-0100-00004A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355" name="Line 62">
          <a:extLst>
            <a:ext uri="{FF2B5EF4-FFF2-40B4-BE49-F238E27FC236}">
              <a16:creationId xmlns:a16="http://schemas.microsoft.com/office/drawing/2014/main" id="{00000000-0008-0000-0100-00004B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356" name="Line 63">
          <a:extLst>
            <a:ext uri="{FF2B5EF4-FFF2-40B4-BE49-F238E27FC236}">
              <a16:creationId xmlns:a16="http://schemas.microsoft.com/office/drawing/2014/main" id="{00000000-0008-0000-0100-00004C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357" name="Line 64">
          <a:extLst>
            <a:ext uri="{FF2B5EF4-FFF2-40B4-BE49-F238E27FC236}">
              <a16:creationId xmlns:a16="http://schemas.microsoft.com/office/drawing/2014/main" id="{00000000-0008-0000-0100-00004D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358" name="Line 65">
          <a:extLst>
            <a:ext uri="{FF2B5EF4-FFF2-40B4-BE49-F238E27FC236}">
              <a16:creationId xmlns:a16="http://schemas.microsoft.com/office/drawing/2014/main" id="{00000000-0008-0000-0100-00004E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359" name="Line 66">
          <a:extLst>
            <a:ext uri="{FF2B5EF4-FFF2-40B4-BE49-F238E27FC236}">
              <a16:creationId xmlns:a16="http://schemas.microsoft.com/office/drawing/2014/main" id="{00000000-0008-0000-0100-00004F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360" name="Line 67">
          <a:extLst>
            <a:ext uri="{FF2B5EF4-FFF2-40B4-BE49-F238E27FC236}">
              <a16:creationId xmlns:a16="http://schemas.microsoft.com/office/drawing/2014/main" id="{00000000-0008-0000-0100-000050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361" name="Line 68">
          <a:extLst>
            <a:ext uri="{FF2B5EF4-FFF2-40B4-BE49-F238E27FC236}">
              <a16:creationId xmlns:a16="http://schemas.microsoft.com/office/drawing/2014/main" id="{00000000-0008-0000-0100-000051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362" name="Line 1">
          <a:extLst>
            <a:ext uri="{FF2B5EF4-FFF2-40B4-BE49-F238E27FC236}">
              <a16:creationId xmlns:a16="http://schemas.microsoft.com/office/drawing/2014/main" id="{00000000-0008-0000-0100-000052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363" name="Drawing 16">
          <a:extLst>
            <a:ext uri="{FF2B5EF4-FFF2-40B4-BE49-F238E27FC236}">
              <a16:creationId xmlns:a16="http://schemas.microsoft.com/office/drawing/2014/main" id="{00000000-0008-0000-0100-000053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364" name="Line 3">
          <a:extLst>
            <a:ext uri="{FF2B5EF4-FFF2-40B4-BE49-F238E27FC236}">
              <a16:creationId xmlns:a16="http://schemas.microsoft.com/office/drawing/2014/main" id="{00000000-0008-0000-0100-000054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365" name="Line 4">
          <a:extLst>
            <a:ext uri="{FF2B5EF4-FFF2-40B4-BE49-F238E27FC236}">
              <a16:creationId xmlns:a16="http://schemas.microsoft.com/office/drawing/2014/main" id="{00000000-0008-0000-0100-000055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366" name="Line 5">
          <a:extLst>
            <a:ext uri="{FF2B5EF4-FFF2-40B4-BE49-F238E27FC236}">
              <a16:creationId xmlns:a16="http://schemas.microsoft.com/office/drawing/2014/main" id="{00000000-0008-0000-0100-000056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367" name="Line 6">
          <a:extLst>
            <a:ext uri="{FF2B5EF4-FFF2-40B4-BE49-F238E27FC236}">
              <a16:creationId xmlns:a16="http://schemas.microsoft.com/office/drawing/2014/main" id="{00000000-0008-0000-0100-000057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368" name="Line 7">
          <a:extLst>
            <a:ext uri="{FF2B5EF4-FFF2-40B4-BE49-F238E27FC236}">
              <a16:creationId xmlns:a16="http://schemas.microsoft.com/office/drawing/2014/main" id="{00000000-0008-0000-0100-000058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369" name="Line 8">
          <a:extLst>
            <a:ext uri="{FF2B5EF4-FFF2-40B4-BE49-F238E27FC236}">
              <a16:creationId xmlns:a16="http://schemas.microsoft.com/office/drawing/2014/main" id="{00000000-0008-0000-0100-000059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370" name="Line 9">
          <a:extLst>
            <a:ext uri="{FF2B5EF4-FFF2-40B4-BE49-F238E27FC236}">
              <a16:creationId xmlns:a16="http://schemas.microsoft.com/office/drawing/2014/main" id="{00000000-0008-0000-0100-00005A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371" name="Line 10">
          <a:extLst>
            <a:ext uri="{FF2B5EF4-FFF2-40B4-BE49-F238E27FC236}">
              <a16:creationId xmlns:a16="http://schemas.microsoft.com/office/drawing/2014/main" id="{00000000-0008-0000-0100-00005B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372" name="Line 11">
          <a:extLst>
            <a:ext uri="{FF2B5EF4-FFF2-40B4-BE49-F238E27FC236}">
              <a16:creationId xmlns:a16="http://schemas.microsoft.com/office/drawing/2014/main" id="{00000000-0008-0000-0100-00005C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373" name="Line 12">
          <a:extLst>
            <a:ext uri="{FF2B5EF4-FFF2-40B4-BE49-F238E27FC236}">
              <a16:creationId xmlns:a16="http://schemas.microsoft.com/office/drawing/2014/main" id="{00000000-0008-0000-0100-00005D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374" name="Line 13">
          <a:extLst>
            <a:ext uri="{FF2B5EF4-FFF2-40B4-BE49-F238E27FC236}">
              <a16:creationId xmlns:a16="http://schemas.microsoft.com/office/drawing/2014/main" id="{00000000-0008-0000-0100-00005E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75" name="Line 14">
          <a:extLst>
            <a:ext uri="{FF2B5EF4-FFF2-40B4-BE49-F238E27FC236}">
              <a16:creationId xmlns:a16="http://schemas.microsoft.com/office/drawing/2014/main" id="{00000000-0008-0000-0100-00005F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376" name="Line 15">
          <a:extLst>
            <a:ext uri="{FF2B5EF4-FFF2-40B4-BE49-F238E27FC236}">
              <a16:creationId xmlns:a16="http://schemas.microsoft.com/office/drawing/2014/main" id="{00000000-0008-0000-0100-000060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77" name="Line 16">
          <a:extLst>
            <a:ext uri="{FF2B5EF4-FFF2-40B4-BE49-F238E27FC236}">
              <a16:creationId xmlns:a16="http://schemas.microsoft.com/office/drawing/2014/main" id="{00000000-0008-0000-0100-000061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378" name="Line 17">
          <a:extLst>
            <a:ext uri="{FF2B5EF4-FFF2-40B4-BE49-F238E27FC236}">
              <a16:creationId xmlns:a16="http://schemas.microsoft.com/office/drawing/2014/main" id="{00000000-0008-0000-0100-000062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379" name="Line 18">
          <a:extLst>
            <a:ext uri="{FF2B5EF4-FFF2-40B4-BE49-F238E27FC236}">
              <a16:creationId xmlns:a16="http://schemas.microsoft.com/office/drawing/2014/main" id="{00000000-0008-0000-0100-000063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380" name="Line 19">
          <a:extLst>
            <a:ext uri="{FF2B5EF4-FFF2-40B4-BE49-F238E27FC236}">
              <a16:creationId xmlns:a16="http://schemas.microsoft.com/office/drawing/2014/main" id="{00000000-0008-0000-0100-000064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381" name="Line 20">
          <a:extLst>
            <a:ext uri="{FF2B5EF4-FFF2-40B4-BE49-F238E27FC236}">
              <a16:creationId xmlns:a16="http://schemas.microsoft.com/office/drawing/2014/main" id="{00000000-0008-0000-0100-000065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382" name="Line 21">
          <a:extLst>
            <a:ext uri="{FF2B5EF4-FFF2-40B4-BE49-F238E27FC236}">
              <a16:creationId xmlns:a16="http://schemas.microsoft.com/office/drawing/2014/main" id="{00000000-0008-0000-0100-000066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383" name="Line 22">
          <a:extLst>
            <a:ext uri="{FF2B5EF4-FFF2-40B4-BE49-F238E27FC236}">
              <a16:creationId xmlns:a16="http://schemas.microsoft.com/office/drawing/2014/main" id="{00000000-0008-0000-0100-000067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384" name="Line 23">
          <a:extLst>
            <a:ext uri="{FF2B5EF4-FFF2-40B4-BE49-F238E27FC236}">
              <a16:creationId xmlns:a16="http://schemas.microsoft.com/office/drawing/2014/main" id="{00000000-0008-0000-0100-000068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385" name="Line 24">
          <a:extLst>
            <a:ext uri="{FF2B5EF4-FFF2-40B4-BE49-F238E27FC236}">
              <a16:creationId xmlns:a16="http://schemas.microsoft.com/office/drawing/2014/main" id="{00000000-0008-0000-0100-000069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386" name="Line 25">
          <a:extLst>
            <a:ext uri="{FF2B5EF4-FFF2-40B4-BE49-F238E27FC236}">
              <a16:creationId xmlns:a16="http://schemas.microsoft.com/office/drawing/2014/main" id="{00000000-0008-0000-0100-00006A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387" name="Line 26">
          <a:extLst>
            <a:ext uri="{FF2B5EF4-FFF2-40B4-BE49-F238E27FC236}">
              <a16:creationId xmlns:a16="http://schemas.microsoft.com/office/drawing/2014/main" id="{00000000-0008-0000-0100-00006B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388" name="Line 27">
          <a:extLst>
            <a:ext uri="{FF2B5EF4-FFF2-40B4-BE49-F238E27FC236}">
              <a16:creationId xmlns:a16="http://schemas.microsoft.com/office/drawing/2014/main" id="{00000000-0008-0000-0100-00006C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389" name="Line 28">
          <a:extLst>
            <a:ext uri="{FF2B5EF4-FFF2-40B4-BE49-F238E27FC236}">
              <a16:creationId xmlns:a16="http://schemas.microsoft.com/office/drawing/2014/main" id="{00000000-0008-0000-0100-00006D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390" name="Line 29">
          <a:extLst>
            <a:ext uri="{FF2B5EF4-FFF2-40B4-BE49-F238E27FC236}">
              <a16:creationId xmlns:a16="http://schemas.microsoft.com/office/drawing/2014/main" id="{00000000-0008-0000-0100-00006E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391" name="Line 30">
          <a:extLst>
            <a:ext uri="{FF2B5EF4-FFF2-40B4-BE49-F238E27FC236}">
              <a16:creationId xmlns:a16="http://schemas.microsoft.com/office/drawing/2014/main" id="{00000000-0008-0000-0100-00006F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392" name="Line 31">
          <a:extLst>
            <a:ext uri="{FF2B5EF4-FFF2-40B4-BE49-F238E27FC236}">
              <a16:creationId xmlns:a16="http://schemas.microsoft.com/office/drawing/2014/main" id="{00000000-0008-0000-0100-000070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393" name="Line 32">
          <a:extLst>
            <a:ext uri="{FF2B5EF4-FFF2-40B4-BE49-F238E27FC236}">
              <a16:creationId xmlns:a16="http://schemas.microsoft.com/office/drawing/2014/main" id="{00000000-0008-0000-0100-000071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394" name="Line 33">
          <a:extLst>
            <a:ext uri="{FF2B5EF4-FFF2-40B4-BE49-F238E27FC236}">
              <a16:creationId xmlns:a16="http://schemas.microsoft.com/office/drawing/2014/main" id="{00000000-0008-0000-0100-000072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395" name="Line 34">
          <a:extLst>
            <a:ext uri="{FF2B5EF4-FFF2-40B4-BE49-F238E27FC236}">
              <a16:creationId xmlns:a16="http://schemas.microsoft.com/office/drawing/2014/main" id="{00000000-0008-0000-0100-000073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396" name="Line 35">
          <a:extLst>
            <a:ext uri="{FF2B5EF4-FFF2-40B4-BE49-F238E27FC236}">
              <a16:creationId xmlns:a16="http://schemas.microsoft.com/office/drawing/2014/main" id="{00000000-0008-0000-0100-000074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397" name="Line 36">
          <a:extLst>
            <a:ext uri="{FF2B5EF4-FFF2-40B4-BE49-F238E27FC236}">
              <a16:creationId xmlns:a16="http://schemas.microsoft.com/office/drawing/2014/main" id="{00000000-0008-0000-0100-000075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398" name="Line 37">
          <a:extLst>
            <a:ext uri="{FF2B5EF4-FFF2-40B4-BE49-F238E27FC236}">
              <a16:creationId xmlns:a16="http://schemas.microsoft.com/office/drawing/2014/main" id="{00000000-0008-0000-0100-000076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399" name="Line 38">
          <a:extLst>
            <a:ext uri="{FF2B5EF4-FFF2-40B4-BE49-F238E27FC236}">
              <a16:creationId xmlns:a16="http://schemas.microsoft.com/office/drawing/2014/main" id="{00000000-0008-0000-0100-000077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400" name="Line 39">
          <a:extLst>
            <a:ext uri="{FF2B5EF4-FFF2-40B4-BE49-F238E27FC236}">
              <a16:creationId xmlns:a16="http://schemas.microsoft.com/office/drawing/2014/main" id="{00000000-0008-0000-0100-00007805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401" name="Line 40">
          <a:extLst>
            <a:ext uri="{FF2B5EF4-FFF2-40B4-BE49-F238E27FC236}">
              <a16:creationId xmlns:a16="http://schemas.microsoft.com/office/drawing/2014/main" id="{00000000-0008-0000-0100-00007905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402" name="Line 41">
          <a:extLst>
            <a:ext uri="{FF2B5EF4-FFF2-40B4-BE49-F238E27FC236}">
              <a16:creationId xmlns:a16="http://schemas.microsoft.com/office/drawing/2014/main" id="{00000000-0008-0000-0100-00007A05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403" name="Rectangle 42">
          <a:extLst>
            <a:ext uri="{FF2B5EF4-FFF2-40B4-BE49-F238E27FC236}">
              <a16:creationId xmlns:a16="http://schemas.microsoft.com/office/drawing/2014/main" id="{00000000-0008-0000-0100-00007B05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04" name="Line 43">
          <a:extLst>
            <a:ext uri="{FF2B5EF4-FFF2-40B4-BE49-F238E27FC236}">
              <a16:creationId xmlns:a16="http://schemas.microsoft.com/office/drawing/2014/main" id="{00000000-0008-0000-0100-00007C05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05" name="Line 44">
          <a:extLst>
            <a:ext uri="{FF2B5EF4-FFF2-40B4-BE49-F238E27FC236}">
              <a16:creationId xmlns:a16="http://schemas.microsoft.com/office/drawing/2014/main" id="{00000000-0008-0000-0100-00007D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406" name="Line 45">
          <a:extLst>
            <a:ext uri="{FF2B5EF4-FFF2-40B4-BE49-F238E27FC236}">
              <a16:creationId xmlns:a16="http://schemas.microsoft.com/office/drawing/2014/main" id="{00000000-0008-0000-0100-00007E05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407" name="Line 46">
          <a:extLst>
            <a:ext uri="{FF2B5EF4-FFF2-40B4-BE49-F238E27FC236}">
              <a16:creationId xmlns:a16="http://schemas.microsoft.com/office/drawing/2014/main" id="{00000000-0008-0000-0100-00007F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408" name="Line 47">
          <a:extLst>
            <a:ext uri="{FF2B5EF4-FFF2-40B4-BE49-F238E27FC236}">
              <a16:creationId xmlns:a16="http://schemas.microsoft.com/office/drawing/2014/main" id="{00000000-0008-0000-0100-00008005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409" name="Line 48">
          <a:extLst>
            <a:ext uri="{FF2B5EF4-FFF2-40B4-BE49-F238E27FC236}">
              <a16:creationId xmlns:a16="http://schemas.microsoft.com/office/drawing/2014/main" id="{00000000-0008-0000-0100-00008105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410" name="Line 49">
          <a:extLst>
            <a:ext uri="{FF2B5EF4-FFF2-40B4-BE49-F238E27FC236}">
              <a16:creationId xmlns:a16="http://schemas.microsoft.com/office/drawing/2014/main" id="{00000000-0008-0000-0100-00008205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411" name="Line 50">
          <a:extLst>
            <a:ext uri="{FF2B5EF4-FFF2-40B4-BE49-F238E27FC236}">
              <a16:creationId xmlns:a16="http://schemas.microsoft.com/office/drawing/2014/main" id="{00000000-0008-0000-0100-00008305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412" name="Line 51">
          <a:extLst>
            <a:ext uri="{FF2B5EF4-FFF2-40B4-BE49-F238E27FC236}">
              <a16:creationId xmlns:a16="http://schemas.microsoft.com/office/drawing/2014/main" id="{00000000-0008-0000-0100-00008405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413" name="Line 52">
          <a:extLst>
            <a:ext uri="{FF2B5EF4-FFF2-40B4-BE49-F238E27FC236}">
              <a16:creationId xmlns:a16="http://schemas.microsoft.com/office/drawing/2014/main" id="{00000000-0008-0000-0100-00008505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414" name="Line 53">
          <a:extLst>
            <a:ext uri="{FF2B5EF4-FFF2-40B4-BE49-F238E27FC236}">
              <a16:creationId xmlns:a16="http://schemas.microsoft.com/office/drawing/2014/main" id="{00000000-0008-0000-0100-00008605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415" name="Line 54">
          <a:extLst>
            <a:ext uri="{FF2B5EF4-FFF2-40B4-BE49-F238E27FC236}">
              <a16:creationId xmlns:a16="http://schemas.microsoft.com/office/drawing/2014/main" id="{00000000-0008-0000-0100-00008705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416" name="Line 55">
          <a:extLst>
            <a:ext uri="{FF2B5EF4-FFF2-40B4-BE49-F238E27FC236}">
              <a16:creationId xmlns:a16="http://schemas.microsoft.com/office/drawing/2014/main" id="{00000000-0008-0000-0100-000088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417" name="Line 56">
          <a:extLst>
            <a:ext uri="{FF2B5EF4-FFF2-40B4-BE49-F238E27FC236}">
              <a16:creationId xmlns:a16="http://schemas.microsoft.com/office/drawing/2014/main" id="{00000000-0008-0000-0100-000089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418" name="Rectangle 57">
          <a:extLst>
            <a:ext uri="{FF2B5EF4-FFF2-40B4-BE49-F238E27FC236}">
              <a16:creationId xmlns:a16="http://schemas.microsoft.com/office/drawing/2014/main" id="{00000000-0008-0000-0100-00008A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419" name="Line 58">
          <a:extLst>
            <a:ext uri="{FF2B5EF4-FFF2-40B4-BE49-F238E27FC236}">
              <a16:creationId xmlns:a16="http://schemas.microsoft.com/office/drawing/2014/main" id="{00000000-0008-0000-0100-00008B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420" name="Line 59">
          <a:extLst>
            <a:ext uri="{FF2B5EF4-FFF2-40B4-BE49-F238E27FC236}">
              <a16:creationId xmlns:a16="http://schemas.microsoft.com/office/drawing/2014/main" id="{00000000-0008-0000-0100-00008C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421" name="Line 60">
          <a:extLst>
            <a:ext uri="{FF2B5EF4-FFF2-40B4-BE49-F238E27FC236}">
              <a16:creationId xmlns:a16="http://schemas.microsoft.com/office/drawing/2014/main" id="{00000000-0008-0000-0100-00008D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422" name="Line 61">
          <a:extLst>
            <a:ext uri="{FF2B5EF4-FFF2-40B4-BE49-F238E27FC236}">
              <a16:creationId xmlns:a16="http://schemas.microsoft.com/office/drawing/2014/main" id="{00000000-0008-0000-0100-00008E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423" name="Line 62">
          <a:extLst>
            <a:ext uri="{FF2B5EF4-FFF2-40B4-BE49-F238E27FC236}">
              <a16:creationId xmlns:a16="http://schemas.microsoft.com/office/drawing/2014/main" id="{00000000-0008-0000-0100-00008F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424" name="Line 63">
          <a:extLst>
            <a:ext uri="{FF2B5EF4-FFF2-40B4-BE49-F238E27FC236}">
              <a16:creationId xmlns:a16="http://schemas.microsoft.com/office/drawing/2014/main" id="{00000000-0008-0000-0100-000090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425" name="Line 64">
          <a:extLst>
            <a:ext uri="{FF2B5EF4-FFF2-40B4-BE49-F238E27FC236}">
              <a16:creationId xmlns:a16="http://schemas.microsoft.com/office/drawing/2014/main" id="{00000000-0008-0000-0100-000091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426" name="Line 65">
          <a:extLst>
            <a:ext uri="{FF2B5EF4-FFF2-40B4-BE49-F238E27FC236}">
              <a16:creationId xmlns:a16="http://schemas.microsoft.com/office/drawing/2014/main" id="{00000000-0008-0000-0100-000092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427" name="Line 66">
          <a:extLst>
            <a:ext uri="{FF2B5EF4-FFF2-40B4-BE49-F238E27FC236}">
              <a16:creationId xmlns:a16="http://schemas.microsoft.com/office/drawing/2014/main" id="{00000000-0008-0000-0100-000093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428" name="Line 67">
          <a:extLst>
            <a:ext uri="{FF2B5EF4-FFF2-40B4-BE49-F238E27FC236}">
              <a16:creationId xmlns:a16="http://schemas.microsoft.com/office/drawing/2014/main" id="{00000000-0008-0000-0100-000094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429" name="Line 68">
          <a:extLst>
            <a:ext uri="{FF2B5EF4-FFF2-40B4-BE49-F238E27FC236}">
              <a16:creationId xmlns:a16="http://schemas.microsoft.com/office/drawing/2014/main" id="{00000000-0008-0000-0100-000095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430" name="Line 1">
          <a:extLst>
            <a:ext uri="{FF2B5EF4-FFF2-40B4-BE49-F238E27FC236}">
              <a16:creationId xmlns:a16="http://schemas.microsoft.com/office/drawing/2014/main" id="{00000000-0008-0000-0100-000096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431" name="Drawing 16">
          <a:extLst>
            <a:ext uri="{FF2B5EF4-FFF2-40B4-BE49-F238E27FC236}">
              <a16:creationId xmlns:a16="http://schemas.microsoft.com/office/drawing/2014/main" id="{00000000-0008-0000-0100-000097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432" name="Line 3">
          <a:extLst>
            <a:ext uri="{FF2B5EF4-FFF2-40B4-BE49-F238E27FC236}">
              <a16:creationId xmlns:a16="http://schemas.microsoft.com/office/drawing/2014/main" id="{00000000-0008-0000-0100-000098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433" name="Line 4">
          <a:extLst>
            <a:ext uri="{FF2B5EF4-FFF2-40B4-BE49-F238E27FC236}">
              <a16:creationId xmlns:a16="http://schemas.microsoft.com/office/drawing/2014/main" id="{00000000-0008-0000-0100-000099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434" name="Line 5">
          <a:extLst>
            <a:ext uri="{FF2B5EF4-FFF2-40B4-BE49-F238E27FC236}">
              <a16:creationId xmlns:a16="http://schemas.microsoft.com/office/drawing/2014/main" id="{00000000-0008-0000-0100-00009A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435" name="Line 6">
          <a:extLst>
            <a:ext uri="{FF2B5EF4-FFF2-40B4-BE49-F238E27FC236}">
              <a16:creationId xmlns:a16="http://schemas.microsoft.com/office/drawing/2014/main" id="{00000000-0008-0000-0100-00009B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436" name="Line 7">
          <a:extLst>
            <a:ext uri="{FF2B5EF4-FFF2-40B4-BE49-F238E27FC236}">
              <a16:creationId xmlns:a16="http://schemas.microsoft.com/office/drawing/2014/main" id="{00000000-0008-0000-0100-00009C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437" name="Line 8">
          <a:extLst>
            <a:ext uri="{FF2B5EF4-FFF2-40B4-BE49-F238E27FC236}">
              <a16:creationId xmlns:a16="http://schemas.microsoft.com/office/drawing/2014/main" id="{00000000-0008-0000-0100-00009D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438" name="Line 9">
          <a:extLst>
            <a:ext uri="{FF2B5EF4-FFF2-40B4-BE49-F238E27FC236}">
              <a16:creationId xmlns:a16="http://schemas.microsoft.com/office/drawing/2014/main" id="{00000000-0008-0000-0100-00009E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439" name="Line 10">
          <a:extLst>
            <a:ext uri="{FF2B5EF4-FFF2-40B4-BE49-F238E27FC236}">
              <a16:creationId xmlns:a16="http://schemas.microsoft.com/office/drawing/2014/main" id="{00000000-0008-0000-0100-00009F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440" name="Line 11">
          <a:extLst>
            <a:ext uri="{FF2B5EF4-FFF2-40B4-BE49-F238E27FC236}">
              <a16:creationId xmlns:a16="http://schemas.microsoft.com/office/drawing/2014/main" id="{00000000-0008-0000-0100-0000A0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441" name="Line 12">
          <a:extLst>
            <a:ext uri="{FF2B5EF4-FFF2-40B4-BE49-F238E27FC236}">
              <a16:creationId xmlns:a16="http://schemas.microsoft.com/office/drawing/2014/main" id="{00000000-0008-0000-0100-0000A1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442" name="Line 13">
          <a:extLst>
            <a:ext uri="{FF2B5EF4-FFF2-40B4-BE49-F238E27FC236}">
              <a16:creationId xmlns:a16="http://schemas.microsoft.com/office/drawing/2014/main" id="{00000000-0008-0000-0100-0000A2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443" name="Line 14">
          <a:extLst>
            <a:ext uri="{FF2B5EF4-FFF2-40B4-BE49-F238E27FC236}">
              <a16:creationId xmlns:a16="http://schemas.microsoft.com/office/drawing/2014/main" id="{00000000-0008-0000-0100-0000A3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444" name="Line 15">
          <a:extLst>
            <a:ext uri="{FF2B5EF4-FFF2-40B4-BE49-F238E27FC236}">
              <a16:creationId xmlns:a16="http://schemas.microsoft.com/office/drawing/2014/main" id="{00000000-0008-0000-0100-0000A4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445" name="Line 16">
          <a:extLst>
            <a:ext uri="{FF2B5EF4-FFF2-40B4-BE49-F238E27FC236}">
              <a16:creationId xmlns:a16="http://schemas.microsoft.com/office/drawing/2014/main" id="{00000000-0008-0000-0100-0000A5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446" name="Line 17">
          <a:extLst>
            <a:ext uri="{FF2B5EF4-FFF2-40B4-BE49-F238E27FC236}">
              <a16:creationId xmlns:a16="http://schemas.microsoft.com/office/drawing/2014/main" id="{00000000-0008-0000-0100-0000A6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447" name="Line 18">
          <a:extLst>
            <a:ext uri="{FF2B5EF4-FFF2-40B4-BE49-F238E27FC236}">
              <a16:creationId xmlns:a16="http://schemas.microsoft.com/office/drawing/2014/main" id="{00000000-0008-0000-0100-0000A7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448" name="Line 19">
          <a:extLst>
            <a:ext uri="{FF2B5EF4-FFF2-40B4-BE49-F238E27FC236}">
              <a16:creationId xmlns:a16="http://schemas.microsoft.com/office/drawing/2014/main" id="{00000000-0008-0000-0100-0000A8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449" name="Line 20">
          <a:extLst>
            <a:ext uri="{FF2B5EF4-FFF2-40B4-BE49-F238E27FC236}">
              <a16:creationId xmlns:a16="http://schemas.microsoft.com/office/drawing/2014/main" id="{00000000-0008-0000-0100-0000A9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450" name="Line 21">
          <a:extLst>
            <a:ext uri="{FF2B5EF4-FFF2-40B4-BE49-F238E27FC236}">
              <a16:creationId xmlns:a16="http://schemas.microsoft.com/office/drawing/2014/main" id="{00000000-0008-0000-0100-0000AA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451" name="Line 22">
          <a:extLst>
            <a:ext uri="{FF2B5EF4-FFF2-40B4-BE49-F238E27FC236}">
              <a16:creationId xmlns:a16="http://schemas.microsoft.com/office/drawing/2014/main" id="{00000000-0008-0000-0100-0000AB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452" name="Line 23">
          <a:extLst>
            <a:ext uri="{FF2B5EF4-FFF2-40B4-BE49-F238E27FC236}">
              <a16:creationId xmlns:a16="http://schemas.microsoft.com/office/drawing/2014/main" id="{00000000-0008-0000-0100-0000AC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453" name="Line 24">
          <a:extLst>
            <a:ext uri="{FF2B5EF4-FFF2-40B4-BE49-F238E27FC236}">
              <a16:creationId xmlns:a16="http://schemas.microsoft.com/office/drawing/2014/main" id="{00000000-0008-0000-0100-0000AD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454" name="Line 25">
          <a:extLst>
            <a:ext uri="{FF2B5EF4-FFF2-40B4-BE49-F238E27FC236}">
              <a16:creationId xmlns:a16="http://schemas.microsoft.com/office/drawing/2014/main" id="{00000000-0008-0000-0100-0000AE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455" name="Line 26">
          <a:extLst>
            <a:ext uri="{FF2B5EF4-FFF2-40B4-BE49-F238E27FC236}">
              <a16:creationId xmlns:a16="http://schemas.microsoft.com/office/drawing/2014/main" id="{00000000-0008-0000-0100-0000AF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456" name="Line 27">
          <a:extLst>
            <a:ext uri="{FF2B5EF4-FFF2-40B4-BE49-F238E27FC236}">
              <a16:creationId xmlns:a16="http://schemas.microsoft.com/office/drawing/2014/main" id="{00000000-0008-0000-0100-0000B0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457" name="Line 28">
          <a:extLst>
            <a:ext uri="{FF2B5EF4-FFF2-40B4-BE49-F238E27FC236}">
              <a16:creationId xmlns:a16="http://schemas.microsoft.com/office/drawing/2014/main" id="{00000000-0008-0000-0100-0000B1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458" name="Line 29">
          <a:extLst>
            <a:ext uri="{FF2B5EF4-FFF2-40B4-BE49-F238E27FC236}">
              <a16:creationId xmlns:a16="http://schemas.microsoft.com/office/drawing/2014/main" id="{00000000-0008-0000-0100-0000B2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459" name="Line 30">
          <a:extLst>
            <a:ext uri="{FF2B5EF4-FFF2-40B4-BE49-F238E27FC236}">
              <a16:creationId xmlns:a16="http://schemas.microsoft.com/office/drawing/2014/main" id="{00000000-0008-0000-0100-0000B3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460" name="Line 31">
          <a:extLst>
            <a:ext uri="{FF2B5EF4-FFF2-40B4-BE49-F238E27FC236}">
              <a16:creationId xmlns:a16="http://schemas.microsoft.com/office/drawing/2014/main" id="{00000000-0008-0000-0100-0000B4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461" name="Line 32">
          <a:extLst>
            <a:ext uri="{FF2B5EF4-FFF2-40B4-BE49-F238E27FC236}">
              <a16:creationId xmlns:a16="http://schemas.microsoft.com/office/drawing/2014/main" id="{00000000-0008-0000-0100-0000B5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462" name="Line 33">
          <a:extLst>
            <a:ext uri="{FF2B5EF4-FFF2-40B4-BE49-F238E27FC236}">
              <a16:creationId xmlns:a16="http://schemas.microsoft.com/office/drawing/2014/main" id="{00000000-0008-0000-0100-0000B6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463" name="Line 34">
          <a:extLst>
            <a:ext uri="{FF2B5EF4-FFF2-40B4-BE49-F238E27FC236}">
              <a16:creationId xmlns:a16="http://schemas.microsoft.com/office/drawing/2014/main" id="{00000000-0008-0000-0100-0000B7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464" name="Line 35">
          <a:extLst>
            <a:ext uri="{FF2B5EF4-FFF2-40B4-BE49-F238E27FC236}">
              <a16:creationId xmlns:a16="http://schemas.microsoft.com/office/drawing/2014/main" id="{00000000-0008-0000-0100-0000B8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465" name="Line 36">
          <a:extLst>
            <a:ext uri="{FF2B5EF4-FFF2-40B4-BE49-F238E27FC236}">
              <a16:creationId xmlns:a16="http://schemas.microsoft.com/office/drawing/2014/main" id="{00000000-0008-0000-0100-0000B9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466" name="Line 37">
          <a:extLst>
            <a:ext uri="{FF2B5EF4-FFF2-40B4-BE49-F238E27FC236}">
              <a16:creationId xmlns:a16="http://schemas.microsoft.com/office/drawing/2014/main" id="{00000000-0008-0000-0100-0000BA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467" name="Line 38">
          <a:extLst>
            <a:ext uri="{FF2B5EF4-FFF2-40B4-BE49-F238E27FC236}">
              <a16:creationId xmlns:a16="http://schemas.microsoft.com/office/drawing/2014/main" id="{00000000-0008-0000-0100-0000BB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468" name="Line 39">
          <a:extLst>
            <a:ext uri="{FF2B5EF4-FFF2-40B4-BE49-F238E27FC236}">
              <a16:creationId xmlns:a16="http://schemas.microsoft.com/office/drawing/2014/main" id="{00000000-0008-0000-0100-0000BC05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469" name="Line 40">
          <a:extLst>
            <a:ext uri="{FF2B5EF4-FFF2-40B4-BE49-F238E27FC236}">
              <a16:creationId xmlns:a16="http://schemas.microsoft.com/office/drawing/2014/main" id="{00000000-0008-0000-0100-0000BD05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470" name="Line 41">
          <a:extLst>
            <a:ext uri="{FF2B5EF4-FFF2-40B4-BE49-F238E27FC236}">
              <a16:creationId xmlns:a16="http://schemas.microsoft.com/office/drawing/2014/main" id="{00000000-0008-0000-0100-0000BE05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471" name="Rectangle 42">
          <a:extLst>
            <a:ext uri="{FF2B5EF4-FFF2-40B4-BE49-F238E27FC236}">
              <a16:creationId xmlns:a16="http://schemas.microsoft.com/office/drawing/2014/main" id="{00000000-0008-0000-0100-0000BF05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72" name="Line 43">
          <a:extLst>
            <a:ext uri="{FF2B5EF4-FFF2-40B4-BE49-F238E27FC236}">
              <a16:creationId xmlns:a16="http://schemas.microsoft.com/office/drawing/2014/main" id="{00000000-0008-0000-0100-0000C005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73" name="Line 44">
          <a:extLst>
            <a:ext uri="{FF2B5EF4-FFF2-40B4-BE49-F238E27FC236}">
              <a16:creationId xmlns:a16="http://schemas.microsoft.com/office/drawing/2014/main" id="{00000000-0008-0000-0100-0000C1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474" name="Line 45">
          <a:extLst>
            <a:ext uri="{FF2B5EF4-FFF2-40B4-BE49-F238E27FC236}">
              <a16:creationId xmlns:a16="http://schemas.microsoft.com/office/drawing/2014/main" id="{00000000-0008-0000-0100-0000C205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475" name="Line 46">
          <a:extLst>
            <a:ext uri="{FF2B5EF4-FFF2-40B4-BE49-F238E27FC236}">
              <a16:creationId xmlns:a16="http://schemas.microsoft.com/office/drawing/2014/main" id="{00000000-0008-0000-0100-0000C3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476" name="Line 47">
          <a:extLst>
            <a:ext uri="{FF2B5EF4-FFF2-40B4-BE49-F238E27FC236}">
              <a16:creationId xmlns:a16="http://schemas.microsoft.com/office/drawing/2014/main" id="{00000000-0008-0000-0100-0000C405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477" name="Line 48">
          <a:extLst>
            <a:ext uri="{FF2B5EF4-FFF2-40B4-BE49-F238E27FC236}">
              <a16:creationId xmlns:a16="http://schemas.microsoft.com/office/drawing/2014/main" id="{00000000-0008-0000-0100-0000C505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478" name="Line 49">
          <a:extLst>
            <a:ext uri="{FF2B5EF4-FFF2-40B4-BE49-F238E27FC236}">
              <a16:creationId xmlns:a16="http://schemas.microsoft.com/office/drawing/2014/main" id="{00000000-0008-0000-0100-0000C605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479" name="Line 50">
          <a:extLst>
            <a:ext uri="{FF2B5EF4-FFF2-40B4-BE49-F238E27FC236}">
              <a16:creationId xmlns:a16="http://schemas.microsoft.com/office/drawing/2014/main" id="{00000000-0008-0000-0100-0000C705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480" name="Line 51">
          <a:extLst>
            <a:ext uri="{FF2B5EF4-FFF2-40B4-BE49-F238E27FC236}">
              <a16:creationId xmlns:a16="http://schemas.microsoft.com/office/drawing/2014/main" id="{00000000-0008-0000-0100-0000C805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481" name="Line 52">
          <a:extLst>
            <a:ext uri="{FF2B5EF4-FFF2-40B4-BE49-F238E27FC236}">
              <a16:creationId xmlns:a16="http://schemas.microsoft.com/office/drawing/2014/main" id="{00000000-0008-0000-0100-0000C905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482" name="Line 53">
          <a:extLst>
            <a:ext uri="{FF2B5EF4-FFF2-40B4-BE49-F238E27FC236}">
              <a16:creationId xmlns:a16="http://schemas.microsoft.com/office/drawing/2014/main" id="{00000000-0008-0000-0100-0000CA05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483" name="Line 54">
          <a:extLst>
            <a:ext uri="{FF2B5EF4-FFF2-40B4-BE49-F238E27FC236}">
              <a16:creationId xmlns:a16="http://schemas.microsoft.com/office/drawing/2014/main" id="{00000000-0008-0000-0100-0000CB05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484" name="Line 55">
          <a:extLst>
            <a:ext uri="{FF2B5EF4-FFF2-40B4-BE49-F238E27FC236}">
              <a16:creationId xmlns:a16="http://schemas.microsoft.com/office/drawing/2014/main" id="{00000000-0008-0000-0100-0000CC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485" name="Line 56">
          <a:extLst>
            <a:ext uri="{FF2B5EF4-FFF2-40B4-BE49-F238E27FC236}">
              <a16:creationId xmlns:a16="http://schemas.microsoft.com/office/drawing/2014/main" id="{00000000-0008-0000-0100-0000CD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486" name="Rectangle 57">
          <a:extLst>
            <a:ext uri="{FF2B5EF4-FFF2-40B4-BE49-F238E27FC236}">
              <a16:creationId xmlns:a16="http://schemas.microsoft.com/office/drawing/2014/main" id="{00000000-0008-0000-0100-0000CE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487" name="Line 58">
          <a:extLst>
            <a:ext uri="{FF2B5EF4-FFF2-40B4-BE49-F238E27FC236}">
              <a16:creationId xmlns:a16="http://schemas.microsoft.com/office/drawing/2014/main" id="{00000000-0008-0000-0100-0000CF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488" name="Line 59">
          <a:extLst>
            <a:ext uri="{FF2B5EF4-FFF2-40B4-BE49-F238E27FC236}">
              <a16:creationId xmlns:a16="http://schemas.microsoft.com/office/drawing/2014/main" id="{00000000-0008-0000-0100-0000D0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489" name="Line 60">
          <a:extLst>
            <a:ext uri="{FF2B5EF4-FFF2-40B4-BE49-F238E27FC236}">
              <a16:creationId xmlns:a16="http://schemas.microsoft.com/office/drawing/2014/main" id="{00000000-0008-0000-0100-0000D1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490" name="Line 61">
          <a:extLst>
            <a:ext uri="{FF2B5EF4-FFF2-40B4-BE49-F238E27FC236}">
              <a16:creationId xmlns:a16="http://schemas.microsoft.com/office/drawing/2014/main" id="{00000000-0008-0000-0100-0000D2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491" name="Line 62">
          <a:extLst>
            <a:ext uri="{FF2B5EF4-FFF2-40B4-BE49-F238E27FC236}">
              <a16:creationId xmlns:a16="http://schemas.microsoft.com/office/drawing/2014/main" id="{00000000-0008-0000-0100-0000D3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492" name="Line 63">
          <a:extLst>
            <a:ext uri="{FF2B5EF4-FFF2-40B4-BE49-F238E27FC236}">
              <a16:creationId xmlns:a16="http://schemas.microsoft.com/office/drawing/2014/main" id="{00000000-0008-0000-0100-0000D4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493" name="Line 64">
          <a:extLst>
            <a:ext uri="{FF2B5EF4-FFF2-40B4-BE49-F238E27FC236}">
              <a16:creationId xmlns:a16="http://schemas.microsoft.com/office/drawing/2014/main" id="{00000000-0008-0000-0100-0000D5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494" name="Line 65">
          <a:extLst>
            <a:ext uri="{FF2B5EF4-FFF2-40B4-BE49-F238E27FC236}">
              <a16:creationId xmlns:a16="http://schemas.microsoft.com/office/drawing/2014/main" id="{00000000-0008-0000-0100-0000D6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495" name="Line 66">
          <a:extLst>
            <a:ext uri="{FF2B5EF4-FFF2-40B4-BE49-F238E27FC236}">
              <a16:creationId xmlns:a16="http://schemas.microsoft.com/office/drawing/2014/main" id="{00000000-0008-0000-0100-0000D7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496" name="Line 67">
          <a:extLst>
            <a:ext uri="{FF2B5EF4-FFF2-40B4-BE49-F238E27FC236}">
              <a16:creationId xmlns:a16="http://schemas.microsoft.com/office/drawing/2014/main" id="{00000000-0008-0000-0100-0000D8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497" name="Line 68">
          <a:extLst>
            <a:ext uri="{FF2B5EF4-FFF2-40B4-BE49-F238E27FC236}">
              <a16:creationId xmlns:a16="http://schemas.microsoft.com/office/drawing/2014/main" id="{00000000-0008-0000-0100-0000D9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498" name="Line 1">
          <a:extLst>
            <a:ext uri="{FF2B5EF4-FFF2-40B4-BE49-F238E27FC236}">
              <a16:creationId xmlns:a16="http://schemas.microsoft.com/office/drawing/2014/main" id="{00000000-0008-0000-0100-0000DA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499" name="Drawing 16">
          <a:extLst>
            <a:ext uri="{FF2B5EF4-FFF2-40B4-BE49-F238E27FC236}">
              <a16:creationId xmlns:a16="http://schemas.microsoft.com/office/drawing/2014/main" id="{00000000-0008-0000-0100-0000DB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500" name="Line 3">
          <a:extLst>
            <a:ext uri="{FF2B5EF4-FFF2-40B4-BE49-F238E27FC236}">
              <a16:creationId xmlns:a16="http://schemas.microsoft.com/office/drawing/2014/main" id="{00000000-0008-0000-0100-0000DC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501" name="Line 4">
          <a:extLst>
            <a:ext uri="{FF2B5EF4-FFF2-40B4-BE49-F238E27FC236}">
              <a16:creationId xmlns:a16="http://schemas.microsoft.com/office/drawing/2014/main" id="{00000000-0008-0000-0100-0000DD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502" name="Line 5">
          <a:extLst>
            <a:ext uri="{FF2B5EF4-FFF2-40B4-BE49-F238E27FC236}">
              <a16:creationId xmlns:a16="http://schemas.microsoft.com/office/drawing/2014/main" id="{00000000-0008-0000-0100-0000DE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503" name="Line 6">
          <a:extLst>
            <a:ext uri="{FF2B5EF4-FFF2-40B4-BE49-F238E27FC236}">
              <a16:creationId xmlns:a16="http://schemas.microsoft.com/office/drawing/2014/main" id="{00000000-0008-0000-0100-0000DF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504" name="Line 7">
          <a:extLst>
            <a:ext uri="{FF2B5EF4-FFF2-40B4-BE49-F238E27FC236}">
              <a16:creationId xmlns:a16="http://schemas.microsoft.com/office/drawing/2014/main" id="{00000000-0008-0000-0100-0000E0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505" name="Line 8">
          <a:extLst>
            <a:ext uri="{FF2B5EF4-FFF2-40B4-BE49-F238E27FC236}">
              <a16:creationId xmlns:a16="http://schemas.microsoft.com/office/drawing/2014/main" id="{00000000-0008-0000-0100-0000E1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506" name="Line 9">
          <a:extLst>
            <a:ext uri="{FF2B5EF4-FFF2-40B4-BE49-F238E27FC236}">
              <a16:creationId xmlns:a16="http://schemas.microsoft.com/office/drawing/2014/main" id="{00000000-0008-0000-0100-0000E2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507" name="Line 10">
          <a:extLst>
            <a:ext uri="{FF2B5EF4-FFF2-40B4-BE49-F238E27FC236}">
              <a16:creationId xmlns:a16="http://schemas.microsoft.com/office/drawing/2014/main" id="{00000000-0008-0000-0100-0000E3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508" name="Line 11">
          <a:extLst>
            <a:ext uri="{FF2B5EF4-FFF2-40B4-BE49-F238E27FC236}">
              <a16:creationId xmlns:a16="http://schemas.microsoft.com/office/drawing/2014/main" id="{00000000-0008-0000-0100-0000E4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509" name="Line 12">
          <a:extLst>
            <a:ext uri="{FF2B5EF4-FFF2-40B4-BE49-F238E27FC236}">
              <a16:creationId xmlns:a16="http://schemas.microsoft.com/office/drawing/2014/main" id="{00000000-0008-0000-0100-0000E5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510" name="Line 13">
          <a:extLst>
            <a:ext uri="{FF2B5EF4-FFF2-40B4-BE49-F238E27FC236}">
              <a16:creationId xmlns:a16="http://schemas.microsoft.com/office/drawing/2014/main" id="{00000000-0008-0000-0100-0000E6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11" name="Line 14">
          <a:extLst>
            <a:ext uri="{FF2B5EF4-FFF2-40B4-BE49-F238E27FC236}">
              <a16:creationId xmlns:a16="http://schemas.microsoft.com/office/drawing/2014/main" id="{00000000-0008-0000-0100-0000E7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512" name="Line 15">
          <a:extLst>
            <a:ext uri="{FF2B5EF4-FFF2-40B4-BE49-F238E27FC236}">
              <a16:creationId xmlns:a16="http://schemas.microsoft.com/office/drawing/2014/main" id="{00000000-0008-0000-0100-0000E8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13" name="Line 16">
          <a:extLst>
            <a:ext uri="{FF2B5EF4-FFF2-40B4-BE49-F238E27FC236}">
              <a16:creationId xmlns:a16="http://schemas.microsoft.com/office/drawing/2014/main" id="{00000000-0008-0000-0100-0000E9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514" name="Line 17">
          <a:extLst>
            <a:ext uri="{FF2B5EF4-FFF2-40B4-BE49-F238E27FC236}">
              <a16:creationId xmlns:a16="http://schemas.microsoft.com/office/drawing/2014/main" id="{00000000-0008-0000-0100-0000EA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515" name="Line 18">
          <a:extLst>
            <a:ext uri="{FF2B5EF4-FFF2-40B4-BE49-F238E27FC236}">
              <a16:creationId xmlns:a16="http://schemas.microsoft.com/office/drawing/2014/main" id="{00000000-0008-0000-0100-0000EB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516" name="Line 19">
          <a:extLst>
            <a:ext uri="{FF2B5EF4-FFF2-40B4-BE49-F238E27FC236}">
              <a16:creationId xmlns:a16="http://schemas.microsoft.com/office/drawing/2014/main" id="{00000000-0008-0000-0100-0000EC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517" name="Line 20">
          <a:extLst>
            <a:ext uri="{FF2B5EF4-FFF2-40B4-BE49-F238E27FC236}">
              <a16:creationId xmlns:a16="http://schemas.microsoft.com/office/drawing/2014/main" id="{00000000-0008-0000-0100-0000ED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518" name="Line 21">
          <a:extLst>
            <a:ext uri="{FF2B5EF4-FFF2-40B4-BE49-F238E27FC236}">
              <a16:creationId xmlns:a16="http://schemas.microsoft.com/office/drawing/2014/main" id="{00000000-0008-0000-0100-0000EE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519" name="Line 22">
          <a:extLst>
            <a:ext uri="{FF2B5EF4-FFF2-40B4-BE49-F238E27FC236}">
              <a16:creationId xmlns:a16="http://schemas.microsoft.com/office/drawing/2014/main" id="{00000000-0008-0000-0100-0000EF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520" name="Line 23">
          <a:extLst>
            <a:ext uri="{FF2B5EF4-FFF2-40B4-BE49-F238E27FC236}">
              <a16:creationId xmlns:a16="http://schemas.microsoft.com/office/drawing/2014/main" id="{00000000-0008-0000-0100-0000F0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521" name="Line 24">
          <a:extLst>
            <a:ext uri="{FF2B5EF4-FFF2-40B4-BE49-F238E27FC236}">
              <a16:creationId xmlns:a16="http://schemas.microsoft.com/office/drawing/2014/main" id="{00000000-0008-0000-0100-0000F1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522" name="Line 25">
          <a:extLst>
            <a:ext uri="{FF2B5EF4-FFF2-40B4-BE49-F238E27FC236}">
              <a16:creationId xmlns:a16="http://schemas.microsoft.com/office/drawing/2014/main" id="{00000000-0008-0000-0100-0000F2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523" name="Line 26">
          <a:extLst>
            <a:ext uri="{FF2B5EF4-FFF2-40B4-BE49-F238E27FC236}">
              <a16:creationId xmlns:a16="http://schemas.microsoft.com/office/drawing/2014/main" id="{00000000-0008-0000-0100-0000F3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524" name="Line 27">
          <a:extLst>
            <a:ext uri="{FF2B5EF4-FFF2-40B4-BE49-F238E27FC236}">
              <a16:creationId xmlns:a16="http://schemas.microsoft.com/office/drawing/2014/main" id="{00000000-0008-0000-0100-0000F4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525" name="Line 28">
          <a:extLst>
            <a:ext uri="{FF2B5EF4-FFF2-40B4-BE49-F238E27FC236}">
              <a16:creationId xmlns:a16="http://schemas.microsoft.com/office/drawing/2014/main" id="{00000000-0008-0000-0100-0000F5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526" name="Line 29">
          <a:extLst>
            <a:ext uri="{FF2B5EF4-FFF2-40B4-BE49-F238E27FC236}">
              <a16:creationId xmlns:a16="http://schemas.microsoft.com/office/drawing/2014/main" id="{00000000-0008-0000-0100-0000F6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527" name="Line 30">
          <a:extLst>
            <a:ext uri="{FF2B5EF4-FFF2-40B4-BE49-F238E27FC236}">
              <a16:creationId xmlns:a16="http://schemas.microsoft.com/office/drawing/2014/main" id="{00000000-0008-0000-0100-0000F7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528" name="Line 31">
          <a:extLst>
            <a:ext uri="{FF2B5EF4-FFF2-40B4-BE49-F238E27FC236}">
              <a16:creationId xmlns:a16="http://schemas.microsoft.com/office/drawing/2014/main" id="{00000000-0008-0000-0100-0000F8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529" name="Line 32">
          <a:extLst>
            <a:ext uri="{FF2B5EF4-FFF2-40B4-BE49-F238E27FC236}">
              <a16:creationId xmlns:a16="http://schemas.microsoft.com/office/drawing/2014/main" id="{00000000-0008-0000-0100-0000F9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530" name="Line 33">
          <a:extLst>
            <a:ext uri="{FF2B5EF4-FFF2-40B4-BE49-F238E27FC236}">
              <a16:creationId xmlns:a16="http://schemas.microsoft.com/office/drawing/2014/main" id="{00000000-0008-0000-0100-0000FA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531" name="Line 34">
          <a:extLst>
            <a:ext uri="{FF2B5EF4-FFF2-40B4-BE49-F238E27FC236}">
              <a16:creationId xmlns:a16="http://schemas.microsoft.com/office/drawing/2014/main" id="{00000000-0008-0000-0100-0000FB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532" name="Line 35">
          <a:extLst>
            <a:ext uri="{FF2B5EF4-FFF2-40B4-BE49-F238E27FC236}">
              <a16:creationId xmlns:a16="http://schemas.microsoft.com/office/drawing/2014/main" id="{00000000-0008-0000-0100-0000FC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533" name="Line 36">
          <a:extLst>
            <a:ext uri="{FF2B5EF4-FFF2-40B4-BE49-F238E27FC236}">
              <a16:creationId xmlns:a16="http://schemas.microsoft.com/office/drawing/2014/main" id="{00000000-0008-0000-0100-0000FD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534" name="Line 37">
          <a:extLst>
            <a:ext uri="{FF2B5EF4-FFF2-40B4-BE49-F238E27FC236}">
              <a16:creationId xmlns:a16="http://schemas.microsoft.com/office/drawing/2014/main" id="{00000000-0008-0000-0100-0000FE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535" name="Line 38">
          <a:extLst>
            <a:ext uri="{FF2B5EF4-FFF2-40B4-BE49-F238E27FC236}">
              <a16:creationId xmlns:a16="http://schemas.microsoft.com/office/drawing/2014/main" id="{00000000-0008-0000-0100-0000FF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536" name="Line 39">
          <a:extLst>
            <a:ext uri="{FF2B5EF4-FFF2-40B4-BE49-F238E27FC236}">
              <a16:creationId xmlns:a16="http://schemas.microsoft.com/office/drawing/2014/main" id="{00000000-0008-0000-0100-000000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537" name="Line 40">
          <a:extLst>
            <a:ext uri="{FF2B5EF4-FFF2-40B4-BE49-F238E27FC236}">
              <a16:creationId xmlns:a16="http://schemas.microsoft.com/office/drawing/2014/main" id="{00000000-0008-0000-0100-000001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538" name="Line 41">
          <a:extLst>
            <a:ext uri="{FF2B5EF4-FFF2-40B4-BE49-F238E27FC236}">
              <a16:creationId xmlns:a16="http://schemas.microsoft.com/office/drawing/2014/main" id="{00000000-0008-0000-0100-000002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539" name="Rectangle 42">
          <a:extLst>
            <a:ext uri="{FF2B5EF4-FFF2-40B4-BE49-F238E27FC236}">
              <a16:creationId xmlns:a16="http://schemas.microsoft.com/office/drawing/2014/main" id="{00000000-0008-0000-0100-000003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540" name="Line 43">
          <a:extLst>
            <a:ext uri="{FF2B5EF4-FFF2-40B4-BE49-F238E27FC236}">
              <a16:creationId xmlns:a16="http://schemas.microsoft.com/office/drawing/2014/main" id="{00000000-0008-0000-0100-000004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541" name="Line 44">
          <a:extLst>
            <a:ext uri="{FF2B5EF4-FFF2-40B4-BE49-F238E27FC236}">
              <a16:creationId xmlns:a16="http://schemas.microsoft.com/office/drawing/2014/main" id="{00000000-0008-0000-0100-000005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542" name="Line 45">
          <a:extLst>
            <a:ext uri="{FF2B5EF4-FFF2-40B4-BE49-F238E27FC236}">
              <a16:creationId xmlns:a16="http://schemas.microsoft.com/office/drawing/2014/main" id="{00000000-0008-0000-0100-000006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543" name="Line 46">
          <a:extLst>
            <a:ext uri="{FF2B5EF4-FFF2-40B4-BE49-F238E27FC236}">
              <a16:creationId xmlns:a16="http://schemas.microsoft.com/office/drawing/2014/main" id="{00000000-0008-0000-0100-000007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544" name="Line 47">
          <a:extLst>
            <a:ext uri="{FF2B5EF4-FFF2-40B4-BE49-F238E27FC236}">
              <a16:creationId xmlns:a16="http://schemas.microsoft.com/office/drawing/2014/main" id="{00000000-0008-0000-0100-000008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545" name="Line 48">
          <a:extLst>
            <a:ext uri="{FF2B5EF4-FFF2-40B4-BE49-F238E27FC236}">
              <a16:creationId xmlns:a16="http://schemas.microsoft.com/office/drawing/2014/main" id="{00000000-0008-0000-0100-000009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546" name="Line 49">
          <a:extLst>
            <a:ext uri="{FF2B5EF4-FFF2-40B4-BE49-F238E27FC236}">
              <a16:creationId xmlns:a16="http://schemas.microsoft.com/office/drawing/2014/main" id="{00000000-0008-0000-0100-00000A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547" name="Line 50">
          <a:extLst>
            <a:ext uri="{FF2B5EF4-FFF2-40B4-BE49-F238E27FC236}">
              <a16:creationId xmlns:a16="http://schemas.microsoft.com/office/drawing/2014/main" id="{00000000-0008-0000-0100-00000B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548" name="Line 51">
          <a:extLst>
            <a:ext uri="{FF2B5EF4-FFF2-40B4-BE49-F238E27FC236}">
              <a16:creationId xmlns:a16="http://schemas.microsoft.com/office/drawing/2014/main" id="{00000000-0008-0000-0100-00000C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549" name="Line 52">
          <a:extLst>
            <a:ext uri="{FF2B5EF4-FFF2-40B4-BE49-F238E27FC236}">
              <a16:creationId xmlns:a16="http://schemas.microsoft.com/office/drawing/2014/main" id="{00000000-0008-0000-0100-00000D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550" name="Line 53">
          <a:extLst>
            <a:ext uri="{FF2B5EF4-FFF2-40B4-BE49-F238E27FC236}">
              <a16:creationId xmlns:a16="http://schemas.microsoft.com/office/drawing/2014/main" id="{00000000-0008-0000-0100-00000E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551" name="Line 54">
          <a:extLst>
            <a:ext uri="{FF2B5EF4-FFF2-40B4-BE49-F238E27FC236}">
              <a16:creationId xmlns:a16="http://schemas.microsoft.com/office/drawing/2014/main" id="{00000000-0008-0000-0100-00000F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552" name="Line 55">
          <a:extLst>
            <a:ext uri="{FF2B5EF4-FFF2-40B4-BE49-F238E27FC236}">
              <a16:creationId xmlns:a16="http://schemas.microsoft.com/office/drawing/2014/main" id="{00000000-0008-0000-0100-000010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553" name="Line 56">
          <a:extLst>
            <a:ext uri="{FF2B5EF4-FFF2-40B4-BE49-F238E27FC236}">
              <a16:creationId xmlns:a16="http://schemas.microsoft.com/office/drawing/2014/main" id="{00000000-0008-0000-0100-000011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554" name="Rectangle 57">
          <a:extLst>
            <a:ext uri="{FF2B5EF4-FFF2-40B4-BE49-F238E27FC236}">
              <a16:creationId xmlns:a16="http://schemas.microsoft.com/office/drawing/2014/main" id="{00000000-0008-0000-0100-000012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555" name="Line 58">
          <a:extLst>
            <a:ext uri="{FF2B5EF4-FFF2-40B4-BE49-F238E27FC236}">
              <a16:creationId xmlns:a16="http://schemas.microsoft.com/office/drawing/2014/main" id="{00000000-0008-0000-0100-000013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556" name="Line 59">
          <a:extLst>
            <a:ext uri="{FF2B5EF4-FFF2-40B4-BE49-F238E27FC236}">
              <a16:creationId xmlns:a16="http://schemas.microsoft.com/office/drawing/2014/main" id="{00000000-0008-0000-0100-000014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557" name="Line 60">
          <a:extLst>
            <a:ext uri="{FF2B5EF4-FFF2-40B4-BE49-F238E27FC236}">
              <a16:creationId xmlns:a16="http://schemas.microsoft.com/office/drawing/2014/main" id="{00000000-0008-0000-0100-000015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558" name="Line 61">
          <a:extLst>
            <a:ext uri="{FF2B5EF4-FFF2-40B4-BE49-F238E27FC236}">
              <a16:creationId xmlns:a16="http://schemas.microsoft.com/office/drawing/2014/main" id="{00000000-0008-0000-0100-000016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559" name="Line 62">
          <a:extLst>
            <a:ext uri="{FF2B5EF4-FFF2-40B4-BE49-F238E27FC236}">
              <a16:creationId xmlns:a16="http://schemas.microsoft.com/office/drawing/2014/main" id="{00000000-0008-0000-0100-000017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560" name="Line 63">
          <a:extLst>
            <a:ext uri="{FF2B5EF4-FFF2-40B4-BE49-F238E27FC236}">
              <a16:creationId xmlns:a16="http://schemas.microsoft.com/office/drawing/2014/main" id="{00000000-0008-0000-0100-000018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561" name="Line 64">
          <a:extLst>
            <a:ext uri="{FF2B5EF4-FFF2-40B4-BE49-F238E27FC236}">
              <a16:creationId xmlns:a16="http://schemas.microsoft.com/office/drawing/2014/main" id="{00000000-0008-0000-0100-000019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562" name="Line 65">
          <a:extLst>
            <a:ext uri="{FF2B5EF4-FFF2-40B4-BE49-F238E27FC236}">
              <a16:creationId xmlns:a16="http://schemas.microsoft.com/office/drawing/2014/main" id="{00000000-0008-0000-0100-00001A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563" name="Line 66">
          <a:extLst>
            <a:ext uri="{FF2B5EF4-FFF2-40B4-BE49-F238E27FC236}">
              <a16:creationId xmlns:a16="http://schemas.microsoft.com/office/drawing/2014/main" id="{00000000-0008-0000-0100-00001B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564" name="Line 67">
          <a:extLst>
            <a:ext uri="{FF2B5EF4-FFF2-40B4-BE49-F238E27FC236}">
              <a16:creationId xmlns:a16="http://schemas.microsoft.com/office/drawing/2014/main" id="{00000000-0008-0000-0100-00001C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565" name="Line 68">
          <a:extLst>
            <a:ext uri="{FF2B5EF4-FFF2-40B4-BE49-F238E27FC236}">
              <a16:creationId xmlns:a16="http://schemas.microsoft.com/office/drawing/2014/main" id="{00000000-0008-0000-0100-00001D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566" name="Line 1">
          <a:extLst>
            <a:ext uri="{FF2B5EF4-FFF2-40B4-BE49-F238E27FC236}">
              <a16:creationId xmlns:a16="http://schemas.microsoft.com/office/drawing/2014/main" id="{00000000-0008-0000-0100-00001E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567" name="Drawing 16">
          <a:extLst>
            <a:ext uri="{FF2B5EF4-FFF2-40B4-BE49-F238E27FC236}">
              <a16:creationId xmlns:a16="http://schemas.microsoft.com/office/drawing/2014/main" id="{00000000-0008-0000-0100-00001F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568" name="Line 3">
          <a:extLst>
            <a:ext uri="{FF2B5EF4-FFF2-40B4-BE49-F238E27FC236}">
              <a16:creationId xmlns:a16="http://schemas.microsoft.com/office/drawing/2014/main" id="{00000000-0008-0000-0100-000020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569" name="Line 4">
          <a:extLst>
            <a:ext uri="{FF2B5EF4-FFF2-40B4-BE49-F238E27FC236}">
              <a16:creationId xmlns:a16="http://schemas.microsoft.com/office/drawing/2014/main" id="{00000000-0008-0000-0100-000021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570" name="Line 5">
          <a:extLst>
            <a:ext uri="{FF2B5EF4-FFF2-40B4-BE49-F238E27FC236}">
              <a16:creationId xmlns:a16="http://schemas.microsoft.com/office/drawing/2014/main" id="{00000000-0008-0000-0100-000022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571" name="Line 6">
          <a:extLst>
            <a:ext uri="{FF2B5EF4-FFF2-40B4-BE49-F238E27FC236}">
              <a16:creationId xmlns:a16="http://schemas.microsoft.com/office/drawing/2014/main" id="{00000000-0008-0000-0100-000023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572" name="Line 7">
          <a:extLst>
            <a:ext uri="{FF2B5EF4-FFF2-40B4-BE49-F238E27FC236}">
              <a16:creationId xmlns:a16="http://schemas.microsoft.com/office/drawing/2014/main" id="{00000000-0008-0000-0100-000024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573" name="Line 8">
          <a:extLst>
            <a:ext uri="{FF2B5EF4-FFF2-40B4-BE49-F238E27FC236}">
              <a16:creationId xmlns:a16="http://schemas.microsoft.com/office/drawing/2014/main" id="{00000000-0008-0000-0100-000025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574" name="Line 9">
          <a:extLst>
            <a:ext uri="{FF2B5EF4-FFF2-40B4-BE49-F238E27FC236}">
              <a16:creationId xmlns:a16="http://schemas.microsoft.com/office/drawing/2014/main" id="{00000000-0008-0000-0100-000026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575" name="Line 10">
          <a:extLst>
            <a:ext uri="{FF2B5EF4-FFF2-40B4-BE49-F238E27FC236}">
              <a16:creationId xmlns:a16="http://schemas.microsoft.com/office/drawing/2014/main" id="{00000000-0008-0000-0100-000027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576" name="Line 11">
          <a:extLst>
            <a:ext uri="{FF2B5EF4-FFF2-40B4-BE49-F238E27FC236}">
              <a16:creationId xmlns:a16="http://schemas.microsoft.com/office/drawing/2014/main" id="{00000000-0008-0000-0100-000028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577" name="Line 12">
          <a:extLst>
            <a:ext uri="{FF2B5EF4-FFF2-40B4-BE49-F238E27FC236}">
              <a16:creationId xmlns:a16="http://schemas.microsoft.com/office/drawing/2014/main" id="{00000000-0008-0000-0100-000029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578" name="Line 13">
          <a:extLst>
            <a:ext uri="{FF2B5EF4-FFF2-40B4-BE49-F238E27FC236}">
              <a16:creationId xmlns:a16="http://schemas.microsoft.com/office/drawing/2014/main" id="{00000000-0008-0000-0100-00002A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79" name="Line 14">
          <a:extLst>
            <a:ext uri="{FF2B5EF4-FFF2-40B4-BE49-F238E27FC236}">
              <a16:creationId xmlns:a16="http://schemas.microsoft.com/office/drawing/2014/main" id="{00000000-0008-0000-0100-00002B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580" name="Line 15">
          <a:extLst>
            <a:ext uri="{FF2B5EF4-FFF2-40B4-BE49-F238E27FC236}">
              <a16:creationId xmlns:a16="http://schemas.microsoft.com/office/drawing/2014/main" id="{00000000-0008-0000-0100-00002C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81" name="Line 16">
          <a:extLst>
            <a:ext uri="{FF2B5EF4-FFF2-40B4-BE49-F238E27FC236}">
              <a16:creationId xmlns:a16="http://schemas.microsoft.com/office/drawing/2014/main" id="{00000000-0008-0000-0100-00002D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582" name="Line 17">
          <a:extLst>
            <a:ext uri="{FF2B5EF4-FFF2-40B4-BE49-F238E27FC236}">
              <a16:creationId xmlns:a16="http://schemas.microsoft.com/office/drawing/2014/main" id="{00000000-0008-0000-0100-00002E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583" name="Line 18">
          <a:extLst>
            <a:ext uri="{FF2B5EF4-FFF2-40B4-BE49-F238E27FC236}">
              <a16:creationId xmlns:a16="http://schemas.microsoft.com/office/drawing/2014/main" id="{00000000-0008-0000-0100-00002F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584" name="Line 19">
          <a:extLst>
            <a:ext uri="{FF2B5EF4-FFF2-40B4-BE49-F238E27FC236}">
              <a16:creationId xmlns:a16="http://schemas.microsoft.com/office/drawing/2014/main" id="{00000000-0008-0000-0100-000030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585" name="Line 20">
          <a:extLst>
            <a:ext uri="{FF2B5EF4-FFF2-40B4-BE49-F238E27FC236}">
              <a16:creationId xmlns:a16="http://schemas.microsoft.com/office/drawing/2014/main" id="{00000000-0008-0000-0100-000031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586" name="Line 21">
          <a:extLst>
            <a:ext uri="{FF2B5EF4-FFF2-40B4-BE49-F238E27FC236}">
              <a16:creationId xmlns:a16="http://schemas.microsoft.com/office/drawing/2014/main" id="{00000000-0008-0000-0100-000032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587" name="Line 22">
          <a:extLst>
            <a:ext uri="{FF2B5EF4-FFF2-40B4-BE49-F238E27FC236}">
              <a16:creationId xmlns:a16="http://schemas.microsoft.com/office/drawing/2014/main" id="{00000000-0008-0000-0100-000033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588" name="Line 23">
          <a:extLst>
            <a:ext uri="{FF2B5EF4-FFF2-40B4-BE49-F238E27FC236}">
              <a16:creationId xmlns:a16="http://schemas.microsoft.com/office/drawing/2014/main" id="{00000000-0008-0000-0100-00003406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589" name="Line 24">
          <a:extLst>
            <a:ext uri="{FF2B5EF4-FFF2-40B4-BE49-F238E27FC236}">
              <a16:creationId xmlns:a16="http://schemas.microsoft.com/office/drawing/2014/main" id="{00000000-0008-0000-0100-00003506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590" name="Line 25">
          <a:extLst>
            <a:ext uri="{FF2B5EF4-FFF2-40B4-BE49-F238E27FC236}">
              <a16:creationId xmlns:a16="http://schemas.microsoft.com/office/drawing/2014/main" id="{00000000-0008-0000-0100-00003606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591" name="Line 26">
          <a:extLst>
            <a:ext uri="{FF2B5EF4-FFF2-40B4-BE49-F238E27FC236}">
              <a16:creationId xmlns:a16="http://schemas.microsoft.com/office/drawing/2014/main" id="{00000000-0008-0000-0100-00003706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592" name="Line 27">
          <a:extLst>
            <a:ext uri="{FF2B5EF4-FFF2-40B4-BE49-F238E27FC236}">
              <a16:creationId xmlns:a16="http://schemas.microsoft.com/office/drawing/2014/main" id="{00000000-0008-0000-0100-00003806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593" name="Line 28">
          <a:extLst>
            <a:ext uri="{FF2B5EF4-FFF2-40B4-BE49-F238E27FC236}">
              <a16:creationId xmlns:a16="http://schemas.microsoft.com/office/drawing/2014/main" id="{00000000-0008-0000-0100-00003906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594" name="Line 29">
          <a:extLst>
            <a:ext uri="{FF2B5EF4-FFF2-40B4-BE49-F238E27FC236}">
              <a16:creationId xmlns:a16="http://schemas.microsoft.com/office/drawing/2014/main" id="{00000000-0008-0000-0100-00003A06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595" name="Line 30">
          <a:extLst>
            <a:ext uri="{FF2B5EF4-FFF2-40B4-BE49-F238E27FC236}">
              <a16:creationId xmlns:a16="http://schemas.microsoft.com/office/drawing/2014/main" id="{00000000-0008-0000-0100-00003B06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596" name="Line 31">
          <a:extLst>
            <a:ext uri="{FF2B5EF4-FFF2-40B4-BE49-F238E27FC236}">
              <a16:creationId xmlns:a16="http://schemas.microsoft.com/office/drawing/2014/main" id="{00000000-0008-0000-0100-00003C06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597" name="Line 32">
          <a:extLst>
            <a:ext uri="{FF2B5EF4-FFF2-40B4-BE49-F238E27FC236}">
              <a16:creationId xmlns:a16="http://schemas.microsoft.com/office/drawing/2014/main" id="{00000000-0008-0000-0100-00003D06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598" name="Line 33">
          <a:extLst>
            <a:ext uri="{FF2B5EF4-FFF2-40B4-BE49-F238E27FC236}">
              <a16:creationId xmlns:a16="http://schemas.microsoft.com/office/drawing/2014/main" id="{00000000-0008-0000-0100-00003E06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599" name="Line 34">
          <a:extLst>
            <a:ext uri="{FF2B5EF4-FFF2-40B4-BE49-F238E27FC236}">
              <a16:creationId xmlns:a16="http://schemas.microsoft.com/office/drawing/2014/main" id="{00000000-0008-0000-0100-00003F06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600" name="Line 35">
          <a:extLst>
            <a:ext uri="{FF2B5EF4-FFF2-40B4-BE49-F238E27FC236}">
              <a16:creationId xmlns:a16="http://schemas.microsoft.com/office/drawing/2014/main" id="{00000000-0008-0000-0100-00004006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601" name="Line 36">
          <a:extLst>
            <a:ext uri="{FF2B5EF4-FFF2-40B4-BE49-F238E27FC236}">
              <a16:creationId xmlns:a16="http://schemas.microsoft.com/office/drawing/2014/main" id="{00000000-0008-0000-0100-00004106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602" name="Line 37">
          <a:extLst>
            <a:ext uri="{FF2B5EF4-FFF2-40B4-BE49-F238E27FC236}">
              <a16:creationId xmlns:a16="http://schemas.microsoft.com/office/drawing/2014/main" id="{00000000-0008-0000-0100-00004206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603" name="Line 38">
          <a:extLst>
            <a:ext uri="{FF2B5EF4-FFF2-40B4-BE49-F238E27FC236}">
              <a16:creationId xmlns:a16="http://schemas.microsoft.com/office/drawing/2014/main" id="{00000000-0008-0000-0100-00004306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604" name="Line 39">
          <a:extLst>
            <a:ext uri="{FF2B5EF4-FFF2-40B4-BE49-F238E27FC236}">
              <a16:creationId xmlns:a16="http://schemas.microsoft.com/office/drawing/2014/main" id="{00000000-0008-0000-0100-000044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605" name="Line 40">
          <a:extLst>
            <a:ext uri="{FF2B5EF4-FFF2-40B4-BE49-F238E27FC236}">
              <a16:creationId xmlns:a16="http://schemas.microsoft.com/office/drawing/2014/main" id="{00000000-0008-0000-0100-000045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606" name="Line 41">
          <a:extLst>
            <a:ext uri="{FF2B5EF4-FFF2-40B4-BE49-F238E27FC236}">
              <a16:creationId xmlns:a16="http://schemas.microsoft.com/office/drawing/2014/main" id="{00000000-0008-0000-0100-000046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607" name="Rectangle 42">
          <a:extLst>
            <a:ext uri="{FF2B5EF4-FFF2-40B4-BE49-F238E27FC236}">
              <a16:creationId xmlns:a16="http://schemas.microsoft.com/office/drawing/2014/main" id="{00000000-0008-0000-0100-000047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08" name="Line 43">
          <a:extLst>
            <a:ext uri="{FF2B5EF4-FFF2-40B4-BE49-F238E27FC236}">
              <a16:creationId xmlns:a16="http://schemas.microsoft.com/office/drawing/2014/main" id="{00000000-0008-0000-0100-000048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09" name="Line 44">
          <a:extLst>
            <a:ext uri="{FF2B5EF4-FFF2-40B4-BE49-F238E27FC236}">
              <a16:creationId xmlns:a16="http://schemas.microsoft.com/office/drawing/2014/main" id="{00000000-0008-0000-0100-000049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610" name="Line 45">
          <a:extLst>
            <a:ext uri="{FF2B5EF4-FFF2-40B4-BE49-F238E27FC236}">
              <a16:creationId xmlns:a16="http://schemas.microsoft.com/office/drawing/2014/main" id="{00000000-0008-0000-0100-00004A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611" name="Line 46">
          <a:extLst>
            <a:ext uri="{FF2B5EF4-FFF2-40B4-BE49-F238E27FC236}">
              <a16:creationId xmlns:a16="http://schemas.microsoft.com/office/drawing/2014/main" id="{00000000-0008-0000-0100-00004B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612" name="Line 47">
          <a:extLst>
            <a:ext uri="{FF2B5EF4-FFF2-40B4-BE49-F238E27FC236}">
              <a16:creationId xmlns:a16="http://schemas.microsoft.com/office/drawing/2014/main" id="{00000000-0008-0000-0100-00004C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613" name="Line 48">
          <a:extLst>
            <a:ext uri="{FF2B5EF4-FFF2-40B4-BE49-F238E27FC236}">
              <a16:creationId xmlns:a16="http://schemas.microsoft.com/office/drawing/2014/main" id="{00000000-0008-0000-0100-00004D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614" name="Line 49">
          <a:extLst>
            <a:ext uri="{FF2B5EF4-FFF2-40B4-BE49-F238E27FC236}">
              <a16:creationId xmlns:a16="http://schemas.microsoft.com/office/drawing/2014/main" id="{00000000-0008-0000-0100-00004E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615" name="Line 50">
          <a:extLst>
            <a:ext uri="{FF2B5EF4-FFF2-40B4-BE49-F238E27FC236}">
              <a16:creationId xmlns:a16="http://schemas.microsoft.com/office/drawing/2014/main" id="{00000000-0008-0000-0100-00004F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616" name="Line 51">
          <a:extLst>
            <a:ext uri="{FF2B5EF4-FFF2-40B4-BE49-F238E27FC236}">
              <a16:creationId xmlns:a16="http://schemas.microsoft.com/office/drawing/2014/main" id="{00000000-0008-0000-0100-000050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617" name="Line 52">
          <a:extLst>
            <a:ext uri="{FF2B5EF4-FFF2-40B4-BE49-F238E27FC236}">
              <a16:creationId xmlns:a16="http://schemas.microsoft.com/office/drawing/2014/main" id="{00000000-0008-0000-0100-000051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618" name="Line 53">
          <a:extLst>
            <a:ext uri="{FF2B5EF4-FFF2-40B4-BE49-F238E27FC236}">
              <a16:creationId xmlns:a16="http://schemas.microsoft.com/office/drawing/2014/main" id="{00000000-0008-0000-0100-000052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619" name="Line 54">
          <a:extLst>
            <a:ext uri="{FF2B5EF4-FFF2-40B4-BE49-F238E27FC236}">
              <a16:creationId xmlns:a16="http://schemas.microsoft.com/office/drawing/2014/main" id="{00000000-0008-0000-0100-000053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620" name="Line 55">
          <a:extLst>
            <a:ext uri="{FF2B5EF4-FFF2-40B4-BE49-F238E27FC236}">
              <a16:creationId xmlns:a16="http://schemas.microsoft.com/office/drawing/2014/main" id="{00000000-0008-0000-0100-000054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621" name="Line 56">
          <a:extLst>
            <a:ext uri="{FF2B5EF4-FFF2-40B4-BE49-F238E27FC236}">
              <a16:creationId xmlns:a16="http://schemas.microsoft.com/office/drawing/2014/main" id="{00000000-0008-0000-0100-000055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622" name="Rectangle 57">
          <a:extLst>
            <a:ext uri="{FF2B5EF4-FFF2-40B4-BE49-F238E27FC236}">
              <a16:creationId xmlns:a16="http://schemas.microsoft.com/office/drawing/2014/main" id="{00000000-0008-0000-0100-000056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623" name="Line 58">
          <a:extLst>
            <a:ext uri="{FF2B5EF4-FFF2-40B4-BE49-F238E27FC236}">
              <a16:creationId xmlns:a16="http://schemas.microsoft.com/office/drawing/2014/main" id="{00000000-0008-0000-0100-000057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624" name="Line 59">
          <a:extLst>
            <a:ext uri="{FF2B5EF4-FFF2-40B4-BE49-F238E27FC236}">
              <a16:creationId xmlns:a16="http://schemas.microsoft.com/office/drawing/2014/main" id="{00000000-0008-0000-0100-000058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625" name="Line 60">
          <a:extLst>
            <a:ext uri="{FF2B5EF4-FFF2-40B4-BE49-F238E27FC236}">
              <a16:creationId xmlns:a16="http://schemas.microsoft.com/office/drawing/2014/main" id="{00000000-0008-0000-0100-000059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626" name="Line 61">
          <a:extLst>
            <a:ext uri="{FF2B5EF4-FFF2-40B4-BE49-F238E27FC236}">
              <a16:creationId xmlns:a16="http://schemas.microsoft.com/office/drawing/2014/main" id="{00000000-0008-0000-0100-00005A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627" name="Line 62">
          <a:extLst>
            <a:ext uri="{FF2B5EF4-FFF2-40B4-BE49-F238E27FC236}">
              <a16:creationId xmlns:a16="http://schemas.microsoft.com/office/drawing/2014/main" id="{00000000-0008-0000-0100-00005B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628" name="Line 63">
          <a:extLst>
            <a:ext uri="{FF2B5EF4-FFF2-40B4-BE49-F238E27FC236}">
              <a16:creationId xmlns:a16="http://schemas.microsoft.com/office/drawing/2014/main" id="{00000000-0008-0000-0100-00005C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629" name="Line 64">
          <a:extLst>
            <a:ext uri="{FF2B5EF4-FFF2-40B4-BE49-F238E27FC236}">
              <a16:creationId xmlns:a16="http://schemas.microsoft.com/office/drawing/2014/main" id="{00000000-0008-0000-0100-00005D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630" name="Line 65">
          <a:extLst>
            <a:ext uri="{FF2B5EF4-FFF2-40B4-BE49-F238E27FC236}">
              <a16:creationId xmlns:a16="http://schemas.microsoft.com/office/drawing/2014/main" id="{00000000-0008-0000-0100-00005E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631" name="Line 66">
          <a:extLst>
            <a:ext uri="{FF2B5EF4-FFF2-40B4-BE49-F238E27FC236}">
              <a16:creationId xmlns:a16="http://schemas.microsoft.com/office/drawing/2014/main" id="{00000000-0008-0000-0100-00005F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632" name="Line 67">
          <a:extLst>
            <a:ext uri="{FF2B5EF4-FFF2-40B4-BE49-F238E27FC236}">
              <a16:creationId xmlns:a16="http://schemas.microsoft.com/office/drawing/2014/main" id="{00000000-0008-0000-0100-000060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633" name="Line 68">
          <a:extLst>
            <a:ext uri="{FF2B5EF4-FFF2-40B4-BE49-F238E27FC236}">
              <a16:creationId xmlns:a16="http://schemas.microsoft.com/office/drawing/2014/main" id="{00000000-0008-0000-0100-000061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634" name="Line 1">
          <a:extLst>
            <a:ext uri="{FF2B5EF4-FFF2-40B4-BE49-F238E27FC236}">
              <a16:creationId xmlns:a16="http://schemas.microsoft.com/office/drawing/2014/main" id="{00000000-0008-0000-0100-000062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635" name="Drawing 16">
          <a:extLst>
            <a:ext uri="{FF2B5EF4-FFF2-40B4-BE49-F238E27FC236}">
              <a16:creationId xmlns:a16="http://schemas.microsoft.com/office/drawing/2014/main" id="{00000000-0008-0000-0100-000063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636" name="Line 3">
          <a:extLst>
            <a:ext uri="{FF2B5EF4-FFF2-40B4-BE49-F238E27FC236}">
              <a16:creationId xmlns:a16="http://schemas.microsoft.com/office/drawing/2014/main" id="{00000000-0008-0000-0100-000064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637" name="Line 4">
          <a:extLst>
            <a:ext uri="{FF2B5EF4-FFF2-40B4-BE49-F238E27FC236}">
              <a16:creationId xmlns:a16="http://schemas.microsoft.com/office/drawing/2014/main" id="{00000000-0008-0000-0100-000065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638" name="Line 5">
          <a:extLst>
            <a:ext uri="{FF2B5EF4-FFF2-40B4-BE49-F238E27FC236}">
              <a16:creationId xmlns:a16="http://schemas.microsoft.com/office/drawing/2014/main" id="{00000000-0008-0000-0100-000066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639" name="Line 6">
          <a:extLst>
            <a:ext uri="{FF2B5EF4-FFF2-40B4-BE49-F238E27FC236}">
              <a16:creationId xmlns:a16="http://schemas.microsoft.com/office/drawing/2014/main" id="{00000000-0008-0000-0100-000067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640" name="Line 7">
          <a:extLst>
            <a:ext uri="{FF2B5EF4-FFF2-40B4-BE49-F238E27FC236}">
              <a16:creationId xmlns:a16="http://schemas.microsoft.com/office/drawing/2014/main" id="{00000000-0008-0000-0100-000068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641" name="Line 8">
          <a:extLst>
            <a:ext uri="{FF2B5EF4-FFF2-40B4-BE49-F238E27FC236}">
              <a16:creationId xmlns:a16="http://schemas.microsoft.com/office/drawing/2014/main" id="{00000000-0008-0000-0100-000069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642" name="Line 9">
          <a:extLst>
            <a:ext uri="{FF2B5EF4-FFF2-40B4-BE49-F238E27FC236}">
              <a16:creationId xmlns:a16="http://schemas.microsoft.com/office/drawing/2014/main" id="{00000000-0008-0000-0100-00006A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643" name="Line 10">
          <a:extLst>
            <a:ext uri="{FF2B5EF4-FFF2-40B4-BE49-F238E27FC236}">
              <a16:creationId xmlns:a16="http://schemas.microsoft.com/office/drawing/2014/main" id="{00000000-0008-0000-0100-00006B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644" name="Line 11">
          <a:extLst>
            <a:ext uri="{FF2B5EF4-FFF2-40B4-BE49-F238E27FC236}">
              <a16:creationId xmlns:a16="http://schemas.microsoft.com/office/drawing/2014/main" id="{00000000-0008-0000-0100-00006C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645" name="Line 12">
          <a:extLst>
            <a:ext uri="{FF2B5EF4-FFF2-40B4-BE49-F238E27FC236}">
              <a16:creationId xmlns:a16="http://schemas.microsoft.com/office/drawing/2014/main" id="{00000000-0008-0000-0100-00006D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646" name="Line 13">
          <a:extLst>
            <a:ext uri="{FF2B5EF4-FFF2-40B4-BE49-F238E27FC236}">
              <a16:creationId xmlns:a16="http://schemas.microsoft.com/office/drawing/2014/main" id="{00000000-0008-0000-0100-00006E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647" name="Line 14">
          <a:extLst>
            <a:ext uri="{FF2B5EF4-FFF2-40B4-BE49-F238E27FC236}">
              <a16:creationId xmlns:a16="http://schemas.microsoft.com/office/drawing/2014/main" id="{00000000-0008-0000-0100-00006F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648" name="Line 15">
          <a:extLst>
            <a:ext uri="{FF2B5EF4-FFF2-40B4-BE49-F238E27FC236}">
              <a16:creationId xmlns:a16="http://schemas.microsoft.com/office/drawing/2014/main" id="{00000000-0008-0000-0100-000070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649" name="Line 16">
          <a:extLst>
            <a:ext uri="{FF2B5EF4-FFF2-40B4-BE49-F238E27FC236}">
              <a16:creationId xmlns:a16="http://schemas.microsoft.com/office/drawing/2014/main" id="{00000000-0008-0000-0100-000071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650" name="Line 17">
          <a:extLst>
            <a:ext uri="{FF2B5EF4-FFF2-40B4-BE49-F238E27FC236}">
              <a16:creationId xmlns:a16="http://schemas.microsoft.com/office/drawing/2014/main" id="{00000000-0008-0000-0100-000072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651" name="Line 18">
          <a:extLst>
            <a:ext uri="{FF2B5EF4-FFF2-40B4-BE49-F238E27FC236}">
              <a16:creationId xmlns:a16="http://schemas.microsoft.com/office/drawing/2014/main" id="{00000000-0008-0000-0100-000073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652" name="Line 19">
          <a:extLst>
            <a:ext uri="{FF2B5EF4-FFF2-40B4-BE49-F238E27FC236}">
              <a16:creationId xmlns:a16="http://schemas.microsoft.com/office/drawing/2014/main" id="{00000000-0008-0000-0100-000074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653" name="Line 20">
          <a:extLst>
            <a:ext uri="{FF2B5EF4-FFF2-40B4-BE49-F238E27FC236}">
              <a16:creationId xmlns:a16="http://schemas.microsoft.com/office/drawing/2014/main" id="{00000000-0008-0000-0100-000075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654" name="Line 21">
          <a:extLst>
            <a:ext uri="{FF2B5EF4-FFF2-40B4-BE49-F238E27FC236}">
              <a16:creationId xmlns:a16="http://schemas.microsoft.com/office/drawing/2014/main" id="{00000000-0008-0000-0100-000076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655" name="Line 22">
          <a:extLst>
            <a:ext uri="{FF2B5EF4-FFF2-40B4-BE49-F238E27FC236}">
              <a16:creationId xmlns:a16="http://schemas.microsoft.com/office/drawing/2014/main" id="{00000000-0008-0000-0100-000077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656" name="Line 23">
          <a:extLst>
            <a:ext uri="{FF2B5EF4-FFF2-40B4-BE49-F238E27FC236}">
              <a16:creationId xmlns:a16="http://schemas.microsoft.com/office/drawing/2014/main" id="{00000000-0008-0000-0100-00007806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657" name="Line 24">
          <a:extLst>
            <a:ext uri="{FF2B5EF4-FFF2-40B4-BE49-F238E27FC236}">
              <a16:creationId xmlns:a16="http://schemas.microsoft.com/office/drawing/2014/main" id="{00000000-0008-0000-0100-00007906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658" name="Line 25">
          <a:extLst>
            <a:ext uri="{FF2B5EF4-FFF2-40B4-BE49-F238E27FC236}">
              <a16:creationId xmlns:a16="http://schemas.microsoft.com/office/drawing/2014/main" id="{00000000-0008-0000-0100-00007A06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659" name="Line 26">
          <a:extLst>
            <a:ext uri="{FF2B5EF4-FFF2-40B4-BE49-F238E27FC236}">
              <a16:creationId xmlns:a16="http://schemas.microsoft.com/office/drawing/2014/main" id="{00000000-0008-0000-0100-00007B06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660" name="Line 27">
          <a:extLst>
            <a:ext uri="{FF2B5EF4-FFF2-40B4-BE49-F238E27FC236}">
              <a16:creationId xmlns:a16="http://schemas.microsoft.com/office/drawing/2014/main" id="{00000000-0008-0000-0100-00007C06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661" name="Line 28">
          <a:extLst>
            <a:ext uri="{FF2B5EF4-FFF2-40B4-BE49-F238E27FC236}">
              <a16:creationId xmlns:a16="http://schemas.microsoft.com/office/drawing/2014/main" id="{00000000-0008-0000-0100-00007D06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662" name="Line 29">
          <a:extLst>
            <a:ext uri="{FF2B5EF4-FFF2-40B4-BE49-F238E27FC236}">
              <a16:creationId xmlns:a16="http://schemas.microsoft.com/office/drawing/2014/main" id="{00000000-0008-0000-0100-00007E06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663" name="Line 30">
          <a:extLst>
            <a:ext uri="{FF2B5EF4-FFF2-40B4-BE49-F238E27FC236}">
              <a16:creationId xmlns:a16="http://schemas.microsoft.com/office/drawing/2014/main" id="{00000000-0008-0000-0100-00007F06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664" name="Line 31">
          <a:extLst>
            <a:ext uri="{FF2B5EF4-FFF2-40B4-BE49-F238E27FC236}">
              <a16:creationId xmlns:a16="http://schemas.microsoft.com/office/drawing/2014/main" id="{00000000-0008-0000-0100-00008006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665" name="Line 32">
          <a:extLst>
            <a:ext uri="{FF2B5EF4-FFF2-40B4-BE49-F238E27FC236}">
              <a16:creationId xmlns:a16="http://schemas.microsoft.com/office/drawing/2014/main" id="{00000000-0008-0000-0100-00008106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666" name="Line 33">
          <a:extLst>
            <a:ext uri="{FF2B5EF4-FFF2-40B4-BE49-F238E27FC236}">
              <a16:creationId xmlns:a16="http://schemas.microsoft.com/office/drawing/2014/main" id="{00000000-0008-0000-0100-00008206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667" name="Line 34">
          <a:extLst>
            <a:ext uri="{FF2B5EF4-FFF2-40B4-BE49-F238E27FC236}">
              <a16:creationId xmlns:a16="http://schemas.microsoft.com/office/drawing/2014/main" id="{00000000-0008-0000-0100-00008306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668" name="Line 35">
          <a:extLst>
            <a:ext uri="{FF2B5EF4-FFF2-40B4-BE49-F238E27FC236}">
              <a16:creationId xmlns:a16="http://schemas.microsoft.com/office/drawing/2014/main" id="{00000000-0008-0000-0100-00008406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669" name="Line 36">
          <a:extLst>
            <a:ext uri="{FF2B5EF4-FFF2-40B4-BE49-F238E27FC236}">
              <a16:creationId xmlns:a16="http://schemas.microsoft.com/office/drawing/2014/main" id="{00000000-0008-0000-0100-00008506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670" name="Line 37">
          <a:extLst>
            <a:ext uri="{FF2B5EF4-FFF2-40B4-BE49-F238E27FC236}">
              <a16:creationId xmlns:a16="http://schemas.microsoft.com/office/drawing/2014/main" id="{00000000-0008-0000-0100-00008606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671" name="Line 38">
          <a:extLst>
            <a:ext uri="{FF2B5EF4-FFF2-40B4-BE49-F238E27FC236}">
              <a16:creationId xmlns:a16="http://schemas.microsoft.com/office/drawing/2014/main" id="{00000000-0008-0000-0100-00008706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672" name="Line 39">
          <a:extLst>
            <a:ext uri="{FF2B5EF4-FFF2-40B4-BE49-F238E27FC236}">
              <a16:creationId xmlns:a16="http://schemas.microsoft.com/office/drawing/2014/main" id="{00000000-0008-0000-0100-000088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673" name="Line 40">
          <a:extLst>
            <a:ext uri="{FF2B5EF4-FFF2-40B4-BE49-F238E27FC236}">
              <a16:creationId xmlns:a16="http://schemas.microsoft.com/office/drawing/2014/main" id="{00000000-0008-0000-0100-000089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674" name="Line 41">
          <a:extLst>
            <a:ext uri="{FF2B5EF4-FFF2-40B4-BE49-F238E27FC236}">
              <a16:creationId xmlns:a16="http://schemas.microsoft.com/office/drawing/2014/main" id="{00000000-0008-0000-0100-00008A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675" name="Rectangle 1674">
          <a:extLst>
            <a:ext uri="{FF2B5EF4-FFF2-40B4-BE49-F238E27FC236}">
              <a16:creationId xmlns:a16="http://schemas.microsoft.com/office/drawing/2014/main" id="{00000000-0008-0000-0100-00008B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76" name="Line 43">
          <a:extLst>
            <a:ext uri="{FF2B5EF4-FFF2-40B4-BE49-F238E27FC236}">
              <a16:creationId xmlns:a16="http://schemas.microsoft.com/office/drawing/2014/main" id="{00000000-0008-0000-0100-00008C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77" name="Line 44">
          <a:extLst>
            <a:ext uri="{FF2B5EF4-FFF2-40B4-BE49-F238E27FC236}">
              <a16:creationId xmlns:a16="http://schemas.microsoft.com/office/drawing/2014/main" id="{00000000-0008-0000-0100-00008D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678" name="Line 45">
          <a:extLst>
            <a:ext uri="{FF2B5EF4-FFF2-40B4-BE49-F238E27FC236}">
              <a16:creationId xmlns:a16="http://schemas.microsoft.com/office/drawing/2014/main" id="{00000000-0008-0000-0100-00008E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679" name="Line 46">
          <a:extLst>
            <a:ext uri="{FF2B5EF4-FFF2-40B4-BE49-F238E27FC236}">
              <a16:creationId xmlns:a16="http://schemas.microsoft.com/office/drawing/2014/main" id="{00000000-0008-0000-0100-00008F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680" name="Line 47">
          <a:extLst>
            <a:ext uri="{FF2B5EF4-FFF2-40B4-BE49-F238E27FC236}">
              <a16:creationId xmlns:a16="http://schemas.microsoft.com/office/drawing/2014/main" id="{00000000-0008-0000-0100-000090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681" name="Line 48">
          <a:extLst>
            <a:ext uri="{FF2B5EF4-FFF2-40B4-BE49-F238E27FC236}">
              <a16:creationId xmlns:a16="http://schemas.microsoft.com/office/drawing/2014/main" id="{00000000-0008-0000-0100-000091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682" name="Line 49">
          <a:extLst>
            <a:ext uri="{FF2B5EF4-FFF2-40B4-BE49-F238E27FC236}">
              <a16:creationId xmlns:a16="http://schemas.microsoft.com/office/drawing/2014/main" id="{00000000-0008-0000-0100-000092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683" name="Line 50">
          <a:extLst>
            <a:ext uri="{FF2B5EF4-FFF2-40B4-BE49-F238E27FC236}">
              <a16:creationId xmlns:a16="http://schemas.microsoft.com/office/drawing/2014/main" id="{00000000-0008-0000-0100-000093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684" name="Line 51">
          <a:extLst>
            <a:ext uri="{FF2B5EF4-FFF2-40B4-BE49-F238E27FC236}">
              <a16:creationId xmlns:a16="http://schemas.microsoft.com/office/drawing/2014/main" id="{00000000-0008-0000-0100-000094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685" name="Line 52">
          <a:extLst>
            <a:ext uri="{FF2B5EF4-FFF2-40B4-BE49-F238E27FC236}">
              <a16:creationId xmlns:a16="http://schemas.microsoft.com/office/drawing/2014/main" id="{00000000-0008-0000-0100-000095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686" name="Line 53">
          <a:extLst>
            <a:ext uri="{FF2B5EF4-FFF2-40B4-BE49-F238E27FC236}">
              <a16:creationId xmlns:a16="http://schemas.microsoft.com/office/drawing/2014/main" id="{00000000-0008-0000-0100-000096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687" name="Line 54">
          <a:extLst>
            <a:ext uri="{FF2B5EF4-FFF2-40B4-BE49-F238E27FC236}">
              <a16:creationId xmlns:a16="http://schemas.microsoft.com/office/drawing/2014/main" id="{00000000-0008-0000-0100-000097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688" name="Line 55">
          <a:extLst>
            <a:ext uri="{FF2B5EF4-FFF2-40B4-BE49-F238E27FC236}">
              <a16:creationId xmlns:a16="http://schemas.microsoft.com/office/drawing/2014/main" id="{00000000-0008-0000-0100-000098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689" name="Line 56">
          <a:extLst>
            <a:ext uri="{FF2B5EF4-FFF2-40B4-BE49-F238E27FC236}">
              <a16:creationId xmlns:a16="http://schemas.microsoft.com/office/drawing/2014/main" id="{00000000-0008-0000-0100-000099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690" name="Rectangle 1689">
          <a:extLst>
            <a:ext uri="{FF2B5EF4-FFF2-40B4-BE49-F238E27FC236}">
              <a16:creationId xmlns:a16="http://schemas.microsoft.com/office/drawing/2014/main" id="{00000000-0008-0000-0100-00009A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691" name="Line 58">
          <a:extLst>
            <a:ext uri="{FF2B5EF4-FFF2-40B4-BE49-F238E27FC236}">
              <a16:creationId xmlns:a16="http://schemas.microsoft.com/office/drawing/2014/main" id="{00000000-0008-0000-0100-00009B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692" name="Line 59">
          <a:extLst>
            <a:ext uri="{FF2B5EF4-FFF2-40B4-BE49-F238E27FC236}">
              <a16:creationId xmlns:a16="http://schemas.microsoft.com/office/drawing/2014/main" id="{00000000-0008-0000-0100-00009C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693" name="Line 60">
          <a:extLst>
            <a:ext uri="{FF2B5EF4-FFF2-40B4-BE49-F238E27FC236}">
              <a16:creationId xmlns:a16="http://schemas.microsoft.com/office/drawing/2014/main" id="{00000000-0008-0000-0100-00009D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694" name="Line 61">
          <a:extLst>
            <a:ext uri="{FF2B5EF4-FFF2-40B4-BE49-F238E27FC236}">
              <a16:creationId xmlns:a16="http://schemas.microsoft.com/office/drawing/2014/main" id="{00000000-0008-0000-0100-00009E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695" name="Line 62">
          <a:extLst>
            <a:ext uri="{FF2B5EF4-FFF2-40B4-BE49-F238E27FC236}">
              <a16:creationId xmlns:a16="http://schemas.microsoft.com/office/drawing/2014/main" id="{00000000-0008-0000-0100-00009F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696" name="Line 63">
          <a:extLst>
            <a:ext uri="{FF2B5EF4-FFF2-40B4-BE49-F238E27FC236}">
              <a16:creationId xmlns:a16="http://schemas.microsoft.com/office/drawing/2014/main" id="{00000000-0008-0000-0100-0000A0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697" name="Line 64">
          <a:extLst>
            <a:ext uri="{FF2B5EF4-FFF2-40B4-BE49-F238E27FC236}">
              <a16:creationId xmlns:a16="http://schemas.microsoft.com/office/drawing/2014/main" id="{00000000-0008-0000-0100-0000A1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698" name="Line 65">
          <a:extLst>
            <a:ext uri="{FF2B5EF4-FFF2-40B4-BE49-F238E27FC236}">
              <a16:creationId xmlns:a16="http://schemas.microsoft.com/office/drawing/2014/main" id="{00000000-0008-0000-0100-0000A2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699" name="Line 66">
          <a:extLst>
            <a:ext uri="{FF2B5EF4-FFF2-40B4-BE49-F238E27FC236}">
              <a16:creationId xmlns:a16="http://schemas.microsoft.com/office/drawing/2014/main" id="{00000000-0008-0000-0100-0000A3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700" name="Line 67">
          <a:extLst>
            <a:ext uri="{FF2B5EF4-FFF2-40B4-BE49-F238E27FC236}">
              <a16:creationId xmlns:a16="http://schemas.microsoft.com/office/drawing/2014/main" id="{00000000-0008-0000-0100-0000A4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701" name="Line 68">
          <a:extLst>
            <a:ext uri="{FF2B5EF4-FFF2-40B4-BE49-F238E27FC236}">
              <a16:creationId xmlns:a16="http://schemas.microsoft.com/office/drawing/2014/main" id="{00000000-0008-0000-0100-0000A5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702" name="Line 1">
          <a:extLst>
            <a:ext uri="{FF2B5EF4-FFF2-40B4-BE49-F238E27FC236}">
              <a16:creationId xmlns:a16="http://schemas.microsoft.com/office/drawing/2014/main" id="{00000000-0008-0000-0100-0000A6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703" name="Drawing 16">
          <a:extLst>
            <a:ext uri="{FF2B5EF4-FFF2-40B4-BE49-F238E27FC236}">
              <a16:creationId xmlns:a16="http://schemas.microsoft.com/office/drawing/2014/main" id="{00000000-0008-0000-0100-0000A7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704" name="Line 3">
          <a:extLst>
            <a:ext uri="{FF2B5EF4-FFF2-40B4-BE49-F238E27FC236}">
              <a16:creationId xmlns:a16="http://schemas.microsoft.com/office/drawing/2014/main" id="{00000000-0008-0000-0100-0000A8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705" name="Line 4">
          <a:extLst>
            <a:ext uri="{FF2B5EF4-FFF2-40B4-BE49-F238E27FC236}">
              <a16:creationId xmlns:a16="http://schemas.microsoft.com/office/drawing/2014/main" id="{00000000-0008-0000-0100-0000A9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706" name="Line 5">
          <a:extLst>
            <a:ext uri="{FF2B5EF4-FFF2-40B4-BE49-F238E27FC236}">
              <a16:creationId xmlns:a16="http://schemas.microsoft.com/office/drawing/2014/main" id="{00000000-0008-0000-0100-0000AA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707" name="Line 6">
          <a:extLst>
            <a:ext uri="{FF2B5EF4-FFF2-40B4-BE49-F238E27FC236}">
              <a16:creationId xmlns:a16="http://schemas.microsoft.com/office/drawing/2014/main" id="{00000000-0008-0000-0100-0000AB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708" name="Line 7">
          <a:extLst>
            <a:ext uri="{FF2B5EF4-FFF2-40B4-BE49-F238E27FC236}">
              <a16:creationId xmlns:a16="http://schemas.microsoft.com/office/drawing/2014/main" id="{00000000-0008-0000-0100-0000AC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709" name="Line 8">
          <a:extLst>
            <a:ext uri="{FF2B5EF4-FFF2-40B4-BE49-F238E27FC236}">
              <a16:creationId xmlns:a16="http://schemas.microsoft.com/office/drawing/2014/main" id="{00000000-0008-0000-0100-0000AD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710" name="Line 9">
          <a:extLst>
            <a:ext uri="{FF2B5EF4-FFF2-40B4-BE49-F238E27FC236}">
              <a16:creationId xmlns:a16="http://schemas.microsoft.com/office/drawing/2014/main" id="{00000000-0008-0000-0100-0000AE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711" name="Line 10">
          <a:extLst>
            <a:ext uri="{FF2B5EF4-FFF2-40B4-BE49-F238E27FC236}">
              <a16:creationId xmlns:a16="http://schemas.microsoft.com/office/drawing/2014/main" id="{00000000-0008-0000-0100-0000AF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712" name="Line 11">
          <a:extLst>
            <a:ext uri="{FF2B5EF4-FFF2-40B4-BE49-F238E27FC236}">
              <a16:creationId xmlns:a16="http://schemas.microsoft.com/office/drawing/2014/main" id="{00000000-0008-0000-0100-0000B0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713" name="Line 12">
          <a:extLst>
            <a:ext uri="{FF2B5EF4-FFF2-40B4-BE49-F238E27FC236}">
              <a16:creationId xmlns:a16="http://schemas.microsoft.com/office/drawing/2014/main" id="{00000000-0008-0000-0100-0000B1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714" name="Line 13">
          <a:extLst>
            <a:ext uri="{FF2B5EF4-FFF2-40B4-BE49-F238E27FC236}">
              <a16:creationId xmlns:a16="http://schemas.microsoft.com/office/drawing/2014/main" id="{00000000-0008-0000-0100-0000B2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15" name="Line 14">
          <a:extLst>
            <a:ext uri="{FF2B5EF4-FFF2-40B4-BE49-F238E27FC236}">
              <a16:creationId xmlns:a16="http://schemas.microsoft.com/office/drawing/2014/main" id="{00000000-0008-0000-0100-0000B3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716" name="Line 15">
          <a:extLst>
            <a:ext uri="{FF2B5EF4-FFF2-40B4-BE49-F238E27FC236}">
              <a16:creationId xmlns:a16="http://schemas.microsoft.com/office/drawing/2014/main" id="{00000000-0008-0000-0100-0000B4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17" name="Line 16">
          <a:extLst>
            <a:ext uri="{FF2B5EF4-FFF2-40B4-BE49-F238E27FC236}">
              <a16:creationId xmlns:a16="http://schemas.microsoft.com/office/drawing/2014/main" id="{00000000-0008-0000-0100-0000B5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718" name="Line 17">
          <a:extLst>
            <a:ext uri="{FF2B5EF4-FFF2-40B4-BE49-F238E27FC236}">
              <a16:creationId xmlns:a16="http://schemas.microsoft.com/office/drawing/2014/main" id="{00000000-0008-0000-0100-0000B6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719" name="Line 18">
          <a:extLst>
            <a:ext uri="{FF2B5EF4-FFF2-40B4-BE49-F238E27FC236}">
              <a16:creationId xmlns:a16="http://schemas.microsoft.com/office/drawing/2014/main" id="{00000000-0008-0000-0100-0000B7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720" name="Line 19">
          <a:extLst>
            <a:ext uri="{FF2B5EF4-FFF2-40B4-BE49-F238E27FC236}">
              <a16:creationId xmlns:a16="http://schemas.microsoft.com/office/drawing/2014/main" id="{00000000-0008-0000-0100-0000B8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721" name="Line 20">
          <a:extLst>
            <a:ext uri="{FF2B5EF4-FFF2-40B4-BE49-F238E27FC236}">
              <a16:creationId xmlns:a16="http://schemas.microsoft.com/office/drawing/2014/main" id="{00000000-0008-0000-0100-0000B9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722" name="Line 21">
          <a:extLst>
            <a:ext uri="{FF2B5EF4-FFF2-40B4-BE49-F238E27FC236}">
              <a16:creationId xmlns:a16="http://schemas.microsoft.com/office/drawing/2014/main" id="{00000000-0008-0000-0100-0000BA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723" name="Line 22">
          <a:extLst>
            <a:ext uri="{FF2B5EF4-FFF2-40B4-BE49-F238E27FC236}">
              <a16:creationId xmlns:a16="http://schemas.microsoft.com/office/drawing/2014/main" id="{00000000-0008-0000-0100-0000BB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724" name="Line 23">
          <a:extLst>
            <a:ext uri="{FF2B5EF4-FFF2-40B4-BE49-F238E27FC236}">
              <a16:creationId xmlns:a16="http://schemas.microsoft.com/office/drawing/2014/main" id="{00000000-0008-0000-0100-0000BC06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725" name="Line 24">
          <a:extLst>
            <a:ext uri="{FF2B5EF4-FFF2-40B4-BE49-F238E27FC236}">
              <a16:creationId xmlns:a16="http://schemas.microsoft.com/office/drawing/2014/main" id="{00000000-0008-0000-0100-0000BD06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726" name="Line 25">
          <a:extLst>
            <a:ext uri="{FF2B5EF4-FFF2-40B4-BE49-F238E27FC236}">
              <a16:creationId xmlns:a16="http://schemas.microsoft.com/office/drawing/2014/main" id="{00000000-0008-0000-0100-0000BE06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727" name="Line 26">
          <a:extLst>
            <a:ext uri="{FF2B5EF4-FFF2-40B4-BE49-F238E27FC236}">
              <a16:creationId xmlns:a16="http://schemas.microsoft.com/office/drawing/2014/main" id="{00000000-0008-0000-0100-0000BF06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728" name="Line 27">
          <a:extLst>
            <a:ext uri="{FF2B5EF4-FFF2-40B4-BE49-F238E27FC236}">
              <a16:creationId xmlns:a16="http://schemas.microsoft.com/office/drawing/2014/main" id="{00000000-0008-0000-0100-0000C006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729" name="Line 28">
          <a:extLst>
            <a:ext uri="{FF2B5EF4-FFF2-40B4-BE49-F238E27FC236}">
              <a16:creationId xmlns:a16="http://schemas.microsoft.com/office/drawing/2014/main" id="{00000000-0008-0000-0100-0000C106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730" name="Line 29">
          <a:extLst>
            <a:ext uri="{FF2B5EF4-FFF2-40B4-BE49-F238E27FC236}">
              <a16:creationId xmlns:a16="http://schemas.microsoft.com/office/drawing/2014/main" id="{00000000-0008-0000-0100-0000C206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731" name="Line 30">
          <a:extLst>
            <a:ext uri="{FF2B5EF4-FFF2-40B4-BE49-F238E27FC236}">
              <a16:creationId xmlns:a16="http://schemas.microsoft.com/office/drawing/2014/main" id="{00000000-0008-0000-0100-0000C306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732" name="Line 31">
          <a:extLst>
            <a:ext uri="{FF2B5EF4-FFF2-40B4-BE49-F238E27FC236}">
              <a16:creationId xmlns:a16="http://schemas.microsoft.com/office/drawing/2014/main" id="{00000000-0008-0000-0100-0000C406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733" name="Line 32">
          <a:extLst>
            <a:ext uri="{FF2B5EF4-FFF2-40B4-BE49-F238E27FC236}">
              <a16:creationId xmlns:a16="http://schemas.microsoft.com/office/drawing/2014/main" id="{00000000-0008-0000-0100-0000C506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734" name="Line 33">
          <a:extLst>
            <a:ext uri="{FF2B5EF4-FFF2-40B4-BE49-F238E27FC236}">
              <a16:creationId xmlns:a16="http://schemas.microsoft.com/office/drawing/2014/main" id="{00000000-0008-0000-0100-0000C606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735" name="Line 34">
          <a:extLst>
            <a:ext uri="{FF2B5EF4-FFF2-40B4-BE49-F238E27FC236}">
              <a16:creationId xmlns:a16="http://schemas.microsoft.com/office/drawing/2014/main" id="{00000000-0008-0000-0100-0000C706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736" name="Line 35">
          <a:extLst>
            <a:ext uri="{FF2B5EF4-FFF2-40B4-BE49-F238E27FC236}">
              <a16:creationId xmlns:a16="http://schemas.microsoft.com/office/drawing/2014/main" id="{00000000-0008-0000-0100-0000C806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737" name="Line 36">
          <a:extLst>
            <a:ext uri="{FF2B5EF4-FFF2-40B4-BE49-F238E27FC236}">
              <a16:creationId xmlns:a16="http://schemas.microsoft.com/office/drawing/2014/main" id="{00000000-0008-0000-0100-0000C906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738" name="Line 37">
          <a:extLst>
            <a:ext uri="{FF2B5EF4-FFF2-40B4-BE49-F238E27FC236}">
              <a16:creationId xmlns:a16="http://schemas.microsoft.com/office/drawing/2014/main" id="{00000000-0008-0000-0100-0000CA06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739" name="Line 38">
          <a:extLst>
            <a:ext uri="{FF2B5EF4-FFF2-40B4-BE49-F238E27FC236}">
              <a16:creationId xmlns:a16="http://schemas.microsoft.com/office/drawing/2014/main" id="{00000000-0008-0000-0100-0000CB06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740" name="Line 39">
          <a:extLst>
            <a:ext uri="{FF2B5EF4-FFF2-40B4-BE49-F238E27FC236}">
              <a16:creationId xmlns:a16="http://schemas.microsoft.com/office/drawing/2014/main" id="{00000000-0008-0000-0100-0000CC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741" name="Line 40">
          <a:extLst>
            <a:ext uri="{FF2B5EF4-FFF2-40B4-BE49-F238E27FC236}">
              <a16:creationId xmlns:a16="http://schemas.microsoft.com/office/drawing/2014/main" id="{00000000-0008-0000-0100-0000CD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742" name="Line 41">
          <a:extLst>
            <a:ext uri="{FF2B5EF4-FFF2-40B4-BE49-F238E27FC236}">
              <a16:creationId xmlns:a16="http://schemas.microsoft.com/office/drawing/2014/main" id="{00000000-0008-0000-0100-0000CE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743" name="Rectangle 42">
          <a:extLst>
            <a:ext uri="{FF2B5EF4-FFF2-40B4-BE49-F238E27FC236}">
              <a16:creationId xmlns:a16="http://schemas.microsoft.com/office/drawing/2014/main" id="{00000000-0008-0000-0100-0000CF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744" name="Line 43">
          <a:extLst>
            <a:ext uri="{FF2B5EF4-FFF2-40B4-BE49-F238E27FC236}">
              <a16:creationId xmlns:a16="http://schemas.microsoft.com/office/drawing/2014/main" id="{00000000-0008-0000-0100-0000D0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745" name="Line 44">
          <a:extLst>
            <a:ext uri="{FF2B5EF4-FFF2-40B4-BE49-F238E27FC236}">
              <a16:creationId xmlns:a16="http://schemas.microsoft.com/office/drawing/2014/main" id="{00000000-0008-0000-0100-0000D1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746" name="Line 45">
          <a:extLst>
            <a:ext uri="{FF2B5EF4-FFF2-40B4-BE49-F238E27FC236}">
              <a16:creationId xmlns:a16="http://schemas.microsoft.com/office/drawing/2014/main" id="{00000000-0008-0000-0100-0000D2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747" name="Line 46">
          <a:extLst>
            <a:ext uri="{FF2B5EF4-FFF2-40B4-BE49-F238E27FC236}">
              <a16:creationId xmlns:a16="http://schemas.microsoft.com/office/drawing/2014/main" id="{00000000-0008-0000-0100-0000D3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748" name="Line 47">
          <a:extLst>
            <a:ext uri="{FF2B5EF4-FFF2-40B4-BE49-F238E27FC236}">
              <a16:creationId xmlns:a16="http://schemas.microsoft.com/office/drawing/2014/main" id="{00000000-0008-0000-0100-0000D4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749" name="Line 48">
          <a:extLst>
            <a:ext uri="{FF2B5EF4-FFF2-40B4-BE49-F238E27FC236}">
              <a16:creationId xmlns:a16="http://schemas.microsoft.com/office/drawing/2014/main" id="{00000000-0008-0000-0100-0000D5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750" name="Line 49">
          <a:extLst>
            <a:ext uri="{FF2B5EF4-FFF2-40B4-BE49-F238E27FC236}">
              <a16:creationId xmlns:a16="http://schemas.microsoft.com/office/drawing/2014/main" id="{00000000-0008-0000-0100-0000D6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751" name="Line 50">
          <a:extLst>
            <a:ext uri="{FF2B5EF4-FFF2-40B4-BE49-F238E27FC236}">
              <a16:creationId xmlns:a16="http://schemas.microsoft.com/office/drawing/2014/main" id="{00000000-0008-0000-0100-0000D7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752" name="Line 51">
          <a:extLst>
            <a:ext uri="{FF2B5EF4-FFF2-40B4-BE49-F238E27FC236}">
              <a16:creationId xmlns:a16="http://schemas.microsoft.com/office/drawing/2014/main" id="{00000000-0008-0000-0100-0000D8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753" name="Line 52">
          <a:extLst>
            <a:ext uri="{FF2B5EF4-FFF2-40B4-BE49-F238E27FC236}">
              <a16:creationId xmlns:a16="http://schemas.microsoft.com/office/drawing/2014/main" id="{00000000-0008-0000-0100-0000D9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754" name="Line 53">
          <a:extLst>
            <a:ext uri="{FF2B5EF4-FFF2-40B4-BE49-F238E27FC236}">
              <a16:creationId xmlns:a16="http://schemas.microsoft.com/office/drawing/2014/main" id="{00000000-0008-0000-0100-0000DA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755" name="Line 54">
          <a:extLst>
            <a:ext uri="{FF2B5EF4-FFF2-40B4-BE49-F238E27FC236}">
              <a16:creationId xmlns:a16="http://schemas.microsoft.com/office/drawing/2014/main" id="{00000000-0008-0000-0100-0000DB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756" name="Line 55">
          <a:extLst>
            <a:ext uri="{FF2B5EF4-FFF2-40B4-BE49-F238E27FC236}">
              <a16:creationId xmlns:a16="http://schemas.microsoft.com/office/drawing/2014/main" id="{00000000-0008-0000-0100-0000DC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757" name="Line 56">
          <a:extLst>
            <a:ext uri="{FF2B5EF4-FFF2-40B4-BE49-F238E27FC236}">
              <a16:creationId xmlns:a16="http://schemas.microsoft.com/office/drawing/2014/main" id="{00000000-0008-0000-0100-0000DD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758" name="Rectangle 57">
          <a:extLst>
            <a:ext uri="{FF2B5EF4-FFF2-40B4-BE49-F238E27FC236}">
              <a16:creationId xmlns:a16="http://schemas.microsoft.com/office/drawing/2014/main" id="{00000000-0008-0000-0100-0000DE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759" name="Line 58">
          <a:extLst>
            <a:ext uri="{FF2B5EF4-FFF2-40B4-BE49-F238E27FC236}">
              <a16:creationId xmlns:a16="http://schemas.microsoft.com/office/drawing/2014/main" id="{00000000-0008-0000-0100-0000DF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760" name="Line 59">
          <a:extLst>
            <a:ext uri="{FF2B5EF4-FFF2-40B4-BE49-F238E27FC236}">
              <a16:creationId xmlns:a16="http://schemas.microsoft.com/office/drawing/2014/main" id="{00000000-0008-0000-0100-0000E0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761" name="Line 60">
          <a:extLst>
            <a:ext uri="{FF2B5EF4-FFF2-40B4-BE49-F238E27FC236}">
              <a16:creationId xmlns:a16="http://schemas.microsoft.com/office/drawing/2014/main" id="{00000000-0008-0000-0100-0000E1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762" name="Line 61">
          <a:extLst>
            <a:ext uri="{FF2B5EF4-FFF2-40B4-BE49-F238E27FC236}">
              <a16:creationId xmlns:a16="http://schemas.microsoft.com/office/drawing/2014/main" id="{00000000-0008-0000-0100-0000E2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763" name="Line 62">
          <a:extLst>
            <a:ext uri="{FF2B5EF4-FFF2-40B4-BE49-F238E27FC236}">
              <a16:creationId xmlns:a16="http://schemas.microsoft.com/office/drawing/2014/main" id="{00000000-0008-0000-0100-0000E3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764" name="Line 63">
          <a:extLst>
            <a:ext uri="{FF2B5EF4-FFF2-40B4-BE49-F238E27FC236}">
              <a16:creationId xmlns:a16="http://schemas.microsoft.com/office/drawing/2014/main" id="{00000000-0008-0000-0100-0000E4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765" name="Line 64">
          <a:extLst>
            <a:ext uri="{FF2B5EF4-FFF2-40B4-BE49-F238E27FC236}">
              <a16:creationId xmlns:a16="http://schemas.microsoft.com/office/drawing/2014/main" id="{00000000-0008-0000-0100-0000E5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766" name="Line 65">
          <a:extLst>
            <a:ext uri="{FF2B5EF4-FFF2-40B4-BE49-F238E27FC236}">
              <a16:creationId xmlns:a16="http://schemas.microsoft.com/office/drawing/2014/main" id="{00000000-0008-0000-0100-0000E6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767" name="Line 66">
          <a:extLst>
            <a:ext uri="{FF2B5EF4-FFF2-40B4-BE49-F238E27FC236}">
              <a16:creationId xmlns:a16="http://schemas.microsoft.com/office/drawing/2014/main" id="{00000000-0008-0000-0100-0000E7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768" name="Line 67">
          <a:extLst>
            <a:ext uri="{FF2B5EF4-FFF2-40B4-BE49-F238E27FC236}">
              <a16:creationId xmlns:a16="http://schemas.microsoft.com/office/drawing/2014/main" id="{00000000-0008-0000-0100-0000E8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769" name="Line 68">
          <a:extLst>
            <a:ext uri="{FF2B5EF4-FFF2-40B4-BE49-F238E27FC236}">
              <a16:creationId xmlns:a16="http://schemas.microsoft.com/office/drawing/2014/main" id="{00000000-0008-0000-0100-0000E9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770" name="Line 1">
          <a:extLst>
            <a:ext uri="{FF2B5EF4-FFF2-40B4-BE49-F238E27FC236}">
              <a16:creationId xmlns:a16="http://schemas.microsoft.com/office/drawing/2014/main" id="{00000000-0008-0000-0100-0000EA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771" name="Drawing 16">
          <a:extLst>
            <a:ext uri="{FF2B5EF4-FFF2-40B4-BE49-F238E27FC236}">
              <a16:creationId xmlns:a16="http://schemas.microsoft.com/office/drawing/2014/main" id="{00000000-0008-0000-0100-0000EB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772" name="Line 3">
          <a:extLst>
            <a:ext uri="{FF2B5EF4-FFF2-40B4-BE49-F238E27FC236}">
              <a16:creationId xmlns:a16="http://schemas.microsoft.com/office/drawing/2014/main" id="{00000000-0008-0000-0100-0000EC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773" name="Line 4">
          <a:extLst>
            <a:ext uri="{FF2B5EF4-FFF2-40B4-BE49-F238E27FC236}">
              <a16:creationId xmlns:a16="http://schemas.microsoft.com/office/drawing/2014/main" id="{00000000-0008-0000-0100-0000ED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774" name="Line 5">
          <a:extLst>
            <a:ext uri="{FF2B5EF4-FFF2-40B4-BE49-F238E27FC236}">
              <a16:creationId xmlns:a16="http://schemas.microsoft.com/office/drawing/2014/main" id="{00000000-0008-0000-0100-0000EE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775" name="Line 6">
          <a:extLst>
            <a:ext uri="{FF2B5EF4-FFF2-40B4-BE49-F238E27FC236}">
              <a16:creationId xmlns:a16="http://schemas.microsoft.com/office/drawing/2014/main" id="{00000000-0008-0000-0100-0000EF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776" name="Line 7">
          <a:extLst>
            <a:ext uri="{FF2B5EF4-FFF2-40B4-BE49-F238E27FC236}">
              <a16:creationId xmlns:a16="http://schemas.microsoft.com/office/drawing/2014/main" id="{00000000-0008-0000-0100-0000F0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777" name="Line 8">
          <a:extLst>
            <a:ext uri="{FF2B5EF4-FFF2-40B4-BE49-F238E27FC236}">
              <a16:creationId xmlns:a16="http://schemas.microsoft.com/office/drawing/2014/main" id="{00000000-0008-0000-0100-0000F1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778" name="Line 9">
          <a:extLst>
            <a:ext uri="{FF2B5EF4-FFF2-40B4-BE49-F238E27FC236}">
              <a16:creationId xmlns:a16="http://schemas.microsoft.com/office/drawing/2014/main" id="{00000000-0008-0000-0100-0000F2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779" name="Line 10">
          <a:extLst>
            <a:ext uri="{FF2B5EF4-FFF2-40B4-BE49-F238E27FC236}">
              <a16:creationId xmlns:a16="http://schemas.microsoft.com/office/drawing/2014/main" id="{00000000-0008-0000-0100-0000F3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780" name="Line 11">
          <a:extLst>
            <a:ext uri="{FF2B5EF4-FFF2-40B4-BE49-F238E27FC236}">
              <a16:creationId xmlns:a16="http://schemas.microsoft.com/office/drawing/2014/main" id="{00000000-0008-0000-0100-0000F4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781" name="Line 12">
          <a:extLst>
            <a:ext uri="{FF2B5EF4-FFF2-40B4-BE49-F238E27FC236}">
              <a16:creationId xmlns:a16="http://schemas.microsoft.com/office/drawing/2014/main" id="{00000000-0008-0000-0100-0000F5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782" name="Line 13">
          <a:extLst>
            <a:ext uri="{FF2B5EF4-FFF2-40B4-BE49-F238E27FC236}">
              <a16:creationId xmlns:a16="http://schemas.microsoft.com/office/drawing/2014/main" id="{00000000-0008-0000-0100-0000F6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83" name="Line 14">
          <a:extLst>
            <a:ext uri="{FF2B5EF4-FFF2-40B4-BE49-F238E27FC236}">
              <a16:creationId xmlns:a16="http://schemas.microsoft.com/office/drawing/2014/main" id="{00000000-0008-0000-0100-0000F7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784" name="Line 15">
          <a:extLst>
            <a:ext uri="{FF2B5EF4-FFF2-40B4-BE49-F238E27FC236}">
              <a16:creationId xmlns:a16="http://schemas.microsoft.com/office/drawing/2014/main" id="{00000000-0008-0000-0100-0000F8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85" name="Line 16">
          <a:extLst>
            <a:ext uri="{FF2B5EF4-FFF2-40B4-BE49-F238E27FC236}">
              <a16:creationId xmlns:a16="http://schemas.microsoft.com/office/drawing/2014/main" id="{00000000-0008-0000-0100-0000F9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786" name="Line 17">
          <a:extLst>
            <a:ext uri="{FF2B5EF4-FFF2-40B4-BE49-F238E27FC236}">
              <a16:creationId xmlns:a16="http://schemas.microsoft.com/office/drawing/2014/main" id="{00000000-0008-0000-0100-0000FA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787" name="Line 18">
          <a:extLst>
            <a:ext uri="{FF2B5EF4-FFF2-40B4-BE49-F238E27FC236}">
              <a16:creationId xmlns:a16="http://schemas.microsoft.com/office/drawing/2014/main" id="{00000000-0008-0000-0100-0000FB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788" name="Line 19">
          <a:extLst>
            <a:ext uri="{FF2B5EF4-FFF2-40B4-BE49-F238E27FC236}">
              <a16:creationId xmlns:a16="http://schemas.microsoft.com/office/drawing/2014/main" id="{00000000-0008-0000-0100-0000FC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789" name="Line 20">
          <a:extLst>
            <a:ext uri="{FF2B5EF4-FFF2-40B4-BE49-F238E27FC236}">
              <a16:creationId xmlns:a16="http://schemas.microsoft.com/office/drawing/2014/main" id="{00000000-0008-0000-0100-0000FD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790" name="Line 21">
          <a:extLst>
            <a:ext uri="{FF2B5EF4-FFF2-40B4-BE49-F238E27FC236}">
              <a16:creationId xmlns:a16="http://schemas.microsoft.com/office/drawing/2014/main" id="{00000000-0008-0000-0100-0000FE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791" name="Line 22">
          <a:extLst>
            <a:ext uri="{FF2B5EF4-FFF2-40B4-BE49-F238E27FC236}">
              <a16:creationId xmlns:a16="http://schemas.microsoft.com/office/drawing/2014/main" id="{00000000-0008-0000-0100-0000FF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792" name="Line 23">
          <a:extLst>
            <a:ext uri="{FF2B5EF4-FFF2-40B4-BE49-F238E27FC236}">
              <a16:creationId xmlns:a16="http://schemas.microsoft.com/office/drawing/2014/main" id="{00000000-0008-0000-0100-000000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793" name="Line 24">
          <a:extLst>
            <a:ext uri="{FF2B5EF4-FFF2-40B4-BE49-F238E27FC236}">
              <a16:creationId xmlns:a16="http://schemas.microsoft.com/office/drawing/2014/main" id="{00000000-0008-0000-0100-000001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794" name="Line 25">
          <a:extLst>
            <a:ext uri="{FF2B5EF4-FFF2-40B4-BE49-F238E27FC236}">
              <a16:creationId xmlns:a16="http://schemas.microsoft.com/office/drawing/2014/main" id="{00000000-0008-0000-0100-000002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795" name="Line 26">
          <a:extLst>
            <a:ext uri="{FF2B5EF4-FFF2-40B4-BE49-F238E27FC236}">
              <a16:creationId xmlns:a16="http://schemas.microsoft.com/office/drawing/2014/main" id="{00000000-0008-0000-0100-000003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796" name="Line 27">
          <a:extLst>
            <a:ext uri="{FF2B5EF4-FFF2-40B4-BE49-F238E27FC236}">
              <a16:creationId xmlns:a16="http://schemas.microsoft.com/office/drawing/2014/main" id="{00000000-0008-0000-0100-000004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797" name="Line 28">
          <a:extLst>
            <a:ext uri="{FF2B5EF4-FFF2-40B4-BE49-F238E27FC236}">
              <a16:creationId xmlns:a16="http://schemas.microsoft.com/office/drawing/2014/main" id="{00000000-0008-0000-0100-000005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798" name="Line 29">
          <a:extLst>
            <a:ext uri="{FF2B5EF4-FFF2-40B4-BE49-F238E27FC236}">
              <a16:creationId xmlns:a16="http://schemas.microsoft.com/office/drawing/2014/main" id="{00000000-0008-0000-0100-000006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799" name="Line 30">
          <a:extLst>
            <a:ext uri="{FF2B5EF4-FFF2-40B4-BE49-F238E27FC236}">
              <a16:creationId xmlns:a16="http://schemas.microsoft.com/office/drawing/2014/main" id="{00000000-0008-0000-0100-000007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800" name="Line 31">
          <a:extLst>
            <a:ext uri="{FF2B5EF4-FFF2-40B4-BE49-F238E27FC236}">
              <a16:creationId xmlns:a16="http://schemas.microsoft.com/office/drawing/2014/main" id="{00000000-0008-0000-0100-000008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801" name="Line 32">
          <a:extLst>
            <a:ext uri="{FF2B5EF4-FFF2-40B4-BE49-F238E27FC236}">
              <a16:creationId xmlns:a16="http://schemas.microsoft.com/office/drawing/2014/main" id="{00000000-0008-0000-0100-000009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802" name="Line 33">
          <a:extLst>
            <a:ext uri="{FF2B5EF4-FFF2-40B4-BE49-F238E27FC236}">
              <a16:creationId xmlns:a16="http://schemas.microsoft.com/office/drawing/2014/main" id="{00000000-0008-0000-0100-00000A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803" name="Line 34">
          <a:extLst>
            <a:ext uri="{FF2B5EF4-FFF2-40B4-BE49-F238E27FC236}">
              <a16:creationId xmlns:a16="http://schemas.microsoft.com/office/drawing/2014/main" id="{00000000-0008-0000-0100-00000B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804" name="Line 35">
          <a:extLst>
            <a:ext uri="{FF2B5EF4-FFF2-40B4-BE49-F238E27FC236}">
              <a16:creationId xmlns:a16="http://schemas.microsoft.com/office/drawing/2014/main" id="{00000000-0008-0000-0100-00000C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805" name="Line 36">
          <a:extLst>
            <a:ext uri="{FF2B5EF4-FFF2-40B4-BE49-F238E27FC236}">
              <a16:creationId xmlns:a16="http://schemas.microsoft.com/office/drawing/2014/main" id="{00000000-0008-0000-0100-00000D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806" name="Line 37">
          <a:extLst>
            <a:ext uri="{FF2B5EF4-FFF2-40B4-BE49-F238E27FC236}">
              <a16:creationId xmlns:a16="http://schemas.microsoft.com/office/drawing/2014/main" id="{00000000-0008-0000-0100-00000E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807" name="Line 38">
          <a:extLst>
            <a:ext uri="{FF2B5EF4-FFF2-40B4-BE49-F238E27FC236}">
              <a16:creationId xmlns:a16="http://schemas.microsoft.com/office/drawing/2014/main" id="{00000000-0008-0000-0100-00000F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808" name="Line 39">
          <a:extLst>
            <a:ext uri="{FF2B5EF4-FFF2-40B4-BE49-F238E27FC236}">
              <a16:creationId xmlns:a16="http://schemas.microsoft.com/office/drawing/2014/main" id="{00000000-0008-0000-0100-000010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809" name="Line 40">
          <a:extLst>
            <a:ext uri="{FF2B5EF4-FFF2-40B4-BE49-F238E27FC236}">
              <a16:creationId xmlns:a16="http://schemas.microsoft.com/office/drawing/2014/main" id="{00000000-0008-0000-0100-000011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810" name="Line 41">
          <a:extLst>
            <a:ext uri="{FF2B5EF4-FFF2-40B4-BE49-F238E27FC236}">
              <a16:creationId xmlns:a16="http://schemas.microsoft.com/office/drawing/2014/main" id="{00000000-0008-0000-0100-000012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811" name="Rectangle 42">
          <a:extLst>
            <a:ext uri="{FF2B5EF4-FFF2-40B4-BE49-F238E27FC236}">
              <a16:creationId xmlns:a16="http://schemas.microsoft.com/office/drawing/2014/main" id="{00000000-0008-0000-0100-000013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12" name="Line 43">
          <a:extLst>
            <a:ext uri="{FF2B5EF4-FFF2-40B4-BE49-F238E27FC236}">
              <a16:creationId xmlns:a16="http://schemas.microsoft.com/office/drawing/2014/main" id="{00000000-0008-0000-0100-000014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13" name="Line 44">
          <a:extLst>
            <a:ext uri="{FF2B5EF4-FFF2-40B4-BE49-F238E27FC236}">
              <a16:creationId xmlns:a16="http://schemas.microsoft.com/office/drawing/2014/main" id="{00000000-0008-0000-0100-000015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814" name="Line 45">
          <a:extLst>
            <a:ext uri="{FF2B5EF4-FFF2-40B4-BE49-F238E27FC236}">
              <a16:creationId xmlns:a16="http://schemas.microsoft.com/office/drawing/2014/main" id="{00000000-0008-0000-0100-000016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815" name="Line 46">
          <a:extLst>
            <a:ext uri="{FF2B5EF4-FFF2-40B4-BE49-F238E27FC236}">
              <a16:creationId xmlns:a16="http://schemas.microsoft.com/office/drawing/2014/main" id="{00000000-0008-0000-0100-000017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816" name="Line 47">
          <a:extLst>
            <a:ext uri="{FF2B5EF4-FFF2-40B4-BE49-F238E27FC236}">
              <a16:creationId xmlns:a16="http://schemas.microsoft.com/office/drawing/2014/main" id="{00000000-0008-0000-0100-000018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817" name="Line 48">
          <a:extLst>
            <a:ext uri="{FF2B5EF4-FFF2-40B4-BE49-F238E27FC236}">
              <a16:creationId xmlns:a16="http://schemas.microsoft.com/office/drawing/2014/main" id="{00000000-0008-0000-0100-000019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818" name="Line 49">
          <a:extLst>
            <a:ext uri="{FF2B5EF4-FFF2-40B4-BE49-F238E27FC236}">
              <a16:creationId xmlns:a16="http://schemas.microsoft.com/office/drawing/2014/main" id="{00000000-0008-0000-0100-00001A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819" name="Line 50">
          <a:extLst>
            <a:ext uri="{FF2B5EF4-FFF2-40B4-BE49-F238E27FC236}">
              <a16:creationId xmlns:a16="http://schemas.microsoft.com/office/drawing/2014/main" id="{00000000-0008-0000-0100-00001B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820" name="Line 51">
          <a:extLst>
            <a:ext uri="{FF2B5EF4-FFF2-40B4-BE49-F238E27FC236}">
              <a16:creationId xmlns:a16="http://schemas.microsoft.com/office/drawing/2014/main" id="{00000000-0008-0000-0100-00001C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821" name="Line 52">
          <a:extLst>
            <a:ext uri="{FF2B5EF4-FFF2-40B4-BE49-F238E27FC236}">
              <a16:creationId xmlns:a16="http://schemas.microsoft.com/office/drawing/2014/main" id="{00000000-0008-0000-0100-00001D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822" name="Line 53">
          <a:extLst>
            <a:ext uri="{FF2B5EF4-FFF2-40B4-BE49-F238E27FC236}">
              <a16:creationId xmlns:a16="http://schemas.microsoft.com/office/drawing/2014/main" id="{00000000-0008-0000-0100-00001E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823" name="Line 54">
          <a:extLst>
            <a:ext uri="{FF2B5EF4-FFF2-40B4-BE49-F238E27FC236}">
              <a16:creationId xmlns:a16="http://schemas.microsoft.com/office/drawing/2014/main" id="{00000000-0008-0000-0100-00001F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824" name="Line 55">
          <a:extLst>
            <a:ext uri="{FF2B5EF4-FFF2-40B4-BE49-F238E27FC236}">
              <a16:creationId xmlns:a16="http://schemas.microsoft.com/office/drawing/2014/main" id="{00000000-0008-0000-0100-000020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825" name="Line 56">
          <a:extLst>
            <a:ext uri="{FF2B5EF4-FFF2-40B4-BE49-F238E27FC236}">
              <a16:creationId xmlns:a16="http://schemas.microsoft.com/office/drawing/2014/main" id="{00000000-0008-0000-0100-000021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826" name="Rectangle 57">
          <a:extLst>
            <a:ext uri="{FF2B5EF4-FFF2-40B4-BE49-F238E27FC236}">
              <a16:creationId xmlns:a16="http://schemas.microsoft.com/office/drawing/2014/main" id="{00000000-0008-0000-0100-000022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827" name="Line 58">
          <a:extLst>
            <a:ext uri="{FF2B5EF4-FFF2-40B4-BE49-F238E27FC236}">
              <a16:creationId xmlns:a16="http://schemas.microsoft.com/office/drawing/2014/main" id="{00000000-0008-0000-0100-000023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828" name="Line 59">
          <a:extLst>
            <a:ext uri="{FF2B5EF4-FFF2-40B4-BE49-F238E27FC236}">
              <a16:creationId xmlns:a16="http://schemas.microsoft.com/office/drawing/2014/main" id="{00000000-0008-0000-0100-000024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829" name="Line 60">
          <a:extLst>
            <a:ext uri="{FF2B5EF4-FFF2-40B4-BE49-F238E27FC236}">
              <a16:creationId xmlns:a16="http://schemas.microsoft.com/office/drawing/2014/main" id="{00000000-0008-0000-0100-000025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830" name="Line 61">
          <a:extLst>
            <a:ext uri="{FF2B5EF4-FFF2-40B4-BE49-F238E27FC236}">
              <a16:creationId xmlns:a16="http://schemas.microsoft.com/office/drawing/2014/main" id="{00000000-0008-0000-0100-000026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831" name="Line 62">
          <a:extLst>
            <a:ext uri="{FF2B5EF4-FFF2-40B4-BE49-F238E27FC236}">
              <a16:creationId xmlns:a16="http://schemas.microsoft.com/office/drawing/2014/main" id="{00000000-0008-0000-0100-000027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832" name="Line 63">
          <a:extLst>
            <a:ext uri="{FF2B5EF4-FFF2-40B4-BE49-F238E27FC236}">
              <a16:creationId xmlns:a16="http://schemas.microsoft.com/office/drawing/2014/main" id="{00000000-0008-0000-0100-000028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833" name="Line 64">
          <a:extLst>
            <a:ext uri="{FF2B5EF4-FFF2-40B4-BE49-F238E27FC236}">
              <a16:creationId xmlns:a16="http://schemas.microsoft.com/office/drawing/2014/main" id="{00000000-0008-0000-0100-000029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834" name="Line 65">
          <a:extLst>
            <a:ext uri="{FF2B5EF4-FFF2-40B4-BE49-F238E27FC236}">
              <a16:creationId xmlns:a16="http://schemas.microsoft.com/office/drawing/2014/main" id="{00000000-0008-0000-0100-00002A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835" name="Line 66">
          <a:extLst>
            <a:ext uri="{FF2B5EF4-FFF2-40B4-BE49-F238E27FC236}">
              <a16:creationId xmlns:a16="http://schemas.microsoft.com/office/drawing/2014/main" id="{00000000-0008-0000-0100-00002B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836" name="Line 67">
          <a:extLst>
            <a:ext uri="{FF2B5EF4-FFF2-40B4-BE49-F238E27FC236}">
              <a16:creationId xmlns:a16="http://schemas.microsoft.com/office/drawing/2014/main" id="{00000000-0008-0000-0100-00002C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837" name="Line 68">
          <a:extLst>
            <a:ext uri="{FF2B5EF4-FFF2-40B4-BE49-F238E27FC236}">
              <a16:creationId xmlns:a16="http://schemas.microsoft.com/office/drawing/2014/main" id="{00000000-0008-0000-0100-00002D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838" name="Line 1">
          <a:extLst>
            <a:ext uri="{FF2B5EF4-FFF2-40B4-BE49-F238E27FC236}">
              <a16:creationId xmlns:a16="http://schemas.microsoft.com/office/drawing/2014/main" id="{00000000-0008-0000-0100-00002E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839" name="Drawing 16">
          <a:extLst>
            <a:ext uri="{FF2B5EF4-FFF2-40B4-BE49-F238E27FC236}">
              <a16:creationId xmlns:a16="http://schemas.microsoft.com/office/drawing/2014/main" id="{00000000-0008-0000-0100-00002F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840" name="Line 3">
          <a:extLst>
            <a:ext uri="{FF2B5EF4-FFF2-40B4-BE49-F238E27FC236}">
              <a16:creationId xmlns:a16="http://schemas.microsoft.com/office/drawing/2014/main" id="{00000000-0008-0000-0100-000030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841" name="Line 4">
          <a:extLst>
            <a:ext uri="{FF2B5EF4-FFF2-40B4-BE49-F238E27FC236}">
              <a16:creationId xmlns:a16="http://schemas.microsoft.com/office/drawing/2014/main" id="{00000000-0008-0000-0100-000031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842" name="Line 5">
          <a:extLst>
            <a:ext uri="{FF2B5EF4-FFF2-40B4-BE49-F238E27FC236}">
              <a16:creationId xmlns:a16="http://schemas.microsoft.com/office/drawing/2014/main" id="{00000000-0008-0000-0100-000032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843" name="Line 6">
          <a:extLst>
            <a:ext uri="{FF2B5EF4-FFF2-40B4-BE49-F238E27FC236}">
              <a16:creationId xmlns:a16="http://schemas.microsoft.com/office/drawing/2014/main" id="{00000000-0008-0000-0100-000033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844" name="Line 7">
          <a:extLst>
            <a:ext uri="{FF2B5EF4-FFF2-40B4-BE49-F238E27FC236}">
              <a16:creationId xmlns:a16="http://schemas.microsoft.com/office/drawing/2014/main" id="{00000000-0008-0000-0100-00003407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845" name="Line 8">
          <a:extLst>
            <a:ext uri="{FF2B5EF4-FFF2-40B4-BE49-F238E27FC236}">
              <a16:creationId xmlns:a16="http://schemas.microsoft.com/office/drawing/2014/main" id="{00000000-0008-0000-0100-00003507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846" name="Line 9">
          <a:extLst>
            <a:ext uri="{FF2B5EF4-FFF2-40B4-BE49-F238E27FC236}">
              <a16:creationId xmlns:a16="http://schemas.microsoft.com/office/drawing/2014/main" id="{00000000-0008-0000-0100-00003607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847" name="Line 10">
          <a:extLst>
            <a:ext uri="{FF2B5EF4-FFF2-40B4-BE49-F238E27FC236}">
              <a16:creationId xmlns:a16="http://schemas.microsoft.com/office/drawing/2014/main" id="{00000000-0008-0000-0100-00003707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848" name="Line 11">
          <a:extLst>
            <a:ext uri="{FF2B5EF4-FFF2-40B4-BE49-F238E27FC236}">
              <a16:creationId xmlns:a16="http://schemas.microsoft.com/office/drawing/2014/main" id="{00000000-0008-0000-0100-00003807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849" name="Line 12">
          <a:extLst>
            <a:ext uri="{FF2B5EF4-FFF2-40B4-BE49-F238E27FC236}">
              <a16:creationId xmlns:a16="http://schemas.microsoft.com/office/drawing/2014/main" id="{00000000-0008-0000-0100-00003907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850" name="Line 13">
          <a:extLst>
            <a:ext uri="{FF2B5EF4-FFF2-40B4-BE49-F238E27FC236}">
              <a16:creationId xmlns:a16="http://schemas.microsoft.com/office/drawing/2014/main" id="{00000000-0008-0000-0100-00003A07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851" name="Line 14">
          <a:extLst>
            <a:ext uri="{FF2B5EF4-FFF2-40B4-BE49-F238E27FC236}">
              <a16:creationId xmlns:a16="http://schemas.microsoft.com/office/drawing/2014/main" id="{00000000-0008-0000-0100-00003B07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852" name="Line 15">
          <a:extLst>
            <a:ext uri="{FF2B5EF4-FFF2-40B4-BE49-F238E27FC236}">
              <a16:creationId xmlns:a16="http://schemas.microsoft.com/office/drawing/2014/main" id="{00000000-0008-0000-0100-00003C07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853" name="Line 16">
          <a:extLst>
            <a:ext uri="{FF2B5EF4-FFF2-40B4-BE49-F238E27FC236}">
              <a16:creationId xmlns:a16="http://schemas.microsoft.com/office/drawing/2014/main" id="{00000000-0008-0000-0100-00003D07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854" name="Line 17">
          <a:extLst>
            <a:ext uri="{FF2B5EF4-FFF2-40B4-BE49-F238E27FC236}">
              <a16:creationId xmlns:a16="http://schemas.microsoft.com/office/drawing/2014/main" id="{00000000-0008-0000-0100-00003E07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855" name="Line 18">
          <a:extLst>
            <a:ext uri="{FF2B5EF4-FFF2-40B4-BE49-F238E27FC236}">
              <a16:creationId xmlns:a16="http://schemas.microsoft.com/office/drawing/2014/main" id="{00000000-0008-0000-0100-00003F07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856" name="Line 19">
          <a:extLst>
            <a:ext uri="{FF2B5EF4-FFF2-40B4-BE49-F238E27FC236}">
              <a16:creationId xmlns:a16="http://schemas.microsoft.com/office/drawing/2014/main" id="{00000000-0008-0000-0100-00004007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857" name="Line 20">
          <a:extLst>
            <a:ext uri="{FF2B5EF4-FFF2-40B4-BE49-F238E27FC236}">
              <a16:creationId xmlns:a16="http://schemas.microsoft.com/office/drawing/2014/main" id="{00000000-0008-0000-0100-00004107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858" name="Line 21">
          <a:extLst>
            <a:ext uri="{FF2B5EF4-FFF2-40B4-BE49-F238E27FC236}">
              <a16:creationId xmlns:a16="http://schemas.microsoft.com/office/drawing/2014/main" id="{00000000-0008-0000-0100-00004207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859" name="Line 22">
          <a:extLst>
            <a:ext uri="{FF2B5EF4-FFF2-40B4-BE49-F238E27FC236}">
              <a16:creationId xmlns:a16="http://schemas.microsoft.com/office/drawing/2014/main" id="{00000000-0008-0000-0100-00004307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860" name="Line 23">
          <a:extLst>
            <a:ext uri="{FF2B5EF4-FFF2-40B4-BE49-F238E27FC236}">
              <a16:creationId xmlns:a16="http://schemas.microsoft.com/office/drawing/2014/main" id="{00000000-0008-0000-0100-000044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861" name="Line 24">
          <a:extLst>
            <a:ext uri="{FF2B5EF4-FFF2-40B4-BE49-F238E27FC236}">
              <a16:creationId xmlns:a16="http://schemas.microsoft.com/office/drawing/2014/main" id="{00000000-0008-0000-0100-000045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862" name="Line 25">
          <a:extLst>
            <a:ext uri="{FF2B5EF4-FFF2-40B4-BE49-F238E27FC236}">
              <a16:creationId xmlns:a16="http://schemas.microsoft.com/office/drawing/2014/main" id="{00000000-0008-0000-0100-000046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863" name="Line 26">
          <a:extLst>
            <a:ext uri="{FF2B5EF4-FFF2-40B4-BE49-F238E27FC236}">
              <a16:creationId xmlns:a16="http://schemas.microsoft.com/office/drawing/2014/main" id="{00000000-0008-0000-0100-000047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864" name="Line 27">
          <a:extLst>
            <a:ext uri="{FF2B5EF4-FFF2-40B4-BE49-F238E27FC236}">
              <a16:creationId xmlns:a16="http://schemas.microsoft.com/office/drawing/2014/main" id="{00000000-0008-0000-0100-000048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865" name="Line 28">
          <a:extLst>
            <a:ext uri="{FF2B5EF4-FFF2-40B4-BE49-F238E27FC236}">
              <a16:creationId xmlns:a16="http://schemas.microsoft.com/office/drawing/2014/main" id="{00000000-0008-0000-0100-000049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866" name="Line 29">
          <a:extLst>
            <a:ext uri="{FF2B5EF4-FFF2-40B4-BE49-F238E27FC236}">
              <a16:creationId xmlns:a16="http://schemas.microsoft.com/office/drawing/2014/main" id="{00000000-0008-0000-0100-00004A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867" name="Line 30">
          <a:extLst>
            <a:ext uri="{FF2B5EF4-FFF2-40B4-BE49-F238E27FC236}">
              <a16:creationId xmlns:a16="http://schemas.microsoft.com/office/drawing/2014/main" id="{00000000-0008-0000-0100-00004B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868" name="Line 31">
          <a:extLst>
            <a:ext uri="{FF2B5EF4-FFF2-40B4-BE49-F238E27FC236}">
              <a16:creationId xmlns:a16="http://schemas.microsoft.com/office/drawing/2014/main" id="{00000000-0008-0000-0100-00004C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869" name="Line 32">
          <a:extLst>
            <a:ext uri="{FF2B5EF4-FFF2-40B4-BE49-F238E27FC236}">
              <a16:creationId xmlns:a16="http://schemas.microsoft.com/office/drawing/2014/main" id="{00000000-0008-0000-0100-00004D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870" name="Line 33">
          <a:extLst>
            <a:ext uri="{FF2B5EF4-FFF2-40B4-BE49-F238E27FC236}">
              <a16:creationId xmlns:a16="http://schemas.microsoft.com/office/drawing/2014/main" id="{00000000-0008-0000-0100-00004E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871" name="Line 34">
          <a:extLst>
            <a:ext uri="{FF2B5EF4-FFF2-40B4-BE49-F238E27FC236}">
              <a16:creationId xmlns:a16="http://schemas.microsoft.com/office/drawing/2014/main" id="{00000000-0008-0000-0100-00004F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872" name="Line 35">
          <a:extLst>
            <a:ext uri="{FF2B5EF4-FFF2-40B4-BE49-F238E27FC236}">
              <a16:creationId xmlns:a16="http://schemas.microsoft.com/office/drawing/2014/main" id="{00000000-0008-0000-0100-000050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873" name="Line 36">
          <a:extLst>
            <a:ext uri="{FF2B5EF4-FFF2-40B4-BE49-F238E27FC236}">
              <a16:creationId xmlns:a16="http://schemas.microsoft.com/office/drawing/2014/main" id="{00000000-0008-0000-0100-000051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874" name="Line 37">
          <a:extLst>
            <a:ext uri="{FF2B5EF4-FFF2-40B4-BE49-F238E27FC236}">
              <a16:creationId xmlns:a16="http://schemas.microsoft.com/office/drawing/2014/main" id="{00000000-0008-0000-0100-000052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875" name="Line 38">
          <a:extLst>
            <a:ext uri="{FF2B5EF4-FFF2-40B4-BE49-F238E27FC236}">
              <a16:creationId xmlns:a16="http://schemas.microsoft.com/office/drawing/2014/main" id="{00000000-0008-0000-0100-000053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876" name="Line 39">
          <a:extLst>
            <a:ext uri="{FF2B5EF4-FFF2-40B4-BE49-F238E27FC236}">
              <a16:creationId xmlns:a16="http://schemas.microsoft.com/office/drawing/2014/main" id="{00000000-0008-0000-0100-000054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877" name="Line 40">
          <a:extLst>
            <a:ext uri="{FF2B5EF4-FFF2-40B4-BE49-F238E27FC236}">
              <a16:creationId xmlns:a16="http://schemas.microsoft.com/office/drawing/2014/main" id="{00000000-0008-0000-0100-000055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878" name="Line 41">
          <a:extLst>
            <a:ext uri="{FF2B5EF4-FFF2-40B4-BE49-F238E27FC236}">
              <a16:creationId xmlns:a16="http://schemas.microsoft.com/office/drawing/2014/main" id="{00000000-0008-0000-0100-000056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879" name="Rectangle 42">
          <a:extLst>
            <a:ext uri="{FF2B5EF4-FFF2-40B4-BE49-F238E27FC236}">
              <a16:creationId xmlns:a16="http://schemas.microsoft.com/office/drawing/2014/main" id="{00000000-0008-0000-0100-000057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80" name="Line 43">
          <a:extLst>
            <a:ext uri="{FF2B5EF4-FFF2-40B4-BE49-F238E27FC236}">
              <a16:creationId xmlns:a16="http://schemas.microsoft.com/office/drawing/2014/main" id="{00000000-0008-0000-0100-000058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81" name="Line 44">
          <a:extLst>
            <a:ext uri="{FF2B5EF4-FFF2-40B4-BE49-F238E27FC236}">
              <a16:creationId xmlns:a16="http://schemas.microsoft.com/office/drawing/2014/main" id="{00000000-0008-0000-0100-000059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882" name="Line 45">
          <a:extLst>
            <a:ext uri="{FF2B5EF4-FFF2-40B4-BE49-F238E27FC236}">
              <a16:creationId xmlns:a16="http://schemas.microsoft.com/office/drawing/2014/main" id="{00000000-0008-0000-0100-00005A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883" name="Line 46">
          <a:extLst>
            <a:ext uri="{FF2B5EF4-FFF2-40B4-BE49-F238E27FC236}">
              <a16:creationId xmlns:a16="http://schemas.microsoft.com/office/drawing/2014/main" id="{00000000-0008-0000-0100-00005B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884" name="Line 47">
          <a:extLst>
            <a:ext uri="{FF2B5EF4-FFF2-40B4-BE49-F238E27FC236}">
              <a16:creationId xmlns:a16="http://schemas.microsoft.com/office/drawing/2014/main" id="{00000000-0008-0000-0100-00005C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885" name="Line 48">
          <a:extLst>
            <a:ext uri="{FF2B5EF4-FFF2-40B4-BE49-F238E27FC236}">
              <a16:creationId xmlns:a16="http://schemas.microsoft.com/office/drawing/2014/main" id="{00000000-0008-0000-0100-00005D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886" name="Line 49">
          <a:extLst>
            <a:ext uri="{FF2B5EF4-FFF2-40B4-BE49-F238E27FC236}">
              <a16:creationId xmlns:a16="http://schemas.microsoft.com/office/drawing/2014/main" id="{00000000-0008-0000-0100-00005E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887" name="Line 50">
          <a:extLst>
            <a:ext uri="{FF2B5EF4-FFF2-40B4-BE49-F238E27FC236}">
              <a16:creationId xmlns:a16="http://schemas.microsoft.com/office/drawing/2014/main" id="{00000000-0008-0000-0100-00005F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888" name="Line 51">
          <a:extLst>
            <a:ext uri="{FF2B5EF4-FFF2-40B4-BE49-F238E27FC236}">
              <a16:creationId xmlns:a16="http://schemas.microsoft.com/office/drawing/2014/main" id="{00000000-0008-0000-0100-000060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889" name="Line 52">
          <a:extLst>
            <a:ext uri="{FF2B5EF4-FFF2-40B4-BE49-F238E27FC236}">
              <a16:creationId xmlns:a16="http://schemas.microsoft.com/office/drawing/2014/main" id="{00000000-0008-0000-0100-000061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890" name="Line 53">
          <a:extLst>
            <a:ext uri="{FF2B5EF4-FFF2-40B4-BE49-F238E27FC236}">
              <a16:creationId xmlns:a16="http://schemas.microsoft.com/office/drawing/2014/main" id="{00000000-0008-0000-0100-000062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891" name="Line 54">
          <a:extLst>
            <a:ext uri="{FF2B5EF4-FFF2-40B4-BE49-F238E27FC236}">
              <a16:creationId xmlns:a16="http://schemas.microsoft.com/office/drawing/2014/main" id="{00000000-0008-0000-0100-000063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892" name="Line 55">
          <a:extLst>
            <a:ext uri="{FF2B5EF4-FFF2-40B4-BE49-F238E27FC236}">
              <a16:creationId xmlns:a16="http://schemas.microsoft.com/office/drawing/2014/main" id="{00000000-0008-0000-0100-000064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893" name="Line 56">
          <a:extLst>
            <a:ext uri="{FF2B5EF4-FFF2-40B4-BE49-F238E27FC236}">
              <a16:creationId xmlns:a16="http://schemas.microsoft.com/office/drawing/2014/main" id="{00000000-0008-0000-0100-000065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894" name="Rectangle 57">
          <a:extLst>
            <a:ext uri="{FF2B5EF4-FFF2-40B4-BE49-F238E27FC236}">
              <a16:creationId xmlns:a16="http://schemas.microsoft.com/office/drawing/2014/main" id="{00000000-0008-0000-0100-000066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895" name="Line 58">
          <a:extLst>
            <a:ext uri="{FF2B5EF4-FFF2-40B4-BE49-F238E27FC236}">
              <a16:creationId xmlns:a16="http://schemas.microsoft.com/office/drawing/2014/main" id="{00000000-0008-0000-0100-000067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896" name="Line 59">
          <a:extLst>
            <a:ext uri="{FF2B5EF4-FFF2-40B4-BE49-F238E27FC236}">
              <a16:creationId xmlns:a16="http://schemas.microsoft.com/office/drawing/2014/main" id="{00000000-0008-0000-0100-000068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897" name="Line 60">
          <a:extLst>
            <a:ext uri="{FF2B5EF4-FFF2-40B4-BE49-F238E27FC236}">
              <a16:creationId xmlns:a16="http://schemas.microsoft.com/office/drawing/2014/main" id="{00000000-0008-0000-0100-000069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898" name="Line 61">
          <a:extLst>
            <a:ext uri="{FF2B5EF4-FFF2-40B4-BE49-F238E27FC236}">
              <a16:creationId xmlns:a16="http://schemas.microsoft.com/office/drawing/2014/main" id="{00000000-0008-0000-0100-00006A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899" name="Line 62">
          <a:extLst>
            <a:ext uri="{FF2B5EF4-FFF2-40B4-BE49-F238E27FC236}">
              <a16:creationId xmlns:a16="http://schemas.microsoft.com/office/drawing/2014/main" id="{00000000-0008-0000-0100-00006B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900" name="Line 63">
          <a:extLst>
            <a:ext uri="{FF2B5EF4-FFF2-40B4-BE49-F238E27FC236}">
              <a16:creationId xmlns:a16="http://schemas.microsoft.com/office/drawing/2014/main" id="{00000000-0008-0000-0100-00006C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901" name="Line 64">
          <a:extLst>
            <a:ext uri="{FF2B5EF4-FFF2-40B4-BE49-F238E27FC236}">
              <a16:creationId xmlns:a16="http://schemas.microsoft.com/office/drawing/2014/main" id="{00000000-0008-0000-0100-00006D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902" name="Line 65">
          <a:extLst>
            <a:ext uri="{FF2B5EF4-FFF2-40B4-BE49-F238E27FC236}">
              <a16:creationId xmlns:a16="http://schemas.microsoft.com/office/drawing/2014/main" id="{00000000-0008-0000-0100-00006E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903" name="Line 66">
          <a:extLst>
            <a:ext uri="{FF2B5EF4-FFF2-40B4-BE49-F238E27FC236}">
              <a16:creationId xmlns:a16="http://schemas.microsoft.com/office/drawing/2014/main" id="{00000000-0008-0000-0100-00006F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904" name="Line 67">
          <a:extLst>
            <a:ext uri="{FF2B5EF4-FFF2-40B4-BE49-F238E27FC236}">
              <a16:creationId xmlns:a16="http://schemas.microsoft.com/office/drawing/2014/main" id="{00000000-0008-0000-0100-000070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905" name="Line 68">
          <a:extLst>
            <a:ext uri="{FF2B5EF4-FFF2-40B4-BE49-F238E27FC236}">
              <a16:creationId xmlns:a16="http://schemas.microsoft.com/office/drawing/2014/main" id="{00000000-0008-0000-0100-000071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906" name="Line 1">
          <a:extLst>
            <a:ext uri="{FF2B5EF4-FFF2-40B4-BE49-F238E27FC236}">
              <a16:creationId xmlns:a16="http://schemas.microsoft.com/office/drawing/2014/main" id="{00000000-0008-0000-0100-000072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907" name="Drawing 16">
          <a:extLst>
            <a:ext uri="{FF2B5EF4-FFF2-40B4-BE49-F238E27FC236}">
              <a16:creationId xmlns:a16="http://schemas.microsoft.com/office/drawing/2014/main" id="{00000000-0008-0000-0100-000073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908" name="Line 3">
          <a:extLst>
            <a:ext uri="{FF2B5EF4-FFF2-40B4-BE49-F238E27FC236}">
              <a16:creationId xmlns:a16="http://schemas.microsoft.com/office/drawing/2014/main" id="{00000000-0008-0000-0100-000074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909" name="Line 4">
          <a:extLst>
            <a:ext uri="{FF2B5EF4-FFF2-40B4-BE49-F238E27FC236}">
              <a16:creationId xmlns:a16="http://schemas.microsoft.com/office/drawing/2014/main" id="{00000000-0008-0000-0100-000075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910" name="Line 5">
          <a:extLst>
            <a:ext uri="{FF2B5EF4-FFF2-40B4-BE49-F238E27FC236}">
              <a16:creationId xmlns:a16="http://schemas.microsoft.com/office/drawing/2014/main" id="{00000000-0008-0000-0100-000076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911" name="Line 6">
          <a:extLst>
            <a:ext uri="{FF2B5EF4-FFF2-40B4-BE49-F238E27FC236}">
              <a16:creationId xmlns:a16="http://schemas.microsoft.com/office/drawing/2014/main" id="{00000000-0008-0000-0100-000077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912" name="Line 7">
          <a:extLst>
            <a:ext uri="{FF2B5EF4-FFF2-40B4-BE49-F238E27FC236}">
              <a16:creationId xmlns:a16="http://schemas.microsoft.com/office/drawing/2014/main" id="{00000000-0008-0000-0100-00007807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913" name="Line 8">
          <a:extLst>
            <a:ext uri="{FF2B5EF4-FFF2-40B4-BE49-F238E27FC236}">
              <a16:creationId xmlns:a16="http://schemas.microsoft.com/office/drawing/2014/main" id="{00000000-0008-0000-0100-00007907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914" name="Line 9">
          <a:extLst>
            <a:ext uri="{FF2B5EF4-FFF2-40B4-BE49-F238E27FC236}">
              <a16:creationId xmlns:a16="http://schemas.microsoft.com/office/drawing/2014/main" id="{00000000-0008-0000-0100-00007A07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915" name="Line 10">
          <a:extLst>
            <a:ext uri="{FF2B5EF4-FFF2-40B4-BE49-F238E27FC236}">
              <a16:creationId xmlns:a16="http://schemas.microsoft.com/office/drawing/2014/main" id="{00000000-0008-0000-0100-00007B07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916" name="Line 11">
          <a:extLst>
            <a:ext uri="{FF2B5EF4-FFF2-40B4-BE49-F238E27FC236}">
              <a16:creationId xmlns:a16="http://schemas.microsoft.com/office/drawing/2014/main" id="{00000000-0008-0000-0100-00007C07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917" name="Line 12">
          <a:extLst>
            <a:ext uri="{FF2B5EF4-FFF2-40B4-BE49-F238E27FC236}">
              <a16:creationId xmlns:a16="http://schemas.microsoft.com/office/drawing/2014/main" id="{00000000-0008-0000-0100-00007D07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918" name="Line 13">
          <a:extLst>
            <a:ext uri="{FF2B5EF4-FFF2-40B4-BE49-F238E27FC236}">
              <a16:creationId xmlns:a16="http://schemas.microsoft.com/office/drawing/2014/main" id="{00000000-0008-0000-0100-00007E07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19" name="Line 14">
          <a:extLst>
            <a:ext uri="{FF2B5EF4-FFF2-40B4-BE49-F238E27FC236}">
              <a16:creationId xmlns:a16="http://schemas.microsoft.com/office/drawing/2014/main" id="{00000000-0008-0000-0100-00007F07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920" name="Line 15">
          <a:extLst>
            <a:ext uri="{FF2B5EF4-FFF2-40B4-BE49-F238E27FC236}">
              <a16:creationId xmlns:a16="http://schemas.microsoft.com/office/drawing/2014/main" id="{00000000-0008-0000-0100-00008007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21" name="Line 16">
          <a:extLst>
            <a:ext uri="{FF2B5EF4-FFF2-40B4-BE49-F238E27FC236}">
              <a16:creationId xmlns:a16="http://schemas.microsoft.com/office/drawing/2014/main" id="{00000000-0008-0000-0100-00008107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922" name="Line 17">
          <a:extLst>
            <a:ext uri="{FF2B5EF4-FFF2-40B4-BE49-F238E27FC236}">
              <a16:creationId xmlns:a16="http://schemas.microsoft.com/office/drawing/2014/main" id="{00000000-0008-0000-0100-00008207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923" name="Line 18">
          <a:extLst>
            <a:ext uri="{FF2B5EF4-FFF2-40B4-BE49-F238E27FC236}">
              <a16:creationId xmlns:a16="http://schemas.microsoft.com/office/drawing/2014/main" id="{00000000-0008-0000-0100-00008307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924" name="Line 19">
          <a:extLst>
            <a:ext uri="{FF2B5EF4-FFF2-40B4-BE49-F238E27FC236}">
              <a16:creationId xmlns:a16="http://schemas.microsoft.com/office/drawing/2014/main" id="{00000000-0008-0000-0100-00008407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925" name="Line 20">
          <a:extLst>
            <a:ext uri="{FF2B5EF4-FFF2-40B4-BE49-F238E27FC236}">
              <a16:creationId xmlns:a16="http://schemas.microsoft.com/office/drawing/2014/main" id="{00000000-0008-0000-0100-00008507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926" name="Line 21">
          <a:extLst>
            <a:ext uri="{FF2B5EF4-FFF2-40B4-BE49-F238E27FC236}">
              <a16:creationId xmlns:a16="http://schemas.microsoft.com/office/drawing/2014/main" id="{00000000-0008-0000-0100-00008607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927" name="Line 22">
          <a:extLst>
            <a:ext uri="{FF2B5EF4-FFF2-40B4-BE49-F238E27FC236}">
              <a16:creationId xmlns:a16="http://schemas.microsoft.com/office/drawing/2014/main" id="{00000000-0008-0000-0100-00008707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928" name="Line 23">
          <a:extLst>
            <a:ext uri="{FF2B5EF4-FFF2-40B4-BE49-F238E27FC236}">
              <a16:creationId xmlns:a16="http://schemas.microsoft.com/office/drawing/2014/main" id="{00000000-0008-0000-0100-000088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929" name="Line 24">
          <a:extLst>
            <a:ext uri="{FF2B5EF4-FFF2-40B4-BE49-F238E27FC236}">
              <a16:creationId xmlns:a16="http://schemas.microsoft.com/office/drawing/2014/main" id="{00000000-0008-0000-0100-000089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930" name="Line 25">
          <a:extLst>
            <a:ext uri="{FF2B5EF4-FFF2-40B4-BE49-F238E27FC236}">
              <a16:creationId xmlns:a16="http://schemas.microsoft.com/office/drawing/2014/main" id="{00000000-0008-0000-0100-00008A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931" name="Line 26">
          <a:extLst>
            <a:ext uri="{FF2B5EF4-FFF2-40B4-BE49-F238E27FC236}">
              <a16:creationId xmlns:a16="http://schemas.microsoft.com/office/drawing/2014/main" id="{00000000-0008-0000-0100-00008B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932" name="Line 27">
          <a:extLst>
            <a:ext uri="{FF2B5EF4-FFF2-40B4-BE49-F238E27FC236}">
              <a16:creationId xmlns:a16="http://schemas.microsoft.com/office/drawing/2014/main" id="{00000000-0008-0000-0100-00008C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933" name="Line 28">
          <a:extLst>
            <a:ext uri="{FF2B5EF4-FFF2-40B4-BE49-F238E27FC236}">
              <a16:creationId xmlns:a16="http://schemas.microsoft.com/office/drawing/2014/main" id="{00000000-0008-0000-0100-00008D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934" name="Line 29">
          <a:extLst>
            <a:ext uri="{FF2B5EF4-FFF2-40B4-BE49-F238E27FC236}">
              <a16:creationId xmlns:a16="http://schemas.microsoft.com/office/drawing/2014/main" id="{00000000-0008-0000-0100-00008E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935" name="Line 30">
          <a:extLst>
            <a:ext uri="{FF2B5EF4-FFF2-40B4-BE49-F238E27FC236}">
              <a16:creationId xmlns:a16="http://schemas.microsoft.com/office/drawing/2014/main" id="{00000000-0008-0000-0100-00008F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936" name="Line 31">
          <a:extLst>
            <a:ext uri="{FF2B5EF4-FFF2-40B4-BE49-F238E27FC236}">
              <a16:creationId xmlns:a16="http://schemas.microsoft.com/office/drawing/2014/main" id="{00000000-0008-0000-0100-000090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937" name="Line 32">
          <a:extLst>
            <a:ext uri="{FF2B5EF4-FFF2-40B4-BE49-F238E27FC236}">
              <a16:creationId xmlns:a16="http://schemas.microsoft.com/office/drawing/2014/main" id="{00000000-0008-0000-0100-000091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938" name="Line 33">
          <a:extLst>
            <a:ext uri="{FF2B5EF4-FFF2-40B4-BE49-F238E27FC236}">
              <a16:creationId xmlns:a16="http://schemas.microsoft.com/office/drawing/2014/main" id="{00000000-0008-0000-0100-000092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939" name="Line 34">
          <a:extLst>
            <a:ext uri="{FF2B5EF4-FFF2-40B4-BE49-F238E27FC236}">
              <a16:creationId xmlns:a16="http://schemas.microsoft.com/office/drawing/2014/main" id="{00000000-0008-0000-0100-000093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940" name="Line 35">
          <a:extLst>
            <a:ext uri="{FF2B5EF4-FFF2-40B4-BE49-F238E27FC236}">
              <a16:creationId xmlns:a16="http://schemas.microsoft.com/office/drawing/2014/main" id="{00000000-0008-0000-0100-000094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941" name="Line 36">
          <a:extLst>
            <a:ext uri="{FF2B5EF4-FFF2-40B4-BE49-F238E27FC236}">
              <a16:creationId xmlns:a16="http://schemas.microsoft.com/office/drawing/2014/main" id="{00000000-0008-0000-0100-000095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942" name="Line 37">
          <a:extLst>
            <a:ext uri="{FF2B5EF4-FFF2-40B4-BE49-F238E27FC236}">
              <a16:creationId xmlns:a16="http://schemas.microsoft.com/office/drawing/2014/main" id="{00000000-0008-0000-0100-000096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943" name="Line 38">
          <a:extLst>
            <a:ext uri="{FF2B5EF4-FFF2-40B4-BE49-F238E27FC236}">
              <a16:creationId xmlns:a16="http://schemas.microsoft.com/office/drawing/2014/main" id="{00000000-0008-0000-0100-000097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944" name="Line 39">
          <a:extLst>
            <a:ext uri="{FF2B5EF4-FFF2-40B4-BE49-F238E27FC236}">
              <a16:creationId xmlns:a16="http://schemas.microsoft.com/office/drawing/2014/main" id="{00000000-0008-0000-0100-000098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945" name="Line 40">
          <a:extLst>
            <a:ext uri="{FF2B5EF4-FFF2-40B4-BE49-F238E27FC236}">
              <a16:creationId xmlns:a16="http://schemas.microsoft.com/office/drawing/2014/main" id="{00000000-0008-0000-0100-000099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946" name="Line 41">
          <a:extLst>
            <a:ext uri="{FF2B5EF4-FFF2-40B4-BE49-F238E27FC236}">
              <a16:creationId xmlns:a16="http://schemas.microsoft.com/office/drawing/2014/main" id="{00000000-0008-0000-0100-00009A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947" name="Rectangle 42">
          <a:extLst>
            <a:ext uri="{FF2B5EF4-FFF2-40B4-BE49-F238E27FC236}">
              <a16:creationId xmlns:a16="http://schemas.microsoft.com/office/drawing/2014/main" id="{00000000-0008-0000-0100-00009B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948" name="Line 43">
          <a:extLst>
            <a:ext uri="{FF2B5EF4-FFF2-40B4-BE49-F238E27FC236}">
              <a16:creationId xmlns:a16="http://schemas.microsoft.com/office/drawing/2014/main" id="{00000000-0008-0000-0100-00009C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949" name="Line 44">
          <a:extLst>
            <a:ext uri="{FF2B5EF4-FFF2-40B4-BE49-F238E27FC236}">
              <a16:creationId xmlns:a16="http://schemas.microsoft.com/office/drawing/2014/main" id="{00000000-0008-0000-0100-00009D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950" name="Line 45">
          <a:extLst>
            <a:ext uri="{FF2B5EF4-FFF2-40B4-BE49-F238E27FC236}">
              <a16:creationId xmlns:a16="http://schemas.microsoft.com/office/drawing/2014/main" id="{00000000-0008-0000-0100-00009E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951" name="Line 46">
          <a:extLst>
            <a:ext uri="{FF2B5EF4-FFF2-40B4-BE49-F238E27FC236}">
              <a16:creationId xmlns:a16="http://schemas.microsoft.com/office/drawing/2014/main" id="{00000000-0008-0000-0100-00009F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952" name="Line 47">
          <a:extLst>
            <a:ext uri="{FF2B5EF4-FFF2-40B4-BE49-F238E27FC236}">
              <a16:creationId xmlns:a16="http://schemas.microsoft.com/office/drawing/2014/main" id="{00000000-0008-0000-0100-0000A0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953" name="Line 48">
          <a:extLst>
            <a:ext uri="{FF2B5EF4-FFF2-40B4-BE49-F238E27FC236}">
              <a16:creationId xmlns:a16="http://schemas.microsoft.com/office/drawing/2014/main" id="{00000000-0008-0000-0100-0000A1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954" name="Line 49">
          <a:extLst>
            <a:ext uri="{FF2B5EF4-FFF2-40B4-BE49-F238E27FC236}">
              <a16:creationId xmlns:a16="http://schemas.microsoft.com/office/drawing/2014/main" id="{00000000-0008-0000-0100-0000A2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955" name="Line 50">
          <a:extLst>
            <a:ext uri="{FF2B5EF4-FFF2-40B4-BE49-F238E27FC236}">
              <a16:creationId xmlns:a16="http://schemas.microsoft.com/office/drawing/2014/main" id="{00000000-0008-0000-0100-0000A3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956" name="Line 51">
          <a:extLst>
            <a:ext uri="{FF2B5EF4-FFF2-40B4-BE49-F238E27FC236}">
              <a16:creationId xmlns:a16="http://schemas.microsoft.com/office/drawing/2014/main" id="{00000000-0008-0000-0100-0000A4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957" name="Line 52">
          <a:extLst>
            <a:ext uri="{FF2B5EF4-FFF2-40B4-BE49-F238E27FC236}">
              <a16:creationId xmlns:a16="http://schemas.microsoft.com/office/drawing/2014/main" id="{00000000-0008-0000-0100-0000A5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958" name="Line 53">
          <a:extLst>
            <a:ext uri="{FF2B5EF4-FFF2-40B4-BE49-F238E27FC236}">
              <a16:creationId xmlns:a16="http://schemas.microsoft.com/office/drawing/2014/main" id="{00000000-0008-0000-0100-0000A6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959" name="Line 54">
          <a:extLst>
            <a:ext uri="{FF2B5EF4-FFF2-40B4-BE49-F238E27FC236}">
              <a16:creationId xmlns:a16="http://schemas.microsoft.com/office/drawing/2014/main" id="{00000000-0008-0000-0100-0000A7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960" name="Line 55">
          <a:extLst>
            <a:ext uri="{FF2B5EF4-FFF2-40B4-BE49-F238E27FC236}">
              <a16:creationId xmlns:a16="http://schemas.microsoft.com/office/drawing/2014/main" id="{00000000-0008-0000-0100-0000A8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961" name="Line 56">
          <a:extLst>
            <a:ext uri="{FF2B5EF4-FFF2-40B4-BE49-F238E27FC236}">
              <a16:creationId xmlns:a16="http://schemas.microsoft.com/office/drawing/2014/main" id="{00000000-0008-0000-0100-0000A9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962" name="Rectangle 57">
          <a:extLst>
            <a:ext uri="{FF2B5EF4-FFF2-40B4-BE49-F238E27FC236}">
              <a16:creationId xmlns:a16="http://schemas.microsoft.com/office/drawing/2014/main" id="{00000000-0008-0000-0100-0000AA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963" name="Line 58">
          <a:extLst>
            <a:ext uri="{FF2B5EF4-FFF2-40B4-BE49-F238E27FC236}">
              <a16:creationId xmlns:a16="http://schemas.microsoft.com/office/drawing/2014/main" id="{00000000-0008-0000-0100-0000AB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964" name="Line 59">
          <a:extLst>
            <a:ext uri="{FF2B5EF4-FFF2-40B4-BE49-F238E27FC236}">
              <a16:creationId xmlns:a16="http://schemas.microsoft.com/office/drawing/2014/main" id="{00000000-0008-0000-0100-0000AC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965" name="Line 60">
          <a:extLst>
            <a:ext uri="{FF2B5EF4-FFF2-40B4-BE49-F238E27FC236}">
              <a16:creationId xmlns:a16="http://schemas.microsoft.com/office/drawing/2014/main" id="{00000000-0008-0000-0100-0000AD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966" name="Line 61">
          <a:extLst>
            <a:ext uri="{FF2B5EF4-FFF2-40B4-BE49-F238E27FC236}">
              <a16:creationId xmlns:a16="http://schemas.microsoft.com/office/drawing/2014/main" id="{00000000-0008-0000-0100-0000AE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967" name="Line 62">
          <a:extLst>
            <a:ext uri="{FF2B5EF4-FFF2-40B4-BE49-F238E27FC236}">
              <a16:creationId xmlns:a16="http://schemas.microsoft.com/office/drawing/2014/main" id="{00000000-0008-0000-0100-0000AF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968" name="Line 63">
          <a:extLst>
            <a:ext uri="{FF2B5EF4-FFF2-40B4-BE49-F238E27FC236}">
              <a16:creationId xmlns:a16="http://schemas.microsoft.com/office/drawing/2014/main" id="{00000000-0008-0000-0100-0000B0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969" name="Line 64">
          <a:extLst>
            <a:ext uri="{FF2B5EF4-FFF2-40B4-BE49-F238E27FC236}">
              <a16:creationId xmlns:a16="http://schemas.microsoft.com/office/drawing/2014/main" id="{00000000-0008-0000-0100-0000B1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970" name="Line 65">
          <a:extLst>
            <a:ext uri="{FF2B5EF4-FFF2-40B4-BE49-F238E27FC236}">
              <a16:creationId xmlns:a16="http://schemas.microsoft.com/office/drawing/2014/main" id="{00000000-0008-0000-0100-0000B2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971" name="Line 66">
          <a:extLst>
            <a:ext uri="{FF2B5EF4-FFF2-40B4-BE49-F238E27FC236}">
              <a16:creationId xmlns:a16="http://schemas.microsoft.com/office/drawing/2014/main" id="{00000000-0008-0000-0100-0000B3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972" name="Line 67">
          <a:extLst>
            <a:ext uri="{FF2B5EF4-FFF2-40B4-BE49-F238E27FC236}">
              <a16:creationId xmlns:a16="http://schemas.microsoft.com/office/drawing/2014/main" id="{00000000-0008-0000-0100-0000B4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973" name="Line 68">
          <a:extLst>
            <a:ext uri="{FF2B5EF4-FFF2-40B4-BE49-F238E27FC236}">
              <a16:creationId xmlns:a16="http://schemas.microsoft.com/office/drawing/2014/main" id="{00000000-0008-0000-0100-0000B5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974" name="Line 1">
          <a:extLst>
            <a:ext uri="{FF2B5EF4-FFF2-40B4-BE49-F238E27FC236}">
              <a16:creationId xmlns:a16="http://schemas.microsoft.com/office/drawing/2014/main" id="{00000000-0008-0000-0100-0000B6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975" name="Drawing 16">
          <a:extLst>
            <a:ext uri="{FF2B5EF4-FFF2-40B4-BE49-F238E27FC236}">
              <a16:creationId xmlns:a16="http://schemas.microsoft.com/office/drawing/2014/main" id="{00000000-0008-0000-0100-0000B7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976" name="Line 3">
          <a:extLst>
            <a:ext uri="{FF2B5EF4-FFF2-40B4-BE49-F238E27FC236}">
              <a16:creationId xmlns:a16="http://schemas.microsoft.com/office/drawing/2014/main" id="{00000000-0008-0000-0100-0000B8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977" name="Line 4">
          <a:extLst>
            <a:ext uri="{FF2B5EF4-FFF2-40B4-BE49-F238E27FC236}">
              <a16:creationId xmlns:a16="http://schemas.microsoft.com/office/drawing/2014/main" id="{00000000-0008-0000-0100-0000B9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978" name="Line 5">
          <a:extLst>
            <a:ext uri="{FF2B5EF4-FFF2-40B4-BE49-F238E27FC236}">
              <a16:creationId xmlns:a16="http://schemas.microsoft.com/office/drawing/2014/main" id="{00000000-0008-0000-0100-0000BA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979" name="Line 6">
          <a:extLst>
            <a:ext uri="{FF2B5EF4-FFF2-40B4-BE49-F238E27FC236}">
              <a16:creationId xmlns:a16="http://schemas.microsoft.com/office/drawing/2014/main" id="{00000000-0008-0000-0100-0000BB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980" name="Line 7">
          <a:extLst>
            <a:ext uri="{FF2B5EF4-FFF2-40B4-BE49-F238E27FC236}">
              <a16:creationId xmlns:a16="http://schemas.microsoft.com/office/drawing/2014/main" id="{00000000-0008-0000-0100-0000BC07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981" name="Line 8">
          <a:extLst>
            <a:ext uri="{FF2B5EF4-FFF2-40B4-BE49-F238E27FC236}">
              <a16:creationId xmlns:a16="http://schemas.microsoft.com/office/drawing/2014/main" id="{00000000-0008-0000-0100-0000BD07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982" name="Line 9">
          <a:extLst>
            <a:ext uri="{FF2B5EF4-FFF2-40B4-BE49-F238E27FC236}">
              <a16:creationId xmlns:a16="http://schemas.microsoft.com/office/drawing/2014/main" id="{00000000-0008-0000-0100-0000BE07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983" name="Line 10">
          <a:extLst>
            <a:ext uri="{FF2B5EF4-FFF2-40B4-BE49-F238E27FC236}">
              <a16:creationId xmlns:a16="http://schemas.microsoft.com/office/drawing/2014/main" id="{00000000-0008-0000-0100-0000BF07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984" name="Line 11">
          <a:extLst>
            <a:ext uri="{FF2B5EF4-FFF2-40B4-BE49-F238E27FC236}">
              <a16:creationId xmlns:a16="http://schemas.microsoft.com/office/drawing/2014/main" id="{00000000-0008-0000-0100-0000C007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985" name="Line 12">
          <a:extLst>
            <a:ext uri="{FF2B5EF4-FFF2-40B4-BE49-F238E27FC236}">
              <a16:creationId xmlns:a16="http://schemas.microsoft.com/office/drawing/2014/main" id="{00000000-0008-0000-0100-0000C107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986" name="Line 13">
          <a:extLst>
            <a:ext uri="{FF2B5EF4-FFF2-40B4-BE49-F238E27FC236}">
              <a16:creationId xmlns:a16="http://schemas.microsoft.com/office/drawing/2014/main" id="{00000000-0008-0000-0100-0000C207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87" name="Line 14">
          <a:extLst>
            <a:ext uri="{FF2B5EF4-FFF2-40B4-BE49-F238E27FC236}">
              <a16:creationId xmlns:a16="http://schemas.microsoft.com/office/drawing/2014/main" id="{00000000-0008-0000-0100-0000C307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988" name="Line 15">
          <a:extLst>
            <a:ext uri="{FF2B5EF4-FFF2-40B4-BE49-F238E27FC236}">
              <a16:creationId xmlns:a16="http://schemas.microsoft.com/office/drawing/2014/main" id="{00000000-0008-0000-0100-0000C407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89" name="Line 16">
          <a:extLst>
            <a:ext uri="{FF2B5EF4-FFF2-40B4-BE49-F238E27FC236}">
              <a16:creationId xmlns:a16="http://schemas.microsoft.com/office/drawing/2014/main" id="{00000000-0008-0000-0100-0000C507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990" name="Line 17">
          <a:extLst>
            <a:ext uri="{FF2B5EF4-FFF2-40B4-BE49-F238E27FC236}">
              <a16:creationId xmlns:a16="http://schemas.microsoft.com/office/drawing/2014/main" id="{00000000-0008-0000-0100-0000C607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991" name="Line 18">
          <a:extLst>
            <a:ext uri="{FF2B5EF4-FFF2-40B4-BE49-F238E27FC236}">
              <a16:creationId xmlns:a16="http://schemas.microsoft.com/office/drawing/2014/main" id="{00000000-0008-0000-0100-0000C707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992" name="Line 19">
          <a:extLst>
            <a:ext uri="{FF2B5EF4-FFF2-40B4-BE49-F238E27FC236}">
              <a16:creationId xmlns:a16="http://schemas.microsoft.com/office/drawing/2014/main" id="{00000000-0008-0000-0100-0000C807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993" name="Line 20">
          <a:extLst>
            <a:ext uri="{FF2B5EF4-FFF2-40B4-BE49-F238E27FC236}">
              <a16:creationId xmlns:a16="http://schemas.microsoft.com/office/drawing/2014/main" id="{00000000-0008-0000-0100-0000C907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994" name="Line 21">
          <a:extLst>
            <a:ext uri="{FF2B5EF4-FFF2-40B4-BE49-F238E27FC236}">
              <a16:creationId xmlns:a16="http://schemas.microsoft.com/office/drawing/2014/main" id="{00000000-0008-0000-0100-0000CA07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995" name="Line 22">
          <a:extLst>
            <a:ext uri="{FF2B5EF4-FFF2-40B4-BE49-F238E27FC236}">
              <a16:creationId xmlns:a16="http://schemas.microsoft.com/office/drawing/2014/main" id="{00000000-0008-0000-0100-0000CB07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996" name="Line 23">
          <a:extLst>
            <a:ext uri="{FF2B5EF4-FFF2-40B4-BE49-F238E27FC236}">
              <a16:creationId xmlns:a16="http://schemas.microsoft.com/office/drawing/2014/main" id="{00000000-0008-0000-0100-0000CC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997" name="Line 24">
          <a:extLst>
            <a:ext uri="{FF2B5EF4-FFF2-40B4-BE49-F238E27FC236}">
              <a16:creationId xmlns:a16="http://schemas.microsoft.com/office/drawing/2014/main" id="{00000000-0008-0000-0100-0000CD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998" name="Line 25">
          <a:extLst>
            <a:ext uri="{FF2B5EF4-FFF2-40B4-BE49-F238E27FC236}">
              <a16:creationId xmlns:a16="http://schemas.microsoft.com/office/drawing/2014/main" id="{00000000-0008-0000-0100-0000CE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999" name="Line 26">
          <a:extLst>
            <a:ext uri="{FF2B5EF4-FFF2-40B4-BE49-F238E27FC236}">
              <a16:creationId xmlns:a16="http://schemas.microsoft.com/office/drawing/2014/main" id="{00000000-0008-0000-0100-0000CF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000" name="Line 27">
          <a:extLst>
            <a:ext uri="{FF2B5EF4-FFF2-40B4-BE49-F238E27FC236}">
              <a16:creationId xmlns:a16="http://schemas.microsoft.com/office/drawing/2014/main" id="{00000000-0008-0000-0100-0000D0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001" name="Line 28">
          <a:extLst>
            <a:ext uri="{FF2B5EF4-FFF2-40B4-BE49-F238E27FC236}">
              <a16:creationId xmlns:a16="http://schemas.microsoft.com/office/drawing/2014/main" id="{00000000-0008-0000-0100-0000D1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002" name="Line 29">
          <a:extLst>
            <a:ext uri="{FF2B5EF4-FFF2-40B4-BE49-F238E27FC236}">
              <a16:creationId xmlns:a16="http://schemas.microsoft.com/office/drawing/2014/main" id="{00000000-0008-0000-0100-0000D2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003" name="Line 30">
          <a:extLst>
            <a:ext uri="{FF2B5EF4-FFF2-40B4-BE49-F238E27FC236}">
              <a16:creationId xmlns:a16="http://schemas.microsoft.com/office/drawing/2014/main" id="{00000000-0008-0000-0100-0000D3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004" name="Line 31">
          <a:extLst>
            <a:ext uri="{FF2B5EF4-FFF2-40B4-BE49-F238E27FC236}">
              <a16:creationId xmlns:a16="http://schemas.microsoft.com/office/drawing/2014/main" id="{00000000-0008-0000-0100-0000D4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005" name="Line 32">
          <a:extLst>
            <a:ext uri="{FF2B5EF4-FFF2-40B4-BE49-F238E27FC236}">
              <a16:creationId xmlns:a16="http://schemas.microsoft.com/office/drawing/2014/main" id="{00000000-0008-0000-0100-0000D5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006" name="Line 33">
          <a:extLst>
            <a:ext uri="{FF2B5EF4-FFF2-40B4-BE49-F238E27FC236}">
              <a16:creationId xmlns:a16="http://schemas.microsoft.com/office/drawing/2014/main" id="{00000000-0008-0000-0100-0000D6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007" name="Line 34">
          <a:extLst>
            <a:ext uri="{FF2B5EF4-FFF2-40B4-BE49-F238E27FC236}">
              <a16:creationId xmlns:a16="http://schemas.microsoft.com/office/drawing/2014/main" id="{00000000-0008-0000-0100-0000D7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008" name="Line 35">
          <a:extLst>
            <a:ext uri="{FF2B5EF4-FFF2-40B4-BE49-F238E27FC236}">
              <a16:creationId xmlns:a16="http://schemas.microsoft.com/office/drawing/2014/main" id="{00000000-0008-0000-0100-0000D8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009" name="Line 36">
          <a:extLst>
            <a:ext uri="{FF2B5EF4-FFF2-40B4-BE49-F238E27FC236}">
              <a16:creationId xmlns:a16="http://schemas.microsoft.com/office/drawing/2014/main" id="{00000000-0008-0000-0100-0000D9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010" name="Line 37">
          <a:extLst>
            <a:ext uri="{FF2B5EF4-FFF2-40B4-BE49-F238E27FC236}">
              <a16:creationId xmlns:a16="http://schemas.microsoft.com/office/drawing/2014/main" id="{00000000-0008-0000-0100-0000DA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011" name="Line 38">
          <a:extLst>
            <a:ext uri="{FF2B5EF4-FFF2-40B4-BE49-F238E27FC236}">
              <a16:creationId xmlns:a16="http://schemas.microsoft.com/office/drawing/2014/main" id="{00000000-0008-0000-0100-0000DB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012" name="Line 39">
          <a:extLst>
            <a:ext uri="{FF2B5EF4-FFF2-40B4-BE49-F238E27FC236}">
              <a16:creationId xmlns:a16="http://schemas.microsoft.com/office/drawing/2014/main" id="{00000000-0008-0000-0100-0000DC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013" name="Line 40">
          <a:extLst>
            <a:ext uri="{FF2B5EF4-FFF2-40B4-BE49-F238E27FC236}">
              <a16:creationId xmlns:a16="http://schemas.microsoft.com/office/drawing/2014/main" id="{00000000-0008-0000-0100-0000DD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014" name="Line 41">
          <a:extLst>
            <a:ext uri="{FF2B5EF4-FFF2-40B4-BE49-F238E27FC236}">
              <a16:creationId xmlns:a16="http://schemas.microsoft.com/office/drawing/2014/main" id="{00000000-0008-0000-0100-0000DE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015" name="Rectangle 42">
          <a:extLst>
            <a:ext uri="{FF2B5EF4-FFF2-40B4-BE49-F238E27FC236}">
              <a16:creationId xmlns:a16="http://schemas.microsoft.com/office/drawing/2014/main" id="{00000000-0008-0000-0100-0000DF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16" name="Line 43">
          <a:extLst>
            <a:ext uri="{FF2B5EF4-FFF2-40B4-BE49-F238E27FC236}">
              <a16:creationId xmlns:a16="http://schemas.microsoft.com/office/drawing/2014/main" id="{00000000-0008-0000-0100-0000E0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17" name="Line 44">
          <a:extLst>
            <a:ext uri="{FF2B5EF4-FFF2-40B4-BE49-F238E27FC236}">
              <a16:creationId xmlns:a16="http://schemas.microsoft.com/office/drawing/2014/main" id="{00000000-0008-0000-0100-0000E1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018" name="Line 45">
          <a:extLst>
            <a:ext uri="{FF2B5EF4-FFF2-40B4-BE49-F238E27FC236}">
              <a16:creationId xmlns:a16="http://schemas.microsoft.com/office/drawing/2014/main" id="{00000000-0008-0000-0100-0000E2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019" name="Line 46">
          <a:extLst>
            <a:ext uri="{FF2B5EF4-FFF2-40B4-BE49-F238E27FC236}">
              <a16:creationId xmlns:a16="http://schemas.microsoft.com/office/drawing/2014/main" id="{00000000-0008-0000-0100-0000E3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020" name="Line 47">
          <a:extLst>
            <a:ext uri="{FF2B5EF4-FFF2-40B4-BE49-F238E27FC236}">
              <a16:creationId xmlns:a16="http://schemas.microsoft.com/office/drawing/2014/main" id="{00000000-0008-0000-0100-0000E4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021" name="Line 48">
          <a:extLst>
            <a:ext uri="{FF2B5EF4-FFF2-40B4-BE49-F238E27FC236}">
              <a16:creationId xmlns:a16="http://schemas.microsoft.com/office/drawing/2014/main" id="{00000000-0008-0000-0100-0000E5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022" name="Line 49">
          <a:extLst>
            <a:ext uri="{FF2B5EF4-FFF2-40B4-BE49-F238E27FC236}">
              <a16:creationId xmlns:a16="http://schemas.microsoft.com/office/drawing/2014/main" id="{00000000-0008-0000-0100-0000E6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023" name="Line 50">
          <a:extLst>
            <a:ext uri="{FF2B5EF4-FFF2-40B4-BE49-F238E27FC236}">
              <a16:creationId xmlns:a16="http://schemas.microsoft.com/office/drawing/2014/main" id="{00000000-0008-0000-0100-0000E7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024" name="Line 51">
          <a:extLst>
            <a:ext uri="{FF2B5EF4-FFF2-40B4-BE49-F238E27FC236}">
              <a16:creationId xmlns:a16="http://schemas.microsoft.com/office/drawing/2014/main" id="{00000000-0008-0000-0100-0000E8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025" name="Line 52">
          <a:extLst>
            <a:ext uri="{FF2B5EF4-FFF2-40B4-BE49-F238E27FC236}">
              <a16:creationId xmlns:a16="http://schemas.microsoft.com/office/drawing/2014/main" id="{00000000-0008-0000-0100-0000E9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026" name="Line 53">
          <a:extLst>
            <a:ext uri="{FF2B5EF4-FFF2-40B4-BE49-F238E27FC236}">
              <a16:creationId xmlns:a16="http://schemas.microsoft.com/office/drawing/2014/main" id="{00000000-0008-0000-0100-0000EA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027" name="Line 54">
          <a:extLst>
            <a:ext uri="{FF2B5EF4-FFF2-40B4-BE49-F238E27FC236}">
              <a16:creationId xmlns:a16="http://schemas.microsoft.com/office/drawing/2014/main" id="{00000000-0008-0000-0100-0000EB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028" name="Line 55">
          <a:extLst>
            <a:ext uri="{FF2B5EF4-FFF2-40B4-BE49-F238E27FC236}">
              <a16:creationId xmlns:a16="http://schemas.microsoft.com/office/drawing/2014/main" id="{00000000-0008-0000-0100-0000EC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029" name="Line 56">
          <a:extLst>
            <a:ext uri="{FF2B5EF4-FFF2-40B4-BE49-F238E27FC236}">
              <a16:creationId xmlns:a16="http://schemas.microsoft.com/office/drawing/2014/main" id="{00000000-0008-0000-0100-0000ED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030" name="Rectangle 57">
          <a:extLst>
            <a:ext uri="{FF2B5EF4-FFF2-40B4-BE49-F238E27FC236}">
              <a16:creationId xmlns:a16="http://schemas.microsoft.com/office/drawing/2014/main" id="{00000000-0008-0000-0100-0000EE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031" name="Line 58">
          <a:extLst>
            <a:ext uri="{FF2B5EF4-FFF2-40B4-BE49-F238E27FC236}">
              <a16:creationId xmlns:a16="http://schemas.microsoft.com/office/drawing/2014/main" id="{00000000-0008-0000-0100-0000EF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032" name="Line 59">
          <a:extLst>
            <a:ext uri="{FF2B5EF4-FFF2-40B4-BE49-F238E27FC236}">
              <a16:creationId xmlns:a16="http://schemas.microsoft.com/office/drawing/2014/main" id="{00000000-0008-0000-0100-0000F0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033" name="Line 60">
          <a:extLst>
            <a:ext uri="{FF2B5EF4-FFF2-40B4-BE49-F238E27FC236}">
              <a16:creationId xmlns:a16="http://schemas.microsoft.com/office/drawing/2014/main" id="{00000000-0008-0000-0100-0000F1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034" name="Line 61">
          <a:extLst>
            <a:ext uri="{FF2B5EF4-FFF2-40B4-BE49-F238E27FC236}">
              <a16:creationId xmlns:a16="http://schemas.microsoft.com/office/drawing/2014/main" id="{00000000-0008-0000-0100-0000F2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035" name="Line 62">
          <a:extLst>
            <a:ext uri="{FF2B5EF4-FFF2-40B4-BE49-F238E27FC236}">
              <a16:creationId xmlns:a16="http://schemas.microsoft.com/office/drawing/2014/main" id="{00000000-0008-0000-0100-0000F3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036" name="Line 63">
          <a:extLst>
            <a:ext uri="{FF2B5EF4-FFF2-40B4-BE49-F238E27FC236}">
              <a16:creationId xmlns:a16="http://schemas.microsoft.com/office/drawing/2014/main" id="{00000000-0008-0000-0100-0000F4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037" name="Line 64">
          <a:extLst>
            <a:ext uri="{FF2B5EF4-FFF2-40B4-BE49-F238E27FC236}">
              <a16:creationId xmlns:a16="http://schemas.microsoft.com/office/drawing/2014/main" id="{00000000-0008-0000-0100-0000F5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038" name="Line 65">
          <a:extLst>
            <a:ext uri="{FF2B5EF4-FFF2-40B4-BE49-F238E27FC236}">
              <a16:creationId xmlns:a16="http://schemas.microsoft.com/office/drawing/2014/main" id="{00000000-0008-0000-0100-0000F6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039" name="Line 66">
          <a:extLst>
            <a:ext uri="{FF2B5EF4-FFF2-40B4-BE49-F238E27FC236}">
              <a16:creationId xmlns:a16="http://schemas.microsoft.com/office/drawing/2014/main" id="{00000000-0008-0000-0100-0000F7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040" name="Line 67">
          <a:extLst>
            <a:ext uri="{FF2B5EF4-FFF2-40B4-BE49-F238E27FC236}">
              <a16:creationId xmlns:a16="http://schemas.microsoft.com/office/drawing/2014/main" id="{00000000-0008-0000-0100-0000F8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041" name="Line 68">
          <a:extLst>
            <a:ext uri="{FF2B5EF4-FFF2-40B4-BE49-F238E27FC236}">
              <a16:creationId xmlns:a16="http://schemas.microsoft.com/office/drawing/2014/main" id="{00000000-0008-0000-0100-0000F9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042" name="Line 1">
          <a:extLst>
            <a:ext uri="{FF2B5EF4-FFF2-40B4-BE49-F238E27FC236}">
              <a16:creationId xmlns:a16="http://schemas.microsoft.com/office/drawing/2014/main" id="{00000000-0008-0000-0100-0000FA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043" name="Drawing 16">
          <a:extLst>
            <a:ext uri="{FF2B5EF4-FFF2-40B4-BE49-F238E27FC236}">
              <a16:creationId xmlns:a16="http://schemas.microsoft.com/office/drawing/2014/main" id="{00000000-0008-0000-0100-0000FB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044" name="Line 3">
          <a:extLst>
            <a:ext uri="{FF2B5EF4-FFF2-40B4-BE49-F238E27FC236}">
              <a16:creationId xmlns:a16="http://schemas.microsoft.com/office/drawing/2014/main" id="{00000000-0008-0000-0100-0000FC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045" name="Line 4">
          <a:extLst>
            <a:ext uri="{FF2B5EF4-FFF2-40B4-BE49-F238E27FC236}">
              <a16:creationId xmlns:a16="http://schemas.microsoft.com/office/drawing/2014/main" id="{00000000-0008-0000-0100-0000FD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046" name="Line 5">
          <a:extLst>
            <a:ext uri="{FF2B5EF4-FFF2-40B4-BE49-F238E27FC236}">
              <a16:creationId xmlns:a16="http://schemas.microsoft.com/office/drawing/2014/main" id="{00000000-0008-0000-0100-0000FE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047" name="Line 6">
          <a:extLst>
            <a:ext uri="{FF2B5EF4-FFF2-40B4-BE49-F238E27FC236}">
              <a16:creationId xmlns:a16="http://schemas.microsoft.com/office/drawing/2014/main" id="{00000000-0008-0000-0100-0000FF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048" name="Line 7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049" name="Line 8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050" name="Line 9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051" name="Line 10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052" name="Line 1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053" name="Line 12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054" name="Line 13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055" name="Line 14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056" name="Line 15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057" name="Line 16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058" name="Line 17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059" name="Line 18">
          <a:extLst>
            <a:ext uri="{FF2B5EF4-FFF2-40B4-BE49-F238E27FC236}">
              <a16:creationId xmlns:a16="http://schemas.microsoft.com/office/drawing/2014/main" id="{00000000-0008-0000-0100-00000B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060" name="Line 19">
          <a:extLst>
            <a:ext uri="{FF2B5EF4-FFF2-40B4-BE49-F238E27FC236}">
              <a16:creationId xmlns:a16="http://schemas.microsoft.com/office/drawing/2014/main" id="{00000000-0008-0000-0100-00000C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061" name="Line 20">
          <a:extLst>
            <a:ext uri="{FF2B5EF4-FFF2-40B4-BE49-F238E27FC236}">
              <a16:creationId xmlns:a16="http://schemas.microsoft.com/office/drawing/2014/main" id="{00000000-0008-0000-0100-00000D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062" name="Line 21">
          <a:extLst>
            <a:ext uri="{FF2B5EF4-FFF2-40B4-BE49-F238E27FC236}">
              <a16:creationId xmlns:a16="http://schemas.microsoft.com/office/drawing/2014/main" id="{00000000-0008-0000-0100-00000E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063" name="Line 22">
          <a:extLst>
            <a:ext uri="{FF2B5EF4-FFF2-40B4-BE49-F238E27FC236}">
              <a16:creationId xmlns:a16="http://schemas.microsoft.com/office/drawing/2014/main" id="{00000000-0008-0000-0100-00000F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064" name="Line 23">
          <a:extLst>
            <a:ext uri="{FF2B5EF4-FFF2-40B4-BE49-F238E27FC236}">
              <a16:creationId xmlns:a16="http://schemas.microsoft.com/office/drawing/2014/main" id="{00000000-0008-0000-0100-000010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065" name="Line 24">
          <a:extLst>
            <a:ext uri="{FF2B5EF4-FFF2-40B4-BE49-F238E27FC236}">
              <a16:creationId xmlns:a16="http://schemas.microsoft.com/office/drawing/2014/main" id="{00000000-0008-0000-0100-000011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066" name="Line 25">
          <a:extLst>
            <a:ext uri="{FF2B5EF4-FFF2-40B4-BE49-F238E27FC236}">
              <a16:creationId xmlns:a16="http://schemas.microsoft.com/office/drawing/2014/main" id="{00000000-0008-0000-0100-000012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067" name="Line 26">
          <a:extLst>
            <a:ext uri="{FF2B5EF4-FFF2-40B4-BE49-F238E27FC236}">
              <a16:creationId xmlns:a16="http://schemas.microsoft.com/office/drawing/2014/main" id="{00000000-0008-0000-0100-000013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068" name="Line 27">
          <a:extLst>
            <a:ext uri="{FF2B5EF4-FFF2-40B4-BE49-F238E27FC236}">
              <a16:creationId xmlns:a16="http://schemas.microsoft.com/office/drawing/2014/main" id="{00000000-0008-0000-0100-000014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069" name="Line 28">
          <a:extLst>
            <a:ext uri="{FF2B5EF4-FFF2-40B4-BE49-F238E27FC236}">
              <a16:creationId xmlns:a16="http://schemas.microsoft.com/office/drawing/2014/main" id="{00000000-0008-0000-0100-000015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070" name="Line 29">
          <a:extLst>
            <a:ext uri="{FF2B5EF4-FFF2-40B4-BE49-F238E27FC236}">
              <a16:creationId xmlns:a16="http://schemas.microsoft.com/office/drawing/2014/main" id="{00000000-0008-0000-0100-000016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071" name="Line 30">
          <a:extLst>
            <a:ext uri="{FF2B5EF4-FFF2-40B4-BE49-F238E27FC236}">
              <a16:creationId xmlns:a16="http://schemas.microsoft.com/office/drawing/2014/main" id="{00000000-0008-0000-0100-000017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072" name="Line 31">
          <a:extLst>
            <a:ext uri="{FF2B5EF4-FFF2-40B4-BE49-F238E27FC236}">
              <a16:creationId xmlns:a16="http://schemas.microsoft.com/office/drawing/2014/main" id="{00000000-0008-0000-0100-000018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073" name="Line 3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074" name="Line 33">
          <a:extLst>
            <a:ext uri="{FF2B5EF4-FFF2-40B4-BE49-F238E27FC236}">
              <a16:creationId xmlns:a16="http://schemas.microsoft.com/office/drawing/2014/main" id="{00000000-0008-0000-0100-00001A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075" name="Line 34">
          <a:extLst>
            <a:ext uri="{FF2B5EF4-FFF2-40B4-BE49-F238E27FC236}">
              <a16:creationId xmlns:a16="http://schemas.microsoft.com/office/drawing/2014/main" id="{00000000-0008-0000-0100-00001B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076" name="Line 35">
          <a:extLst>
            <a:ext uri="{FF2B5EF4-FFF2-40B4-BE49-F238E27FC236}">
              <a16:creationId xmlns:a16="http://schemas.microsoft.com/office/drawing/2014/main" id="{00000000-0008-0000-0100-00001C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077" name="Line 36">
          <a:extLst>
            <a:ext uri="{FF2B5EF4-FFF2-40B4-BE49-F238E27FC236}">
              <a16:creationId xmlns:a16="http://schemas.microsoft.com/office/drawing/2014/main" id="{00000000-0008-0000-0100-00001D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078" name="Line 37">
          <a:extLst>
            <a:ext uri="{FF2B5EF4-FFF2-40B4-BE49-F238E27FC236}">
              <a16:creationId xmlns:a16="http://schemas.microsoft.com/office/drawing/2014/main" id="{00000000-0008-0000-0100-00001E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079" name="Line 38">
          <a:extLst>
            <a:ext uri="{FF2B5EF4-FFF2-40B4-BE49-F238E27FC236}">
              <a16:creationId xmlns:a16="http://schemas.microsoft.com/office/drawing/2014/main" id="{00000000-0008-0000-0100-00001F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080" name="Line 39">
          <a:extLst>
            <a:ext uri="{FF2B5EF4-FFF2-40B4-BE49-F238E27FC236}">
              <a16:creationId xmlns:a16="http://schemas.microsoft.com/office/drawing/2014/main" id="{00000000-0008-0000-0100-000020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081" name="Line 40">
          <a:extLst>
            <a:ext uri="{FF2B5EF4-FFF2-40B4-BE49-F238E27FC236}">
              <a16:creationId xmlns:a16="http://schemas.microsoft.com/office/drawing/2014/main" id="{00000000-0008-0000-0100-000021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082" name="Line 41">
          <a:extLst>
            <a:ext uri="{FF2B5EF4-FFF2-40B4-BE49-F238E27FC236}">
              <a16:creationId xmlns:a16="http://schemas.microsoft.com/office/drawing/2014/main" id="{00000000-0008-0000-0100-000022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083" name="Rectangle 42">
          <a:extLst>
            <a:ext uri="{FF2B5EF4-FFF2-40B4-BE49-F238E27FC236}">
              <a16:creationId xmlns:a16="http://schemas.microsoft.com/office/drawing/2014/main" id="{00000000-0008-0000-0100-000023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84" name="Line 43">
          <a:extLst>
            <a:ext uri="{FF2B5EF4-FFF2-40B4-BE49-F238E27FC236}">
              <a16:creationId xmlns:a16="http://schemas.microsoft.com/office/drawing/2014/main" id="{00000000-0008-0000-0100-000024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85" name="Line 44">
          <a:extLst>
            <a:ext uri="{FF2B5EF4-FFF2-40B4-BE49-F238E27FC236}">
              <a16:creationId xmlns:a16="http://schemas.microsoft.com/office/drawing/2014/main" id="{00000000-0008-0000-0100-000025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086" name="Line 45">
          <a:extLst>
            <a:ext uri="{FF2B5EF4-FFF2-40B4-BE49-F238E27FC236}">
              <a16:creationId xmlns:a16="http://schemas.microsoft.com/office/drawing/2014/main" id="{00000000-0008-0000-0100-000026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087" name="Line 46">
          <a:extLst>
            <a:ext uri="{FF2B5EF4-FFF2-40B4-BE49-F238E27FC236}">
              <a16:creationId xmlns:a16="http://schemas.microsoft.com/office/drawing/2014/main" id="{00000000-0008-0000-0100-000027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088" name="Line 47">
          <a:extLst>
            <a:ext uri="{FF2B5EF4-FFF2-40B4-BE49-F238E27FC236}">
              <a16:creationId xmlns:a16="http://schemas.microsoft.com/office/drawing/2014/main" id="{00000000-0008-0000-0100-000028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089" name="Line 48">
          <a:extLst>
            <a:ext uri="{FF2B5EF4-FFF2-40B4-BE49-F238E27FC236}">
              <a16:creationId xmlns:a16="http://schemas.microsoft.com/office/drawing/2014/main" id="{00000000-0008-0000-0100-000029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090" name="Line 49">
          <a:extLst>
            <a:ext uri="{FF2B5EF4-FFF2-40B4-BE49-F238E27FC236}">
              <a16:creationId xmlns:a16="http://schemas.microsoft.com/office/drawing/2014/main" id="{00000000-0008-0000-0100-00002A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091" name="Line 50">
          <a:extLst>
            <a:ext uri="{FF2B5EF4-FFF2-40B4-BE49-F238E27FC236}">
              <a16:creationId xmlns:a16="http://schemas.microsoft.com/office/drawing/2014/main" id="{00000000-0008-0000-0100-00002B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092" name="Line 51">
          <a:extLst>
            <a:ext uri="{FF2B5EF4-FFF2-40B4-BE49-F238E27FC236}">
              <a16:creationId xmlns:a16="http://schemas.microsoft.com/office/drawing/2014/main" id="{00000000-0008-0000-0100-00002C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093" name="Line 52">
          <a:extLst>
            <a:ext uri="{FF2B5EF4-FFF2-40B4-BE49-F238E27FC236}">
              <a16:creationId xmlns:a16="http://schemas.microsoft.com/office/drawing/2014/main" id="{00000000-0008-0000-0100-00002D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094" name="Line 53">
          <a:extLst>
            <a:ext uri="{FF2B5EF4-FFF2-40B4-BE49-F238E27FC236}">
              <a16:creationId xmlns:a16="http://schemas.microsoft.com/office/drawing/2014/main" id="{00000000-0008-0000-0100-00002E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095" name="Line 54">
          <a:extLst>
            <a:ext uri="{FF2B5EF4-FFF2-40B4-BE49-F238E27FC236}">
              <a16:creationId xmlns:a16="http://schemas.microsoft.com/office/drawing/2014/main" id="{00000000-0008-0000-0100-00002F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096" name="Line 55">
          <a:extLst>
            <a:ext uri="{FF2B5EF4-FFF2-40B4-BE49-F238E27FC236}">
              <a16:creationId xmlns:a16="http://schemas.microsoft.com/office/drawing/2014/main" id="{00000000-0008-0000-0100-000030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097" name="Line 56">
          <a:extLst>
            <a:ext uri="{FF2B5EF4-FFF2-40B4-BE49-F238E27FC236}">
              <a16:creationId xmlns:a16="http://schemas.microsoft.com/office/drawing/2014/main" id="{00000000-0008-0000-0100-000031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098" name="Rectangle 57">
          <a:extLst>
            <a:ext uri="{FF2B5EF4-FFF2-40B4-BE49-F238E27FC236}">
              <a16:creationId xmlns:a16="http://schemas.microsoft.com/office/drawing/2014/main" id="{00000000-0008-0000-0100-000032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099" name="Line 58">
          <a:extLst>
            <a:ext uri="{FF2B5EF4-FFF2-40B4-BE49-F238E27FC236}">
              <a16:creationId xmlns:a16="http://schemas.microsoft.com/office/drawing/2014/main" id="{00000000-0008-0000-0100-000033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100" name="Line 59">
          <a:extLst>
            <a:ext uri="{FF2B5EF4-FFF2-40B4-BE49-F238E27FC236}">
              <a16:creationId xmlns:a16="http://schemas.microsoft.com/office/drawing/2014/main" id="{00000000-0008-0000-0100-00003408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101" name="Line 60">
          <a:extLst>
            <a:ext uri="{FF2B5EF4-FFF2-40B4-BE49-F238E27FC236}">
              <a16:creationId xmlns:a16="http://schemas.microsoft.com/office/drawing/2014/main" id="{00000000-0008-0000-0100-00003508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102" name="Line 61">
          <a:extLst>
            <a:ext uri="{FF2B5EF4-FFF2-40B4-BE49-F238E27FC236}">
              <a16:creationId xmlns:a16="http://schemas.microsoft.com/office/drawing/2014/main" id="{00000000-0008-0000-0100-000036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103" name="Line 62">
          <a:extLst>
            <a:ext uri="{FF2B5EF4-FFF2-40B4-BE49-F238E27FC236}">
              <a16:creationId xmlns:a16="http://schemas.microsoft.com/office/drawing/2014/main" id="{00000000-0008-0000-0100-000037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104" name="Line 63">
          <a:extLst>
            <a:ext uri="{FF2B5EF4-FFF2-40B4-BE49-F238E27FC236}">
              <a16:creationId xmlns:a16="http://schemas.microsoft.com/office/drawing/2014/main" id="{00000000-0008-0000-0100-00003808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105" name="Line 64">
          <a:extLst>
            <a:ext uri="{FF2B5EF4-FFF2-40B4-BE49-F238E27FC236}">
              <a16:creationId xmlns:a16="http://schemas.microsoft.com/office/drawing/2014/main" id="{00000000-0008-0000-0100-00003908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106" name="Line 65">
          <a:extLst>
            <a:ext uri="{FF2B5EF4-FFF2-40B4-BE49-F238E27FC236}">
              <a16:creationId xmlns:a16="http://schemas.microsoft.com/office/drawing/2014/main" id="{00000000-0008-0000-0100-00003A08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107" name="Line 66">
          <a:extLst>
            <a:ext uri="{FF2B5EF4-FFF2-40B4-BE49-F238E27FC236}">
              <a16:creationId xmlns:a16="http://schemas.microsoft.com/office/drawing/2014/main" id="{00000000-0008-0000-0100-00003B08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108" name="Line 67">
          <a:extLst>
            <a:ext uri="{FF2B5EF4-FFF2-40B4-BE49-F238E27FC236}">
              <a16:creationId xmlns:a16="http://schemas.microsoft.com/office/drawing/2014/main" id="{00000000-0008-0000-0100-00003C08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109" name="Line 68">
          <a:extLst>
            <a:ext uri="{FF2B5EF4-FFF2-40B4-BE49-F238E27FC236}">
              <a16:creationId xmlns:a16="http://schemas.microsoft.com/office/drawing/2014/main" id="{00000000-0008-0000-0100-00003D08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110" name="Line 1">
          <a:extLst>
            <a:ext uri="{FF2B5EF4-FFF2-40B4-BE49-F238E27FC236}">
              <a16:creationId xmlns:a16="http://schemas.microsoft.com/office/drawing/2014/main" id="{00000000-0008-0000-0100-00003E08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111" name="Drawing 16">
          <a:extLst>
            <a:ext uri="{FF2B5EF4-FFF2-40B4-BE49-F238E27FC236}">
              <a16:creationId xmlns:a16="http://schemas.microsoft.com/office/drawing/2014/main" id="{00000000-0008-0000-0100-00003F08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112" name="Line 3">
          <a:extLst>
            <a:ext uri="{FF2B5EF4-FFF2-40B4-BE49-F238E27FC236}">
              <a16:creationId xmlns:a16="http://schemas.microsoft.com/office/drawing/2014/main" id="{00000000-0008-0000-0100-00004008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113" name="Line 4">
          <a:extLst>
            <a:ext uri="{FF2B5EF4-FFF2-40B4-BE49-F238E27FC236}">
              <a16:creationId xmlns:a16="http://schemas.microsoft.com/office/drawing/2014/main" id="{00000000-0008-0000-0100-00004108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114" name="Line 5">
          <a:extLst>
            <a:ext uri="{FF2B5EF4-FFF2-40B4-BE49-F238E27FC236}">
              <a16:creationId xmlns:a16="http://schemas.microsoft.com/office/drawing/2014/main" id="{00000000-0008-0000-0100-00004208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115" name="Line 6">
          <a:extLst>
            <a:ext uri="{FF2B5EF4-FFF2-40B4-BE49-F238E27FC236}">
              <a16:creationId xmlns:a16="http://schemas.microsoft.com/office/drawing/2014/main" id="{00000000-0008-0000-0100-00004308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116" name="Line 7">
          <a:extLst>
            <a:ext uri="{FF2B5EF4-FFF2-40B4-BE49-F238E27FC236}">
              <a16:creationId xmlns:a16="http://schemas.microsoft.com/office/drawing/2014/main" id="{00000000-0008-0000-0100-000044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117" name="Line 8">
          <a:extLst>
            <a:ext uri="{FF2B5EF4-FFF2-40B4-BE49-F238E27FC236}">
              <a16:creationId xmlns:a16="http://schemas.microsoft.com/office/drawing/2014/main" id="{00000000-0008-0000-0100-000045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118" name="Line 9">
          <a:extLst>
            <a:ext uri="{FF2B5EF4-FFF2-40B4-BE49-F238E27FC236}">
              <a16:creationId xmlns:a16="http://schemas.microsoft.com/office/drawing/2014/main" id="{00000000-0008-0000-0100-000046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119" name="Line 10">
          <a:extLst>
            <a:ext uri="{FF2B5EF4-FFF2-40B4-BE49-F238E27FC236}">
              <a16:creationId xmlns:a16="http://schemas.microsoft.com/office/drawing/2014/main" id="{00000000-0008-0000-0100-000047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120" name="Line 11">
          <a:extLst>
            <a:ext uri="{FF2B5EF4-FFF2-40B4-BE49-F238E27FC236}">
              <a16:creationId xmlns:a16="http://schemas.microsoft.com/office/drawing/2014/main" id="{00000000-0008-0000-0100-000048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121" name="Line 12">
          <a:extLst>
            <a:ext uri="{FF2B5EF4-FFF2-40B4-BE49-F238E27FC236}">
              <a16:creationId xmlns:a16="http://schemas.microsoft.com/office/drawing/2014/main" id="{00000000-0008-0000-0100-000049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122" name="Line 13">
          <a:extLst>
            <a:ext uri="{FF2B5EF4-FFF2-40B4-BE49-F238E27FC236}">
              <a16:creationId xmlns:a16="http://schemas.microsoft.com/office/drawing/2014/main" id="{00000000-0008-0000-0100-00004A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23" name="Line 14">
          <a:extLst>
            <a:ext uri="{FF2B5EF4-FFF2-40B4-BE49-F238E27FC236}">
              <a16:creationId xmlns:a16="http://schemas.microsoft.com/office/drawing/2014/main" id="{00000000-0008-0000-0100-00004B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124" name="Line 15">
          <a:extLst>
            <a:ext uri="{FF2B5EF4-FFF2-40B4-BE49-F238E27FC236}">
              <a16:creationId xmlns:a16="http://schemas.microsoft.com/office/drawing/2014/main" id="{00000000-0008-0000-0100-00004C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25" name="Line 16">
          <a:extLst>
            <a:ext uri="{FF2B5EF4-FFF2-40B4-BE49-F238E27FC236}">
              <a16:creationId xmlns:a16="http://schemas.microsoft.com/office/drawing/2014/main" id="{00000000-0008-0000-0100-00004D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126" name="Line 17">
          <a:extLst>
            <a:ext uri="{FF2B5EF4-FFF2-40B4-BE49-F238E27FC236}">
              <a16:creationId xmlns:a16="http://schemas.microsoft.com/office/drawing/2014/main" id="{00000000-0008-0000-0100-00004E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127" name="Line 18">
          <a:extLst>
            <a:ext uri="{FF2B5EF4-FFF2-40B4-BE49-F238E27FC236}">
              <a16:creationId xmlns:a16="http://schemas.microsoft.com/office/drawing/2014/main" id="{00000000-0008-0000-0100-00004F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128" name="Line 19">
          <a:extLst>
            <a:ext uri="{FF2B5EF4-FFF2-40B4-BE49-F238E27FC236}">
              <a16:creationId xmlns:a16="http://schemas.microsoft.com/office/drawing/2014/main" id="{00000000-0008-0000-0100-000050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129" name="Line 20">
          <a:extLst>
            <a:ext uri="{FF2B5EF4-FFF2-40B4-BE49-F238E27FC236}">
              <a16:creationId xmlns:a16="http://schemas.microsoft.com/office/drawing/2014/main" id="{00000000-0008-0000-0100-000051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130" name="Line 21">
          <a:extLst>
            <a:ext uri="{FF2B5EF4-FFF2-40B4-BE49-F238E27FC236}">
              <a16:creationId xmlns:a16="http://schemas.microsoft.com/office/drawing/2014/main" id="{00000000-0008-0000-0100-000052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131" name="Line 22">
          <a:extLst>
            <a:ext uri="{FF2B5EF4-FFF2-40B4-BE49-F238E27FC236}">
              <a16:creationId xmlns:a16="http://schemas.microsoft.com/office/drawing/2014/main" id="{00000000-0008-0000-0100-000053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132" name="Line 23">
          <a:extLst>
            <a:ext uri="{FF2B5EF4-FFF2-40B4-BE49-F238E27FC236}">
              <a16:creationId xmlns:a16="http://schemas.microsoft.com/office/drawing/2014/main" id="{00000000-0008-0000-0100-000054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133" name="Line 24">
          <a:extLst>
            <a:ext uri="{FF2B5EF4-FFF2-40B4-BE49-F238E27FC236}">
              <a16:creationId xmlns:a16="http://schemas.microsoft.com/office/drawing/2014/main" id="{00000000-0008-0000-0100-000055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134" name="Line 25">
          <a:extLst>
            <a:ext uri="{FF2B5EF4-FFF2-40B4-BE49-F238E27FC236}">
              <a16:creationId xmlns:a16="http://schemas.microsoft.com/office/drawing/2014/main" id="{00000000-0008-0000-0100-000056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135" name="Line 26">
          <a:extLst>
            <a:ext uri="{FF2B5EF4-FFF2-40B4-BE49-F238E27FC236}">
              <a16:creationId xmlns:a16="http://schemas.microsoft.com/office/drawing/2014/main" id="{00000000-0008-0000-0100-000057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136" name="Line 27">
          <a:extLst>
            <a:ext uri="{FF2B5EF4-FFF2-40B4-BE49-F238E27FC236}">
              <a16:creationId xmlns:a16="http://schemas.microsoft.com/office/drawing/2014/main" id="{00000000-0008-0000-0100-000058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137" name="Line 28">
          <a:extLst>
            <a:ext uri="{FF2B5EF4-FFF2-40B4-BE49-F238E27FC236}">
              <a16:creationId xmlns:a16="http://schemas.microsoft.com/office/drawing/2014/main" id="{00000000-0008-0000-0100-000059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138" name="Line 29">
          <a:extLst>
            <a:ext uri="{FF2B5EF4-FFF2-40B4-BE49-F238E27FC236}">
              <a16:creationId xmlns:a16="http://schemas.microsoft.com/office/drawing/2014/main" id="{00000000-0008-0000-0100-00005A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139" name="Line 30">
          <a:extLst>
            <a:ext uri="{FF2B5EF4-FFF2-40B4-BE49-F238E27FC236}">
              <a16:creationId xmlns:a16="http://schemas.microsoft.com/office/drawing/2014/main" id="{00000000-0008-0000-0100-00005B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140" name="Line 31">
          <a:extLst>
            <a:ext uri="{FF2B5EF4-FFF2-40B4-BE49-F238E27FC236}">
              <a16:creationId xmlns:a16="http://schemas.microsoft.com/office/drawing/2014/main" id="{00000000-0008-0000-0100-00005C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141" name="Line 32">
          <a:extLst>
            <a:ext uri="{FF2B5EF4-FFF2-40B4-BE49-F238E27FC236}">
              <a16:creationId xmlns:a16="http://schemas.microsoft.com/office/drawing/2014/main" id="{00000000-0008-0000-0100-00005D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142" name="Line 33">
          <a:extLst>
            <a:ext uri="{FF2B5EF4-FFF2-40B4-BE49-F238E27FC236}">
              <a16:creationId xmlns:a16="http://schemas.microsoft.com/office/drawing/2014/main" id="{00000000-0008-0000-0100-00005E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143" name="Line 34">
          <a:extLst>
            <a:ext uri="{FF2B5EF4-FFF2-40B4-BE49-F238E27FC236}">
              <a16:creationId xmlns:a16="http://schemas.microsoft.com/office/drawing/2014/main" id="{00000000-0008-0000-0100-00005F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144" name="Line 35">
          <a:extLst>
            <a:ext uri="{FF2B5EF4-FFF2-40B4-BE49-F238E27FC236}">
              <a16:creationId xmlns:a16="http://schemas.microsoft.com/office/drawing/2014/main" id="{00000000-0008-0000-0100-000060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145" name="Line 36">
          <a:extLst>
            <a:ext uri="{FF2B5EF4-FFF2-40B4-BE49-F238E27FC236}">
              <a16:creationId xmlns:a16="http://schemas.microsoft.com/office/drawing/2014/main" id="{00000000-0008-0000-0100-000061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146" name="Line 37">
          <a:extLst>
            <a:ext uri="{FF2B5EF4-FFF2-40B4-BE49-F238E27FC236}">
              <a16:creationId xmlns:a16="http://schemas.microsoft.com/office/drawing/2014/main" id="{00000000-0008-0000-0100-000062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147" name="Line 38">
          <a:extLst>
            <a:ext uri="{FF2B5EF4-FFF2-40B4-BE49-F238E27FC236}">
              <a16:creationId xmlns:a16="http://schemas.microsoft.com/office/drawing/2014/main" id="{00000000-0008-0000-0100-000063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148" name="Line 39">
          <a:extLst>
            <a:ext uri="{FF2B5EF4-FFF2-40B4-BE49-F238E27FC236}">
              <a16:creationId xmlns:a16="http://schemas.microsoft.com/office/drawing/2014/main" id="{00000000-0008-0000-0100-000064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149" name="Line 40">
          <a:extLst>
            <a:ext uri="{FF2B5EF4-FFF2-40B4-BE49-F238E27FC236}">
              <a16:creationId xmlns:a16="http://schemas.microsoft.com/office/drawing/2014/main" id="{00000000-0008-0000-0100-000065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150" name="Line 41">
          <a:extLst>
            <a:ext uri="{FF2B5EF4-FFF2-40B4-BE49-F238E27FC236}">
              <a16:creationId xmlns:a16="http://schemas.microsoft.com/office/drawing/2014/main" id="{00000000-0008-0000-0100-000066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151" name="Rectangle 42">
          <a:extLst>
            <a:ext uri="{FF2B5EF4-FFF2-40B4-BE49-F238E27FC236}">
              <a16:creationId xmlns:a16="http://schemas.microsoft.com/office/drawing/2014/main" id="{00000000-0008-0000-0100-000067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52" name="Line 43">
          <a:extLst>
            <a:ext uri="{FF2B5EF4-FFF2-40B4-BE49-F238E27FC236}">
              <a16:creationId xmlns:a16="http://schemas.microsoft.com/office/drawing/2014/main" id="{00000000-0008-0000-0100-000068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53" name="Line 44">
          <a:extLst>
            <a:ext uri="{FF2B5EF4-FFF2-40B4-BE49-F238E27FC236}">
              <a16:creationId xmlns:a16="http://schemas.microsoft.com/office/drawing/2014/main" id="{00000000-0008-0000-0100-000069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154" name="Line 45">
          <a:extLst>
            <a:ext uri="{FF2B5EF4-FFF2-40B4-BE49-F238E27FC236}">
              <a16:creationId xmlns:a16="http://schemas.microsoft.com/office/drawing/2014/main" id="{00000000-0008-0000-0100-00006A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155" name="Line 46">
          <a:extLst>
            <a:ext uri="{FF2B5EF4-FFF2-40B4-BE49-F238E27FC236}">
              <a16:creationId xmlns:a16="http://schemas.microsoft.com/office/drawing/2014/main" id="{00000000-0008-0000-0100-00006B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156" name="Line 47">
          <a:extLst>
            <a:ext uri="{FF2B5EF4-FFF2-40B4-BE49-F238E27FC236}">
              <a16:creationId xmlns:a16="http://schemas.microsoft.com/office/drawing/2014/main" id="{00000000-0008-0000-0100-00006C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157" name="Line 48">
          <a:extLst>
            <a:ext uri="{FF2B5EF4-FFF2-40B4-BE49-F238E27FC236}">
              <a16:creationId xmlns:a16="http://schemas.microsoft.com/office/drawing/2014/main" id="{00000000-0008-0000-0100-00006D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158" name="Line 49">
          <a:extLst>
            <a:ext uri="{FF2B5EF4-FFF2-40B4-BE49-F238E27FC236}">
              <a16:creationId xmlns:a16="http://schemas.microsoft.com/office/drawing/2014/main" id="{00000000-0008-0000-0100-00006E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159" name="Line 50">
          <a:extLst>
            <a:ext uri="{FF2B5EF4-FFF2-40B4-BE49-F238E27FC236}">
              <a16:creationId xmlns:a16="http://schemas.microsoft.com/office/drawing/2014/main" id="{00000000-0008-0000-0100-00006F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160" name="Line 51">
          <a:extLst>
            <a:ext uri="{FF2B5EF4-FFF2-40B4-BE49-F238E27FC236}">
              <a16:creationId xmlns:a16="http://schemas.microsoft.com/office/drawing/2014/main" id="{00000000-0008-0000-0100-000070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161" name="Line 52">
          <a:extLst>
            <a:ext uri="{FF2B5EF4-FFF2-40B4-BE49-F238E27FC236}">
              <a16:creationId xmlns:a16="http://schemas.microsoft.com/office/drawing/2014/main" id="{00000000-0008-0000-0100-000071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162" name="Line 53">
          <a:extLst>
            <a:ext uri="{FF2B5EF4-FFF2-40B4-BE49-F238E27FC236}">
              <a16:creationId xmlns:a16="http://schemas.microsoft.com/office/drawing/2014/main" id="{00000000-0008-0000-0100-000072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163" name="Line 54">
          <a:extLst>
            <a:ext uri="{FF2B5EF4-FFF2-40B4-BE49-F238E27FC236}">
              <a16:creationId xmlns:a16="http://schemas.microsoft.com/office/drawing/2014/main" id="{00000000-0008-0000-0100-000073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164" name="Line 55">
          <a:extLst>
            <a:ext uri="{FF2B5EF4-FFF2-40B4-BE49-F238E27FC236}">
              <a16:creationId xmlns:a16="http://schemas.microsoft.com/office/drawing/2014/main" id="{00000000-0008-0000-0100-000074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165" name="Line 56">
          <a:extLst>
            <a:ext uri="{FF2B5EF4-FFF2-40B4-BE49-F238E27FC236}">
              <a16:creationId xmlns:a16="http://schemas.microsoft.com/office/drawing/2014/main" id="{00000000-0008-0000-0100-000075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166" name="Rectangle 57">
          <a:extLst>
            <a:ext uri="{FF2B5EF4-FFF2-40B4-BE49-F238E27FC236}">
              <a16:creationId xmlns:a16="http://schemas.microsoft.com/office/drawing/2014/main" id="{00000000-0008-0000-0100-000076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167" name="Line 58">
          <a:extLst>
            <a:ext uri="{FF2B5EF4-FFF2-40B4-BE49-F238E27FC236}">
              <a16:creationId xmlns:a16="http://schemas.microsoft.com/office/drawing/2014/main" id="{00000000-0008-0000-0100-000077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168" name="Line 59">
          <a:extLst>
            <a:ext uri="{FF2B5EF4-FFF2-40B4-BE49-F238E27FC236}">
              <a16:creationId xmlns:a16="http://schemas.microsoft.com/office/drawing/2014/main" id="{00000000-0008-0000-0100-00007808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169" name="Line 60">
          <a:extLst>
            <a:ext uri="{FF2B5EF4-FFF2-40B4-BE49-F238E27FC236}">
              <a16:creationId xmlns:a16="http://schemas.microsoft.com/office/drawing/2014/main" id="{00000000-0008-0000-0100-00007908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170" name="Line 61">
          <a:extLst>
            <a:ext uri="{FF2B5EF4-FFF2-40B4-BE49-F238E27FC236}">
              <a16:creationId xmlns:a16="http://schemas.microsoft.com/office/drawing/2014/main" id="{00000000-0008-0000-0100-00007A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171" name="Line 62">
          <a:extLst>
            <a:ext uri="{FF2B5EF4-FFF2-40B4-BE49-F238E27FC236}">
              <a16:creationId xmlns:a16="http://schemas.microsoft.com/office/drawing/2014/main" id="{00000000-0008-0000-0100-00007B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172" name="Line 63">
          <a:extLst>
            <a:ext uri="{FF2B5EF4-FFF2-40B4-BE49-F238E27FC236}">
              <a16:creationId xmlns:a16="http://schemas.microsoft.com/office/drawing/2014/main" id="{00000000-0008-0000-0100-00007C08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173" name="Line 64">
          <a:extLst>
            <a:ext uri="{FF2B5EF4-FFF2-40B4-BE49-F238E27FC236}">
              <a16:creationId xmlns:a16="http://schemas.microsoft.com/office/drawing/2014/main" id="{00000000-0008-0000-0100-00007D08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174" name="Line 65">
          <a:extLst>
            <a:ext uri="{FF2B5EF4-FFF2-40B4-BE49-F238E27FC236}">
              <a16:creationId xmlns:a16="http://schemas.microsoft.com/office/drawing/2014/main" id="{00000000-0008-0000-0100-00007E08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175" name="Line 66">
          <a:extLst>
            <a:ext uri="{FF2B5EF4-FFF2-40B4-BE49-F238E27FC236}">
              <a16:creationId xmlns:a16="http://schemas.microsoft.com/office/drawing/2014/main" id="{00000000-0008-0000-0100-00007F08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176" name="Line 67">
          <a:extLst>
            <a:ext uri="{FF2B5EF4-FFF2-40B4-BE49-F238E27FC236}">
              <a16:creationId xmlns:a16="http://schemas.microsoft.com/office/drawing/2014/main" id="{00000000-0008-0000-0100-00008008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177" name="Line 68">
          <a:extLst>
            <a:ext uri="{FF2B5EF4-FFF2-40B4-BE49-F238E27FC236}">
              <a16:creationId xmlns:a16="http://schemas.microsoft.com/office/drawing/2014/main" id="{00000000-0008-0000-0100-00008108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178" name="Line 1">
          <a:extLst>
            <a:ext uri="{FF2B5EF4-FFF2-40B4-BE49-F238E27FC236}">
              <a16:creationId xmlns:a16="http://schemas.microsoft.com/office/drawing/2014/main" id="{00000000-0008-0000-0100-00008208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179" name="Drawing 16">
          <a:extLst>
            <a:ext uri="{FF2B5EF4-FFF2-40B4-BE49-F238E27FC236}">
              <a16:creationId xmlns:a16="http://schemas.microsoft.com/office/drawing/2014/main" id="{00000000-0008-0000-0100-00008308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180" name="Line 3">
          <a:extLst>
            <a:ext uri="{FF2B5EF4-FFF2-40B4-BE49-F238E27FC236}">
              <a16:creationId xmlns:a16="http://schemas.microsoft.com/office/drawing/2014/main" id="{00000000-0008-0000-0100-00008408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181" name="Line 4">
          <a:extLst>
            <a:ext uri="{FF2B5EF4-FFF2-40B4-BE49-F238E27FC236}">
              <a16:creationId xmlns:a16="http://schemas.microsoft.com/office/drawing/2014/main" id="{00000000-0008-0000-0100-00008508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182" name="Line 5">
          <a:extLst>
            <a:ext uri="{FF2B5EF4-FFF2-40B4-BE49-F238E27FC236}">
              <a16:creationId xmlns:a16="http://schemas.microsoft.com/office/drawing/2014/main" id="{00000000-0008-0000-0100-00008608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183" name="Line 6">
          <a:extLst>
            <a:ext uri="{FF2B5EF4-FFF2-40B4-BE49-F238E27FC236}">
              <a16:creationId xmlns:a16="http://schemas.microsoft.com/office/drawing/2014/main" id="{00000000-0008-0000-0100-00008708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184" name="Line 7">
          <a:extLst>
            <a:ext uri="{FF2B5EF4-FFF2-40B4-BE49-F238E27FC236}">
              <a16:creationId xmlns:a16="http://schemas.microsoft.com/office/drawing/2014/main" id="{00000000-0008-0000-0100-000088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185" name="Line 8">
          <a:extLst>
            <a:ext uri="{FF2B5EF4-FFF2-40B4-BE49-F238E27FC236}">
              <a16:creationId xmlns:a16="http://schemas.microsoft.com/office/drawing/2014/main" id="{00000000-0008-0000-0100-000089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186" name="Line 9">
          <a:extLst>
            <a:ext uri="{FF2B5EF4-FFF2-40B4-BE49-F238E27FC236}">
              <a16:creationId xmlns:a16="http://schemas.microsoft.com/office/drawing/2014/main" id="{00000000-0008-0000-0100-00008A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187" name="Line 10">
          <a:extLst>
            <a:ext uri="{FF2B5EF4-FFF2-40B4-BE49-F238E27FC236}">
              <a16:creationId xmlns:a16="http://schemas.microsoft.com/office/drawing/2014/main" id="{00000000-0008-0000-0100-00008B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188" name="Line 11">
          <a:extLst>
            <a:ext uri="{FF2B5EF4-FFF2-40B4-BE49-F238E27FC236}">
              <a16:creationId xmlns:a16="http://schemas.microsoft.com/office/drawing/2014/main" id="{00000000-0008-0000-0100-00008C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189" name="Line 12">
          <a:extLst>
            <a:ext uri="{FF2B5EF4-FFF2-40B4-BE49-F238E27FC236}">
              <a16:creationId xmlns:a16="http://schemas.microsoft.com/office/drawing/2014/main" id="{00000000-0008-0000-0100-00008D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190" name="Line 13">
          <a:extLst>
            <a:ext uri="{FF2B5EF4-FFF2-40B4-BE49-F238E27FC236}">
              <a16:creationId xmlns:a16="http://schemas.microsoft.com/office/drawing/2014/main" id="{00000000-0008-0000-0100-00008E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91" name="Line 14">
          <a:extLst>
            <a:ext uri="{FF2B5EF4-FFF2-40B4-BE49-F238E27FC236}">
              <a16:creationId xmlns:a16="http://schemas.microsoft.com/office/drawing/2014/main" id="{00000000-0008-0000-0100-00008F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192" name="Line 15">
          <a:extLst>
            <a:ext uri="{FF2B5EF4-FFF2-40B4-BE49-F238E27FC236}">
              <a16:creationId xmlns:a16="http://schemas.microsoft.com/office/drawing/2014/main" id="{00000000-0008-0000-0100-000090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93" name="Line 16">
          <a:extLst>
            <a:ext uri="{FF2B5EF4-FFF2-40B4-BE49-F238E27FC236}">
              <a16:creationId xmlns:a16="http://schemas.microsoft.com/office/drawing/2014/main" id="{00000000-0008-0000-0100-000091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194" name="Line 17">
          <a:extLst>
            <a:ext uri="{FF2B5EF4-FFF2-40B4-BE49-F238E27FC236}">
              <a16:creationId xmlns:a16="http://schemas.microsoft.com/office/drawing/2014/main" id="{00000000-0008-0000-0100-000092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195" name="Line 18">
          <a:extLst>
            <a:ext uri="{FF2B5EF4-FFF2-40B4-BE49-F238E27FC236}">
              <a16:creationId xmlns:a16="http://schemas.microsoft.com/office/drawing/2014/main" id="{00000000-0008-0000-0100-000093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196" name="Line 19">
          <a:extLst>
            <a:ext uri="{FF2B5EF4-FFF2-40B4-BE49-F238E27FC236}">
              <a16:creationId xmlns:a16="http://schemas.microsoft.com/office/drawing/2014/main" id="{00000000-0008-0000-0100-000094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197" name="Line 20">
          <a:extLst>
            <a:ext uri="{FF2B5EF4-FFF2-40B4-BE49-F238E27FC236}">
              <a16:creationId xmlns:a16="http://schemas.microsoft.com/office/drawing/2014/main" id="{00000000-0008-0000-0100-000095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198" name="Line 21">
          <a:extLst>
            <a:ext uri="{FF2B5EF4-FFF2-40B4-BE49-F238E27FC236}">
              <a16:creationId xmlns:a16="http://schemas.microsoft.com/office/drawing/2014/main" id="{00000000-0008-0000-0100-000096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199" name="Line 22">
          <a:extLst>
            <a:ext uri="{FF2B5EF4-FFF2-40B4-BE49-F238E27FC236}">
              <a16:creationId xmlns:a16="http://schemas.microsoft.com/office/drawing/2014/main" id="{00000000-0008-0000-0100-000097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200" name="Line 23">
          <a:extLst>
            <a:ext uri="{FF2B5EF4-FFF2-40B4-BE49-F238E27FC236}">
              <a16:creationId xmlns:a16="http://schemas.microsoft.com/office/drawing/2014/main" id="{00000000-0008-0000-0100-000098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201" name="Line 24">
          <a:extLst>
            <a:ext uri="{FF2B5EF4-FFF2-40B4-BE49-F238E27FC236}">
              <a16:creationId xmlns:a16="http://schemas.microsoft.com/office/drawing/2014/main" id="{00000000-0008-0000-0100-000099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202" name="Line 25">
          <a:extLst>
            <a:ext uri="{FF2B5EF4-FFF2-40B4-BE49-F238E27FC236}">
              <a16:creationId xmlns:a16="http://schemas.microsoft.com/office/drawing/2014/main" id="{00000000-0008-0000-0100-00009A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203" name="Line 26">
          <a:extLst>
            <a:ext uri="{FF2B5EF4-FFF2-40B4-BE49-F238E27FC236}">
              <a16:creationId xmlns:a16="http://schemas.microsoft.com/office/drawing/2014/main" id="{00000000-0008-0000-0100-00009B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204" name="Line 27">
          <a:extLst>
            <a:ext uri="{FF2B5EF4-FFF2-40B4-BE49-F238E27FC236}">
              <a16:creationId xmlns:a16="http://schemas.microsoft.com/office/drawing/2014/main" id="{00000000-0008-0000-0100-00009C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205" name="Line 28">
          <a:extLst>
            <a:ext uri="{FF2B5EF4-FFF2-40B4-BE49-F238E27FC236}">
              <a16:creationId xmlns:a16="http://schemas.microsoft.com/office/drawing/2014/main" id="{00000000-0008-0000-0100-00009D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206" name="Line 29">
          <a:extLst>
            <a:ext uri="{FF2B5EF4-FFF2-40B4-BE49-F238E27FC236}">
              <a16:creationId xmlns:a16="http://schemas.microsoft.com/office/drawing/2014/main" id="{00000000-0008-0000-0100-00009E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207" name="Line 30">
          <a:extLst>
            <a:ext uri="{FF2B5EF4-FFF2-40B4-BE49-F238E27FC236}">
              <a16:creationId xmlns:a16="http://schemas.microsoft.com/office/drawing/2014/main" id="{00000000-0008-0000-0100-00009F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208" name="Line 31">
          <a:extLst>
            <a:ext uri="{FF2B5EF4-FFF2-40B4-BE49-F238E27FC236}">
              <a16:creationId xmlns:a16="http://schemas.microsoft.com/office/drawing/2014/main" id="{00000000-0008-0000-0100-0000A0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209" name="Line 32">
          <a:extLst>
            <a:ext uri="{FF2B5EF4-FFF2-40B4-BE49-F238E27FC236}">
              <a16:creationId xmlns:a16="http://schemas.microsoft.com/office/drawing/2014/main" id="{00000000-0008-0000-0100-0000A1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210" name="Line 33">
          <a:extLst>
            <a:ext uri="{FF2B5EF4-FFF2-40B4-BE49-F238E27FC236}">
              <a16:creationId xmlns:a16="http://schemas.microsoft.com/office/drawing/2014/main" id="{00000000-0008-0000-0100-0000A2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211" name="Line 34">
          <a:extLst>
            <a:ext uri="{FF2B5EF4-FFF2-40B4-BE49-F238E27FC236}">
              <a16:creationId xmlns:a16="http://schemas.microsoft.com/office/drawing/2014/main" id="{00000000-0008-0000-0100-0000A3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212" name="Line 35">
          <a:extLst>
            <a:ext uri="{FF2B5EF4-FFF2-40B4-BE49-F238E27FC236}">
              <a16:creationId xmlns:a16="http://schemas.microsoft.com/office/drawing/2014/main" id="{00000000-0008-0000-0100-0000A4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213" name="Line 36">
          <a:extLst>
            <a:ext uri="{FF2B5EF4-FFF2-40B4-BE49-F238E27FC236}">
              <a16:creationId xmlns:a16="http://schemas.microsoft.com/office/drawing/2014/main" id="{00000000-0008-0000-0100-0000A5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214" name="Line 37">
          <a:extLst>
            <a:ext uri="{FF2B5EF4-FFF2-40B4-BE49-F238E27FC236}">
              <a16:creationId xmlns:a16="http://schemas.microsoft.com/office/drawing/2014/main" id="{00000000-0008-0000-0100-0000A6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215" name="Line 38">
          <a:extLst>
            <a:ext uri="{FF2B5EF4-FFF2-40B4-BE49-F238E27FC236}">
              <a16:creationId xmlns:a16="http://schemas.microsoft.com/office/drawing/2014/main" id="{00000000-0008-0000-0100-0000A7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216" name="Line 39">
          <a:extLst>
            <a:ext uri="{FF2B5EF4-FFF2-40B4-BE49-F238E27FC236}">
              <a16:creationId xmlns:a16="http://schemas.microsoft.com/office/drawing/2014/main" id="{00000000-0008-0000-0100-0000A8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217" name="Line 40">
          <a:extLst>
            <a:ext uri="{FF2B5EF4-FFF2-40B4-BE49-F238E27FC236}">
              <a16:creationId xmlns:a16="http://schemas.microsoft.com/office/drawing/2014/main" id="{00000000-0008-0000-0100-0000A9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218" name="Line 41">
          <a:extLst>
            <a:ext uri="{FF2B5EF4-FFF2-40B4-BE49-F238E27FC236}">
              <a16:creationId xmlns:a16="http://schemas.microsoft.com/office/drawing/2014/main" id="{00000000-0008-0000-0100-0000AA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219" name="Rectangle 42">
          <a:extLst>
            <a:ext uri="{FF2B5EF4-FFF2-40B4-BE49-F238E27FC236}">
              <a16:creationId xmlns:a16="http://schemas.microsoft.com/office/drawing/2014/main" id="{00000000-0008-0000-0100-0000AB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20" name="Line 43">
          <a:extLst>
            <a:ext uri="{FF2B5EF4-FFF2-40B4-BE49-F238E27FC236}">
              <a16:creationId xmlns:a16="http://schemas.microsoft.com/office/drawing/2014/main" id="{00000000-0008-0000-0100-0000AC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21" name="Line 44">
          <a:extLst>
            <a:ext uri="{FF2B5EF4-FFF2-40B4-BE49-F238E27FC236}">
              <a16:creationId xmlns:a16="http://schemas.microsoft.com/office/drawing/2014/main" id="{00000000-0008-0000-0100-0000AD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222" name="Line 45">
          <a:extLst>
            <a:ext uri="{FF2B5EF4-FFF2-40B4-BE49-F238E27FC236}">
              <a16:creationId xmlns:a16="http://schemas.microsoft.com/office/drawing/2014/main" id="{00000000-0008-0000-0100-0000AE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223" name="Line 46">
          <a:extLst>
            <a:ext uri="{FF2B5EF4-FFF2-40B4-BE49-F238E27FC236}">
              <a16:creationId xmlns:a16="http://schemas.microsoft.com/office/drawing/2014/main" id="{00000000-0008-0000-0100-0000AF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224" name="Line 47">
          <a:extLst>
            <a:ext uri="{FF2B5EF4-FFF2-40B4-BE49-F238E27FC236}">
              <a16:creationId xmlns:a16="http://schemas.microsoft.com/office/drawing/2014/main" id="{00000000-0008-0000-0100-0000B0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225" name="Line 48">
          <a:extLst>
            <a:ext uri="{FF2B5EF4-FFF2-40B4-BE49-F238E27FC236}">
              <a16:creationId xmlns:a16="http://schemas.microsoft.com/office/drawing/2014/main" id="{00000000-0008-0000-0100-0000B1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226" name="Line 49">
          <a:extLst>
            <a:ext uri="{FF2B5EF4-FFF2-40B4-BE49-F238E27FC236}">
              <a16:creationId xmlns:a16="http://schemas.microsoft.com/office/drawing/2014/main" id="{00000000-0008-0000-0100-0000B2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227" name="Line 50">
          <a:extLst>
            <a:ext uri="{FF2B5EF4-FFF2-40B4-BE49-F238E27FC236}">
              <a16:creationId xmlns:a16="http://schemas.microsoft.com/office/drawing/2014/main" id="{00000000-0008-0000-0100-0000B3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228" name="Line 51">
          <a:extLst>
            <a:ext uri="{FF2B5EF4-FFF2-40B4-BE49-F238E27FC236}">
              <a16:creationId xmlns:a16="http://schemas.microsoft.com/office/drawing/2014/main" id="{00000000-0008-0000-0100-0000B4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229" name="Line 52">
          <a:extLst>
            <a:ext uri="{FF2B5EF4-FFF2-40B4-BE49-F238E27FC236}">
              <a16:creationId xmlns:a16="http://schemas.microsoft.com/office/drawing/2014/main" id="{00000000-0008-0000-0100-0000B5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230" name="Line 53">
          <a:extLst>
            <a:ext uri="{FF2B5EF4-FFF2-40B4-BE49-F238E27FC236}">
              <a16:creationId xmlns:a16="http://schemas.microsoft.com/office/drawing/2014/main" id="{00000000-0008-0000-0100-0000B6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231" name="Line 54">
          <a:extLst>
            <a:ext uri="{FF2B5EF4-FFF2-40B4-BE49-F238E27FC236}">
              <a16:creationId xmlns:a16="http://schemas.microsoft.com/office/drawing/2014/main" id="{00000000-0008-0000-0100-0000B7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232" name="Line 55">
          <a:extLst>
            <a:ext uri="{FF2B5EF4-FFF2-40B4-BE49-F238E27FC236}">
              <a16:creationId xmlns:a16="http://schemas.microsoft.com/office/drawing/2014/main" id="{00000000-0008-0000-0100-0000B8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233" name="Line 56">
          <a:extLst>
            <a:ext uri="{FF2B5EF4-FFF2-40B4-BE49-F238E27FC236}">
              <a16:creationId xmlns:a16="http://schemas.microsoft.com/office/drawing/2014/main" id="{00000000-0008-0000-0100-0000B9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234" name="Rectangle 57">
          <a:extLst>
            <a:ext uri="{FF2B5EF4-FFF2-40B4-BE49-F238E27FC236}">
              <a16:creationId xmlns:a16="http://schemas.microsoft.com/office/drawing/2014/main" id="{00000000-0008-0000-0100-0000BA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235" name="Line 58">
          <a:extLst>
            <a:ext uri="{FF2B5EF4-FFF2-40B4-BE49-F238E27FC236}">
              <a16:creationId xmlns:a16="http://schemas.microsoft.com/office/drawing/2014/main" id="{00000000-0008-0000-0100-0000BB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236" name="Line 59">
          <a:extLst>
            <a:ext uri="{FF2B5EF4-FFF2-40B4-BE49-F238E27FC236}">
              <a16:creationId xmlns:a16="http://schemas.microsoft.com/office/drawing/2014/main" id="{00000000-0008-0000-0100-0000BC08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237" name="Line 60">
          <a:extLst>
            <a:ext uri="{FF2B5EF4-FFF2-40B4-BE49-F238E27FC236}">
              <a16:creationId xmlns:a16="http://schemas.microsoft.com/office/drawing/2014/main" id="{00000000-0008-0000-0100-0000BD08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238" name="Line 61">
          <a:extLst>
            <a:ext uri="{FF2B5EF4-FFF2-40B4-BE49-F238E27FC236}">
              <a16:creationId xmlns:a16="http://schemas.microsoft.com/office/drawing/2014/main" id="{00000000-0008-0000-0100-0000BE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239" name="Line 62">
          <a:extLst>
            <a:ext uri="{FF2B5EF4-FFF2-40B4-BE49-F238E27FC236}">
              <a16:creationId xmlns:a16="http://schemas.microsoft.com/office/drawing/2014/main" id="{00000000-0008-0000-0100-0000BF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240" name="Line 63">
          <a:extLst>
            <a:ext uri="{FF2B5EF4-FFF2-40B4-BE49-F238E27FC236}">
              <a16:creationId xmlns:a16="http://schemas.microsoft.com/office/drawing/2014/main" id="{00000000-0008-0000-0100-0000C008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241" name="Line 64">
          <a:extLst>
            <a:ext uri="{FF2B5EF4-FFF2-40B4-BE49-F238E27FC236}">
              <a16:creationId xmlns:a16="http://schemas.microsoft.com/office/drawing/2014/main" id="{00000000-0008-0000-0100-0000C108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242" name="Line 65">
          <a:extLst>
            <a:ext uri="{FF2B5EF4-FFF2-40B4-BE49-F238E27FC236}">
              <a16:creationId xmlns:a16="http://schemas.microsoft.com/office/drawing/2014/main" id="{00000000-0008-0000-0100-0000C208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243" name="Line 66">
          <a:extLst>
            <a:ext uri="{FF2B5EF4-FFF2-40B4-BE49-F238E27FC236}">
              <a16:creationId xmlns:a16="http://schemas.microsoft.com/office/drawing/2014/main" id="{00000000-0008-0000-0100-0000C308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244" name="Line 67">
          <a:extLst>
            <a:ext uri="{FF2B5EF4-FFF2-40B4-BE49-F238E27FC236}">
              <a16:creationId xmlns:a16="http://schemas.microsoft.com/office/drawing/2014/main" id="{00000000-0008-0000-0100-0000C408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245" name="Line 68">
          <a:extLst>
            <a:ext uri="{FF2B5EF4-FFF2-40B4-BE49-F238E27FC236}">
              <a16:creationId xmlns:a16="http://schemas.microsoft.com/office/drawing/2014/main" id="{00000000-0008-0000-0100-0000C508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246" name="Line 1">
          <a:extLst>
            <a:ext uri="{FF2B5EF4-FFF2-40B4-BE49-F238E27FC236}">
              <a16:creationId xmlns:a16="http://schemas.microsoft.com/office/drawing/2014/main" id="{00000000-0008-0000-0100-0000C608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247" name="Drawing 16">
          <a:extLst>
            <a:ext uri="{FF2B5EF4-FFF2-40B4-BE49-F238E27FC236}">
              <a16:creationId xmlns:a16="http://schemas.microsoft.com/office/drawing/2014/main" id="{00000000-0008-0000-0100-0000C708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248" name="Line 3">
          <a:extLst>
            <a:ext uri="{FF2B5EF4-FFF2-40B4-BE49-F238E27FC236}">
              <a16:creationId xmlns:a16="http://schemas.microsoft.com/office/drawing/2014/main" id="{00000000-0008-0000-0100-0000C808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249" name="Line 4">
          <a:extLst>
            <a:ext uri="{FF2B5EF4-FFF2-40B4-BE49-F238E27FC236}">
              <a16:creationId xmlns:a16="http://schemas.microsoft.com/office/drawing/2014/main" id="{00000000-0008-0000-0100-0000C908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250" name="Line 5">
          <a:extLst>
            <a:ext uri="{FF2B5EF4-FFF2-40B4-BE49-F238E27FC236}">
              <a16:creationId xmlns:a16="http://schemas.microsoft.com/office/drawing/2014/main" id="{00000000-0008-0000-0100-0000CA08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251" name="Line 6">
          <a:extLst>
            <a:ext uri="{FF2B5EF4-FFF2-40B4-BE49-F238E27FC236}">
              <a16:creationId xmlns:a16="http://schemas.microsoft.com/office/drawing/2014/main" id="{00000000-0008-0000-0100-0000CB08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252" name="Line 7">
          <a:extLst>
            <a:ext uri="{FF2B5EF4-FFF2-40B4-BE49-F238E27FC236}">
              <a16:creationId xmlns:a16="http://schemas.microsoft.com/office/drawing/2014/main" id="{00000000-0008-0000-0100-0000CC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253" name="Line 8">
          <a:extLst>
            <a:ext uri="{FF2B5EF4-FFF2-40B4-BE49-F238E27FC236}">
              <a16:creationId xmlns:a16="http://schemas.microsoft.com/office/drawing/2014/main" id="{00000000-0008-0000-0100-0000CD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254" name="Line 9">
          <a:extLst>
            <a:ext uri="{FF2B5EF4-FFF2-40B4-BE49-F238E27FC236}">
              <a16:creationId xmlns:a16="http://schemas.microsoft.com/office/drawing/2014/main" id="{00000000-0008-0000-0100-0000CE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255" name="Line 10">
          <a:extLst>
            <a:ext uri="{FF2B5EF4-FFF2-40B4-BE49-F238E27FC236}">
              <a16:creationId xmlns:a16="http://schemas.microsoft.com/office/drawing/2014/main" id="{00000000-0008-0000-0100-0000CF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256" name="Line 11">
          <a:extLst>
            <a:ext uri="{FF2B5EF4-FFF2-40B4-BE49-F238E27FC236}">
              <a16:creationId xmlns:a16="http://schemas.microsoft.com/office/drawing/2014/main" id="{00000000-0008-0000-0100-0000D0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257" name="Line 12">
          <a:extLst>
            <a:ext uri="{FF2B5EF4-FFF2-40B4-BE49-F238E27FC236}">
              <a16:creationId xmlns:a16="http://schemas.microsoft.com/office/drawing/2014/main" id="{00000000-0008-0000-0100-0000D1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258" name="Line 13">
          <a:extLst>
            <a:ext uri="{FF2B5EF4-FFF2-40B4-BE49-F238E27FC236}">
              <a16:creationId xmlns:a16="http://schemas.microsoft.com/office/drawing/2014/main" id="{00000000-0008-0000-0100-0000D2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259" name="Line 14">
          <a:extLst>
            <a:ext uri="{FF2B5EF4-FFF2-40B4-BE49-F238E27FC236}">
              <a16:creationId xmlns:a16="http://schemas.microsoft.com/office/drawing/2014/main" id="{00000000-0008-0000-0100-0000D3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260" name="Line 15">
          <a:extLst>
            <a:ext uri="{FF2B5EF4-FFF2-40B4-BE49-F238E27FC236}">
              <a16:creationId xmlns:a16="http://schemas.microsoft.com/office/drawing/2014/main" id="{00000000-0008-0000-0100-0000D4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261" name="Line 16">
          <a:extLst>
            <a:ext uri="{FF2B5EF4-FFF2-40B4-BE49-F238E27FC236}">
              <a16:creationId xmlns:a16="http://schemas.microsoft.com/office/drawing/2014/main" id="{00000000-0008-0000-0100-0000D5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262" name="Line 17">
          <a:extLst>
            <a:ext uri="{FF2B5EF4-FFF2-40B4-BE49-F238E27FC236}">
              <a16:creationId xmlns:a16="http://schemas.microsoft.com/office/drawing/2014/main" id="{00000000-0008-0000-0100-0000D6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263" name="Line 18">
          <a:extLst>
            <a:ext uri="{FF2B5EF4-FFF2-40B4-BE49-F238E27FC236}">
              <a16:creationId xmlns:a16="http://schemas.microsoft.com/office/drawing/2014/main" id="{00000000-0008-0000-0100-0000D7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264" name="Line 19">
          <a:extLst>
            <a:ext uri="{FF2B5EF4-FFF2-40B4-BE49-F238E27FC236}">
              <a16:creationId xmlns:a16="http://schemas.microsoft.com/office/drawing/2014/main" id="{00000000-0008-0000-0100-0000D8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265" name="Line 20">
          <a:extLst>
            <a:ext uri="{FF2B5EF4-FFF2-40B4-BE49-F238E27FC236}">
              <a16:creationId xmlns:a16="http://schemas.microsoft.com/office/drawing/2014/main" id="{00000000-0008-0000-0100-0000D9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266" name="Line 21">
          <a:extLst>
            <a:ext uri="{FF2B5EF4-FFF2-40B4-BE49-F238E27FC236}">
              <a16:creationId xmlns:a16="http://schemas.microsoft.com/office/drawing/2014/main" id="{00000000-0008-0000-0100-0000DA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267" name="Line 22">
          <a:extLst>
            <a:ext uri="{FF2B5EF4-FFF2-40B4-BE49-F238E27FC236}">
              <a16:creationId xmlns:a16="http://schemas.microsoft.com/office/drawing/2014/main" id="{00000000-0008-0000-0100-0000DB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268" name="Line 23">
          <a:extLst>
            <a:ext uri="{FF2B5EF4-FFF2-40B4-BE49-F238E27FC236}">
              <a16:creationId xmlns:a16="http://schemas.microsoft.com/office/drawing/2014/main" id="{00000000-0008-0000-0100-0000DC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269" name="Line 24">
          <a:extLst>
            <a:ext uri="{FF2B5EF4-FFF2-40B4-BE49-F238E27FC236}">
              <a16:creationId xmlns:a16="http://schemas.microsoft.com/office/drawing/2014/main" id="{00000000-0008-0000-0100-0000DD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270" name="Line 25">
          <a:extLst>
            <a:ext uri="{FF2B5EF4-FFF2-40B4-BE49-F238E27FC236}">
              <a16:creationId xmlns:a16="http://schemas.microsoft.com/office/drawing/2014/main" id="{00000000-0008-0000-0100-0000DE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271" name="Line 26">
          <a:extLst>
            <a:ext uri="{FF2B5EF4-FFF2-40B4-BE49-F238E27FC236}">
              <a16:creationId xmlns:a16="http://schemas.microsoft.com/office/drawing/2014/main" id="{00000000-0008-0000-0100-0000DF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272" name="Line 27">
          <a:extLst>
            <a:ext uri="{FF2B5EF4-FFF2-40B4-BE49-F238E27FC236}">
              <a16:creationId xmlns:a16="http://schemas.microsoft.com/office/drawing/2014/main" id="{00000000-0008-0000-0100-0000E0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273" name="Line 28">
          <a:extLst>
            <a:ext uri="{FF2B5EF4-FFF2-40B4-BE49-F238E27FC236}">
              <a16:creationId xmlns:a16="http://schemas.microsoft.com/office/drawing/2014/main" id="{00000000-0008-0000-0100-0000E1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274" name="Line 29">
          <a:extLst>
            <a:ext uri="{FF2B5EF4-FFF2-40B4-BE49-F238E27FC236}">
              <a16:creationId xmlns:a16="http://schemas.microsoft.com/office/drawing/2014/main" id="{00000000-0008-0000-0100-0000E2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275" name="Line 30">
          <a:extLst>
            <a:ext uri="{FF2B5EF4-FFF2-40B4-BE49-F238E27FC236}">
              <a16:creationId xmlns:a16="http://schemas.microsoft.com/office/drawing/2014/main" id="{00000000-0008-0000-0100-0000E3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276" name="Line 31">
          <a:extLst>
            <a:ext uri="{FF2B5EF4-FFF2-40B4-BE49-F238E27FC236}">
              <a16:creationId xmlns:a16="http://schemas.microsoft.com/office/drawing/2014/main" id="{00000000-0008-0000-0100-0000E4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277" name="Line 32">
          <a:extLst>
            <a:ext uri="{FF2B5EF4-FFF2-40B4-BE49-F238E27FC236}">
              <a16:creationId xmlns:a16="http://schemas.microsoft.com/office/drawing/2014/main" id="{00000000-0008-0000-0100-0000E5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278" name="Line 33">
          <a:extLst>
            <a:ext uri="{FF2B5EF4-FFF2-40B4-BE49-F238E27FC236}">
              <a16:creationId xmlns:a16="http://schemas.microsoft.com/office/drawing/2014/main" id="{00000000-0008-0000-0100-0000E6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279" name="Line 34">
          <a:extLst>
            <a:ext uri="{FF2B5EF4-FFF2-40B4-BE49-F238E27FC236}">
              <a16:creationId xmlns:a16="http://schemas.microsoft.com/office/drawing/2014/main" id="{00000000-0008-0000-0100-0000E7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280" name="Line 35">
          <a:extLst>
            <a:ext uri="{FF2B5EF4-FFF2-40B4-BE49-F238E27FC236}">
              <a16:creationId xmlns:a16="http://schemas.microsoft.com/office/drawing/2014/main" id="{00000000-0008-0000-0100-0000E8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281" name="Line 36">
          <a:extLst>
            <a:ext uri="{FF2B5EF4-FFF2-40B4-BE49-F238E27FC236}">
              <a16:creationId xmlns:a16="http://schemas.microsoft.com/office/drawing/2014/main" id="{00000000-0008-0000-0100-0000E9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282" name="Line 37">
          <a:extLst>
            <a:ext uri="{FF2B5EF4-FFF2-40B4-BE49-F238E27FC236}">
              <a16:creationId xmlns:a16="http://schemas.microsoft.com/office/drawing/2014/main" id="{00000000-0008-0000-0100-0000EA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283" name="Line 38">
          <a:extLst>
            <a:ext uri="{FF2B5EF4-FFF2-40B4-BE49-F238E27FC236}">
              <a16:creationId xmlns:a16="http://schemas.microsoft.com/office/drawing/2014/main" id="{00000000-0008-0000-0100-0000EB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284" name="Line 39">
          <a:extLst>
            <a:ext uri="{FF2B5EF4-FFF2-40B4-BE49-F238E27FC236}">
              <a16:creationId xmlns:a16="http://schemas.microsoft.com/office/drawing/2014/main" id="{00000000-0008-0000-0100-0000EC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285" name="Line 40">
          <a:extLst>
            <a:ext uri="{FF2B5EF4-FFF2-40B4-BE49-F238E27FC236}">
              <a16:creationId xmlns:a16="http://schemas.microsoft.com/office/drawing/2014/main" id="{00000000-0008-0000-0100-0000ED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286" name="Line 41">
          <a:extLst>
            <a:ext uri="{FF2B5EF4-FFF2-40B4-BE49-F238E27FC236}">
              <a16:creationId xmlns:a16="http://schemas.microsoft.com/office/drawing/2014/main" id="{00000000-0008-0000-0100-0000EE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287" name="Rectangle 42">
          <a:extLst>
            <a:ext uri="{FF2B5EF4-FFF2-40B4-BE49-F238E27FC236}">
              <a16:creationId xmlns:a16="http://schemas.microsoft.com/office/drawing/2014/main" id="{00000000-0008-0000-0100-0000EF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88" name="Line 43">
          <a:extLst>
            <a:ext uri="{FF2B5EF4-FFF2-40B4-BE49-F238E27FC236}">
              <a16:creationId xmlns:a16="http://schemas.microsoft.com/office/drawing/2014/main" id="{00000000-0008-0000-0100-0000F0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89" name="Line 44">
          <a:extLst>
            <a:ext uri="{FF2B5EF4-FFF2-40B4-BE49-F238E27FC236}">
              <a16:creationId xmlns:a16="http://schemas.microsoft.com/office/drawing/2014/main" id="{00000000-0008-0000-0100-0000F1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290" name="Line 45">
          <a:extLst>
            <a:ext uri="{FF2B5EF4-FFF2-40B4-BE49-F238E27FC236}">
              <a16:creationId xmlns:a16="http://schemas.microsoft.com/office/drawing/2014/main" id="{00000000-0008-0000-0100-0000F2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291" name="Line 46">
          <a:extLst>
            <a:ext uri="{FF2B5EF4-FFF2-40B4-BE49-F238E27FC236}">
              <a16:creationId xmlns:a16="http://schemas.microsoft.com/office/drawing/2014/main" id="{00000000-0008-0000-0100-0000F3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292" name="Line 47">
          <a:extLst>
            <a:ext uri="{FF2B5EF4-FFF2-40B4-BE49-F238E27FC236}">
              <a16:creationId xmlns:a16="http://schemas.microsoft.com/office/drawing/2014/main" id="{00000000-0008-0000-0100-0000F4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293" name="Line 48">
          <a:extLst>
            <a:ext uri="{FF2B5EF4-FFF2-40B4-BE49-F238E27FC236}">
              <a16:creationId xmlns:a16="http://schemas.microsoft.com/office/drawing/2014/main" id="{00000000-0008-0000-0100-0000F5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294" name="Line 49">
          <a:extLst>
            <a:ext uri="{FF2B5EF4-FFF2-40B4-BE49-F238E27FC236}">
              <a16:creationId xmlns:a16="http://schemas.microsoft.com/office/drawing/2014/main" id="{00000000-0008-0000-0100-0000F6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295" name="Line 50">
          <a:extLst>
            <a:ext uri="{FF2B5EF4-FFF2-40B4-BE49-F238E27FC236}">
              <a16:creationId xmlns:a16="http://schemas.microsoft.com/office/drawing/2014/main" id="{00000000-0008-0000-0100-0000F7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296" name="Line 51">
          <a:extLst>
            <a:ext uri="{FF2B5EF4-FFF2-40B4-BE49-F238E27FC236}">
              <a16:creationId xmlns:a16="http://schemas.microsoft.com/office/drawing/2014/main" id="{00000000-0008-0000-0100-0000F8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297" name="Line 52">
          <a:extLst>
            <a:ext uri="{FF2B5EF4-FFF2-40B4-BE49-F238E27FC236}">
              <a16:creationId xmlns:a16="http://schemas.microsoft.com/office/drawing/2014/main" id="{00000000-0008-0000-0100-0000F9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298" name="Line 53">
          <a:extLst>
            <a:ext uri="{FF2B5EF4-FFF2-40B4-BE49-F238E27FC236}">
              <a16:creationId xmlns:a16="http://schemas.microsoft.com/office/drawing/2014/main" id="{00000000-0008-0000-0100-0000FA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299" name="Line 54">
          <a:extLst>
            <a:ext uri="{FF2B5EF4-FFF2-40B4-BE49-F238E27FC236}">
              <a16:creationId xmlns:a16="http://schemas.microsoft.com/office/drawing/2014/main" id="{00000000-0008-0000-0100-0000FB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300" name="Line 55">
          <a:extLst>
            <a:ext uri="{FF2B5EF4-FFF2-40B4-BE49-F238E27FC236}">
              <a16:creationId xmlns:a16="http://schemas.microsoft.com/office/drawing/2014/main" id="{00000000-0008-0000-0100-0000FC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301" name="Line 56">
          <a:extLst>
            <a:ext uri="{FF2B5EF4-FFF2-40B4-BE49-F238E27FC236}">
              <a16:creationId xmlns:a16="http://schemas.microsoft.com/office/drawing/2014/main" id="{00000000-0008-0000-0100-0000FD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302" name="Rectangle 57">
          <a:extLst>
            <a:ext uri="{FF2B5EF4-FFF2-40B4-BE49-F238E27FC236}">
              <a16:creationId xmlns:a16="http://schemas.microsoft.com/office/drawing/2014/main" id="{00000000-0008-0000-0100-0000FE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303" name="Line 58">
          <a:extLst>
            <a:ext uri="{FF2B5EF4-FFF2-40B4-BE49-F238E27FC236}">
              <a16:creationId xmlns:a16="http://schemas.microsoft.com/office/drawing/2014/main" id="{00000000-0008-0000-0100-0000FF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304" name="Line 59">
          <a:extLst>
            <a:ext uri="{FF2B5EF4-FFF2-40B4-BE49-F238E27FC236}">
              <a16:creationId xmlns:a16="http://schemas.microsoft.com/office/drawing/2014/main" id="{00000000-0008-0000-0100-000000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305" name="Line 60">
          <a:extLst>
            <a:ext uri="{FF2B5EF4-FFF2-40B4-BE49-F238E27FC236}">
              <a16:creationId xmlns:a16="http://schemas.microsoft.com/office/drawing/2014/main" id="{00000000-0008-0000-0100-000001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306" name="Line 61">
          <a:extLst>
            <a:ext uri="{FF2B5EF4-FFF2-40B4-BE49-F238E27FC236}">
              <a16:creationId xmlns:a16="http://schemas.microsoft.com/office/drawing/2014/main" id="{00000000-0008-0000-0100-000002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307" name="Line 62">
          <a:extLst>
            <a:ext uri="{FF2B5EF4-FFF2-40B4-BE49-F238E27FC236}">
              <a16:creationId xmlns:a16="http://schemas.microsoft.com/office/drawing/2014/main" id="{00000000-0008-0000-0100-000003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308" name="Line 63">
          <a:extLst>
            <a:ext uri="{FF2B5EF4-FFF2-40B4-BE49-F238E27FC236}">
              <a16:creationId xmlns:a16="http://schemas.microsoft.com/office/drawing/2014/main" id="{00000000-0008-0000-0100-000004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309" name="Line 64">
          <a:extLst>
            <a:ext uri="{FF2B5EF4-FFF2-40B4-BE49-F238E27FC236}">
              <a16:creationId xmlns:a16="http://schemas.microsoft.com/office/drawing/2014/main" id="{00000000-0008-0000-0100-000005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310" name="Line 65">
          <a:extLst>
            <a:ext uri="{FF2B5EF4-FFF2-40B4-BE49-F238E27FC236}">
              <a16:creationId xmlns:a16="http://schemas.microsoft.com/office/drawing/2014/main" id="{00000000-0008-0000-0100-000006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311" name="Line 66">
          <a:extLst>
            <a:ext uri="{FF2B5EF4-FFF2-40B4-BE49-F238E27FC236}">
              <a16:creationId xmlns:a16="http://schemas.microsoft.com/office/drawing/2014/main" id="{00000000-0008-0000-0100-000007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312" name="Line 67">
          <a:extLst>
            <a:ext uri="{FF2B5EF4-FFF2-40B4-BE49-F238E27FC236}">
              <a16:creationId xmlns:a16="http://schemas.microsoft.com/office/drawing/2014/main" id="{00000000-0008-0000-0100-000008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313" name="Line 68">
          <a:extLst>
            <a:ext uri="{FF2B5EF4-FFF2-40B4-BE49-F238E27FC236}">
              <a16:creationId xmlns:a16="http://schemas.microsoft.com/office/drawing/2014/main" id="{00000000-0008-0000-0100-000009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314" name="Line 1">
          <a:extLst>
            <a:ext uri="{FF2B5EF4-FFF2-40B4-BE49-F238E27FC236}">
              <a16:creationId xmlns:a16="http://schemas.microsoft.com/office/drawing/2014/main" id="{00000000-0008-0000-0100-00000A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315" name="Drawing 16">
          <a:extLst>
            <a:ext uri="{FF2B5EF4-FFF2-40B4-BE49-F238E27FC236}">
              <a16:creationId xmlns:a16="http://schemas.microsoft.com/office/drawing/2014/main" id="{00000000-0008-0000-0100-00000B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316" name="Line 3">
          <a:extLst>
            <a:ext uri="{FF2B5EF4-FFF2-40B4-BE49-F238E27FC236}">
              <a16:creationId xmlns:a16="http://schemas.microsoft.com/office/drawing/2014/main" id="{00000000-0008-0000-0100-00000C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317" name="Line 4">
          <a:extLst>
            <a:ext uri="{FF2B5EF4-FFF2-40B4-BE49-F238E27FC236}">
              <a16:creationId xmlns:a16="http://schemas.microsoft.com/office/drawing/2014/main" id="{00000000-0008-0000-0100-00000D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318" name="Line 5">
          <a:extLst>
            <a:ext uri="{FF2B5EF4-FFF2-40B4-BE49-F238E27FC236}">
              <a16:creationId xmlns:a16="http://schemas.microsoft.com/office/drawing/2014/main" id="{00000000-0008-0000-0100-00000E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319" name="Line 6">
          <a:extLst>
            <a:ext uri="{FF2B5EF4-FFF2-40B4-BE49-F238E27FC236}">
              <a16:creationId xmlns:a16="http://schemas.microsoft.com/office/drawing/2014/main" id="{00000000-0008-0000-0100-00000F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320" name="Line 7">
          <a:extLst>
            <a:ext uri="{FF2B5EF4-FFF2-40B4-BE49-F238E27FC236}">
              <a16:creationId xmlns:a16="http://schemas.microsoft.com/office/drawing/2014/main" id="{00000000-0008-0000-0100-000010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321" name="Line 8">
          <a:extLst>
            <a:ext uri="{FF2B5EF4-FFF2-40B4-BE49-F238E27FC236}">
              <a16:creationId xmlns:a16="http://schemas.microsoft.com/office/drawing/2014/main" id="{00000000-0008-0000-0100-000011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322" name="Line 9">
          <a:extLst>
            <a:ext uri="{FF2B5EF4-FFF2-40B4-BE49-F238E27FC236}">
              <a16:creationId xmlns:a16="http://schemas.microsoft.com/office/drawing/2014/main" id="{00000000-0008-0000-0100-000012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323" name="Line 10">
          <a:extLst>
            <a:ext uri="{FF2B5EF4-FFF2-40B4-BE49-F238E27FC236}">
              <a16:creationId xmlns:a16="http://schemas.microsoft.com/office/drawing/2014/main" id="{00000000-0008-0000-0100-000013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324" name="Line 11">
          <a:extLst>
            <a:ext uri="{FF2B5EF4-FFF2-40B4-BE49-F238E27FC236}">
              <a16:creationId xmlns:a16="http://schemas.microsoft.com/office/drawing/2014/main" id="{00000000-0008-0000-0100-000014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325" name="Line 12">
          <a:extLst>
            <a:ext uri="{FF2B5EF4-FFF2-40B4-BE49-F238E27FC236}">
              <a16:creationId xmlns:a16="http://schemas.microsoft.com/office/drawing/2014/main" id="{00000000-0008-0000-0100-000015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326" name="Line 13">
          <a:extLst>
            <a:ext uri="{FF2B5EF4-FFF2-40B4-BE49-F238E27FC236}">
              <a16:creationId xmlns:a16="http://schemas.microsoft.com/office/drawing/2014/main" id="{00000000-0008-0000-0100-000016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27" name="Line 14">
          <a:extLst>
            <a:ext uri="{FF2B5EF4-FFF2-40B4-BE49-F238E27FC236}">
              <a16:creationId xmlns:a16="http://schemas.microsoft.com/office/drawing/2014/main" id="{00000000-0008-0000-0100-000017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328" name="Line 15">
          <a:extLst>
            <a:ext uri="{FF2B5EF4-FFF2-40B4-BE49-F238E27FC236}">
              <a16:creationId xmlns:a16="http://schemas.microsoft.com/office/drawing/2014/main" id="{00000000-0008-0000-0100-000018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29" name="Line 16">
          <a:extLst>
            <a:ext uri="{FF2B5EF4-FFF2-40B4-BE49-F238E27FC236}">
              <a16:creationId xmlns:a16="http://schemas.microsoft.com/office/drawing/2014/main" id="{00000000-0008-0000-0100-000019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330" name="Line 17">
          <a:extLst>
            <a:ext uri="{FF2B5EF4-FFF2-40B4-BE49-F238E27FC236}">
              <a16:creationId xmlns:a16="http://schemas.microsoft.com/office/drawing/2014/main" id="{00000000-0008-0000-0100-00001A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331" name="Line 18">
          <a:extLst>
            <a:ext uri="{FF2B5EF4-FFF2-40B4-BE49-F238E27FC236}">
              <a16:creationId xmlns:a16="http://schemas.microsoft.com/office/drawing/2014/main" id="{00000000-0008-0000-0100-00001B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332" name="Line 19">
          <a:extLst>
            <a:ext uri="{FF2B5EF4-FFF2-40B4-BE49-F238E27FC236}">
              <a16:creationId xmlns:a16="http://schemas.microsoft.com/office/drawing/2014/main" id="{00000000-0008-0000-0100-00001C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333" name="Line 20">
          <a:extLst>
            <a:ext uri="{FF2B5EF4-FFF2-40B4-BE49-F238E27FC236}">
              <a16:creationId xmlns:a16="http://schemas.microsoft.com/office/drawing/2014/main" id="{00000000-0008-0000-0100-00001D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334" name="Line 21">
          <a:extLst>
            <a:ext uri="{FF2B5EF4-FFF2-40B4-BE49-F238E27FC236}">
              <a16:creationId xmlns:a16="http://schemas.microsoft.com/office/drawing/2014/main" id="{00000000-0008-0000-0100-00001E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335" name="Line 22">
          <a:extLst>
            <a:ext uri="{FF2B5EF4-FFF2-40B4-BE49-F238E27FC236}">
              <a16:creationId xmlns:a16="http://schemas.microsoft.com/office/drawing/2014/main" id="{00000000-0008-0000-0100-00001F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336" name="Line 23">
          <a:extLst>
            <a:ext uri="{FF2B5EF4-FFF2-40B4-BE49-F238E27FC236}">
              <a16:creationId xmlns:a16="http://schemas.microsoft.com/office/drawing/2014/main" id="{00000000-0008-0000-0100-000020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337" name="Line 24">
          <a:extLst>
            <a:ext uri="{FF2B5EF4-FFF2-40B4-BE49-F238E27FC236}">
              <a16:creationId xmlns:a16="http://schemas.microsoft.com/office/drawing/2014/main" id="{00000000-0008-0000-0100-000021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338" name="Line 25">
          <a:extLst>
            <a:ext uri="{FF2B5EF4-FFF2-40B4-BE49-F238E27FC236}">
              <a16:creationId xmlns:a16="http://schemas.microsoft.com/office/drawing/2014/main" id="{00000000-0008-0000-0100-000022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339" name="Line 26">
          <a:extLst>
            <a:ext uri="{FF2B5EF4-FFF2-40B4-BE49-F238E27FC236}">
              <a16:creationId xmlns:a16="http://schemas.microsoft.com/office/drawing/2014/main" id="{00000000-0008-0000-0100-000023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340" name="Line 27">
          <a:extLst>
            <a:ext uri="{FF2B5EF4-FFF2-40B4-BE49-F238E27FC236}">
              <a16:creationId xmlns:a16="http://schemas.microsoft.com/office/drawing/2014/main" id="{00000000-0008-0000-0100-000024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341" name="Line 28">
          <a:extLst>
            <a:ext uri="{FF2B5EF4-FFF2-40B4-BE49-F238E27FC236}">
              <a16:creationId xmlns:a16="http://schemas.microsoft.com/office/drawing/2014/main" id="{00000000-0008-0000-0100-000025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342" name="Line 29">
          <a:extLst>
            <a:ext uri="{FF2B5EF4-FFF2-40B4-BE49-F238E27FC236}">
              <a16:creationId xmlns:a16="http://schemas.microsoft.com/office/drawing/2014/main" id="{00000000-0008-0000-0100-000026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343" name="Line 30">
          <a:extLst>
            <a:ext uri="{FF2B5EF4-FFF2-40B4-BE49-F238E27FC236}">
              <a16:creationId xmlns:a16="http://schemas.microsoft.com/office/drawing/2014/main" id="{00000000-0008-0000-0100-000027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344" name="Line 31">
          <a:extLst>
            <a:ext uri="{FF2B5EF4-FFF2-40B4-BE49-F238E27FC236}">
              <a16:creationId xmlns:a16="http://schemas.microsoft.com/office/drawing/2014/main" id="{00000000-0008-0000-0100-000028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345" name="Line 32">
          <a:extLst>
            <a:ext uri="{FF2B5EF4-FFF2-40B4-BE49-F238E27FC236}">
              <a16:creationId xmlns:a16="http://schemas.microsoft.com/office/drawing/2014/main" id="{00000000-0008-0000-0100-000029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346" name="Line 33">
          <a:extLst>
            <a:ext uri="{FF2B5EF4-FFF2-40B4-BE49-F238E27FC236}">
              <a16:creationId xmlns:a16="http://schemas.microsoft.com/office/drawing/2014/main" id="{00000000-0008-0000-0100-00002A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347" name="Line 34">
          <a:extLst>
            <a:ext uri="{FF2B5EF4-FFF2-40B4-BE49-F238E27FC236}">
              <a16:creationId xmlns:a16="http://schemas.microsoft.com/office/drawing/2014/main" id="{00000000-0008-0000-0100-00002B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348" name="Line 35">
          <a:extLst>
            <a:ext uri="{FF2B5EF4-FFF2-40B4-BE49-F238E27FC236}">
              <a16:creationId xmlns:a16="http://schemas.microsoft.com/office/drawing/2014/main" id="{00000000-0008-0000-0100-00002C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349" name="Line 36">
          <a:extLst>
            <a:ext uri="{FF2B5EF4-FFF2-40B4-BE49-F238E27FC236}">
              <a16:creationId xmlns:a16="http://schemas.microsoft.com/office/drawing/2014/main" id="{00000000-0008-0000-0100-00002D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350" name="Line 37">
          <a:extLst>
            <a:ext uri="{FF2B5EF4-FFF2-40B4-BE49-F238E27FC236}">
              <a16:creationId xmlns:a16="http://schemas.microsoft.com/office/drawing/2014/main" id="{00000000-0008-0000-0100-00002E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351" name="Line 38">
          <a:extLst>
            <a:ext uri="{FF2B5EF4-FFF2-40B4-BE49-F238E27FC236}">
              <a16:creationId xmlns:a16="http://schemas.microsoft.com/office/drawing/2014/main" id="{00000000-0008-0000-0100-00002F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352" name="Line 39">
          <a:extLst>
            <a:ext uri="{FF2B5EF4-FFF2-40B4-BE49-F238E27FC236}">
              <a16:creationId xmlns:a16="http://schemas.microsoft.com/office/drawing/2014/main" id="{00000000-0008-0000-0100-000030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353" name="Line 40">
          <a:extLst>
            <a:ext uri="{FF2B5EF4-FFF2-40B4-BE49-F238E27FC236}">
              <a16:creationId xmlns:a16="http://schemas.microsoft.com/office/drawing/2014/main" id="{00000000-0008-0000-0100-000031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354" name="Line 41">
          <a:extLst>
            <a:ext uri="{FF2B5EF4-FFF2-40B4-BE49-F238E27FC236}">
              <a16:creationId xmlns:a16="http://schemas.microsoft.com/office/drawing/2014/main" id="{00000000-0008-0000-0100-000032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355" name="Rectangle 42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356" name="Line 43">
          <a:extLst>
            <a:ext uri="{FF2B5EF4-FFF2-40B4-BE49-F238E27FC236}">
              <a16:creationId xmlns:a16="http://schemas.microsoft.com/office/drawing/2014/main" id="{00000000-0008-0000-0100-00003409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357" name="Line 44">
          <a:extLst>
            <a:ext uri="{FF2B5EF4-FFF2-40B4-BE49-F238E27FC236}">
              <a16:creationId xmlns:a16="http://schemas.microsoft.com/office/drawing/2014/main" id="{00000000-0008-0000-0100-000035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358" name="Line 45">
          <a:extLst>
            <a:ext uri="{FF2B5EF4-FFF2-40B4-BE49-F238E27FC236}">
              <a16:creationId xmlns:a16="http://schemas.microsoft.com/office/drawing/2014/main" id="{00000000-0008-0000-0100-00003609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359" name="Line 46">
          <a:extLst>
            <a:ext uri="{FF2B5EF4-FFF2-40B4-BE49-F238E27FC236}">
              <a16:creationId xmlns:a16="http://schemas.microsoft.com/office/drawing/2014/main" id="{00000000-0008-0000-0100-000037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360" name="Line 47">
          <a:extLst>
            <a:ext uri="{FF2B5EF4-FFF2-40B4-BE49-F238E27FC236}">
              <a16:creationId xmlns:a16="http://schemas.microsoft.com/office/drawing/2014/main" id="{00000000-0008-0000-0100-00003809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361" name="Line 48">
          <a:extLst>
            <a:ext uri="{FF2B5EF4-FFF2-40B4-BE49-F238E27FC236}">
              <a16:creationId xmlns:a16="http://schemas.microsoft.com/office/drawing/2014/main" id="{00000000-0008-0000-0100-00003909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362" name="Line 49">
          <a:extLst>
            <a:ext uri="{FF2B5EF4-FFF2-40B4-BE49-F238E27FC236}">
              <a16:creationId xmlns:a16="http://schemas.microsoft.com/office/drawing/2014/main" id="{00000000-0008-0000-0100-00003A09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363" name="Line 50">
          <a:extLst>
            <a:ext uri="{FF2B5EF4-FFF2-40B4-BE49-F238E27FC236}">
              <a16:creationId xmlns:a16="http://schemas.microsoft.com/office/drawing/2014/main" id="{00000000-0008-0000-0100-00003B09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364" name="Line 51">
          <a:extLst>
            <a:ext uri="{FF2B5EF4-FFF2-40B4-BE49-F238E27FC236}">
              <a16:creationId xmlns:a16="http://schemas.microsoft.com/office/drawing/2014/main" id="{00000000-0008-0000-0100-00003C09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365" name="Line 52">
          <a:extLst>
            <a:ext uri="{FF2B5EF4-FFF2-40B4-BE49-F238E27FC236}">
              <a16:creationId xmlns:a16="http://schemas.microsoft.com/office/drawing/2014/main" id="{00000000-0008-0000-0100-00003D09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366" name="Line 53">
          <a:extLst>
            <a:ext uri="{FF2B5EF4-FFF2-40B4-BE49-F238E27FC236}">
              <a16:creationId xmlns:a16="http://schemas.microsoft.com/office/drawing/2014/main" id="{00000000-0008-0000-0100-00003E09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367" name="Line 54">
          <a:extLst>
            <a:ext uri="{FF2B5EF4-FFF2-40B4-BE49-F238E27FC236}">
              <a16:creationId xmlns:a16="http://schemas.microsoft.com/office/drawing/2014/main" id="{00000000-0008-0000-0100-00003F09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368" name="Line 55">
          <a:extLst>
            <a:ext uri="{FF2B5EF4-FFF2-40B4-BE49-F238E27FC236}">
              <a16:creationId xmlns:a16="http://schemas.microsoft.com/office/drawing/2014/main" id="{00000000-0008-0000-0100-00004009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369" name="Line 56">
          <a:extLst>
            <a:ext uri="{FF2B5EF4-FFF2-40B4-BE49-F238E27FC236}">
              <a16:creationId xmlns:a16="http://schemas.microsoft.com/office/drawing/2014/main" id="{00000000-0008-0000-0100-00004109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370" name="Rectangle 57">
          <a:extLst>
            <a:ext uri="{FF2B5EF4-FFF2-40B4-BE49-F238E27FC236}">
              <a16:creationId xmlns:a16="http://schemas.microsoft.com/office/drawing/2014/main" id="{00000000-0008-0000-0100-00004209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371" name="Line 58">
          <a:extLst>
            <a:ext uri="{FF2B5EF4-FFF2-40B4-BE49-F238E27FC236}">
              <a16:creationId xmlns:a16="http://schemas.microsoft.com/office/drawing/2014/main" id="{00000000-0008-0000-0100-00004309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372" name="Line 59">
          <a:extLst>
            <a:ext uri="{FF2B5EF4-FFF2-40B4-BE49-F238E27FC236}">
              <a16:creationId xmlns:a16="http://schemas.microsoft.com/office/drawing/2014/main" id="{00000000-0008-0000-0100-000044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373" name="Line 60">
          <a:extLst>
            <a:ext uri="{FF2B5EF4-FFF2-40B4-BE49-F238E27FC236}">
              <a16:creationId xmlns:a16="http://schemas.microsoft.com/office/drawing/2014/main" id="{00000000-0008-0000-0100-000045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374" name="Line 61">
          <a:extLst>
            <a:ext uri="{FF2B5EF4-FFF2-40B4-BE49-F238E27FC236}">
              <a16:creationId xmlns:a16="http://schemas.microsoft.com/office/drawing/2014/main" id="{00000000-0008-0000-0100-000046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375" name="Line 62">
          <a:extLst>
            <a:ext uri="{FF2B5EF4-FFF2-40B4-BE49-F238E27FC236}">
              <a16:creationId xmlns:a16="http://schemas.microsoft.com/office/drawing/2014/main" id="{00000000-0008-0000-0100-000047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376" name="Line 63">
          <a:extLst>
            <a:ext uri="{FF2B5EF4-FFF2-40B4-BE49-F238E27FC236}">
              <a16:creationId xmlns:a16="http://schemas.microsoft.com/office/drawing/2014/main" id="{00000000-0008-0000-0100-000048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377" name="Line 64">
          <a:extLst>
            <a:ext uri="{FF2B5EF4-FFF2-40B4-BE49-F238E27FC236}">
              <a16:creationId xmlns:a16="http://schemas.microsoft.com/office/drawing/2014/main" id="{00000000-0008-0000-0100-000049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378" name="Line 65">
          <a:extLst>
            <a:ext uri="{FF2B5EF4-FFF2-40B4-BE49-F238E27FC236}">
              <a16:creationId xmlns:a16="http://schemas.microsoft.com/office/drawing/2014/main" id="{00000000-0008-0000-0100-00004A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379" name="Line 66">
          <a:extLst>
            <a:ext uri="{FF2B5EF4-FFF2-40B4-BE49-F238E27FC236}">
              <a16:creationId xmlns:a16="http://schemas.microsoft.com/office/drawing/2014/main" id="{00000000-0008-0000-0100-00004B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380" name="Line 67">
          <a:extLst>
            <a:ext uri="{FF2B5EF4-FFF2-40B4-BE49-F238E27FC236}">
              <a16:creationId xmlns:a16="http://schemas.microsoft.com/office/drawing/2014/main" id="{00000000-0008-0000-0100-00004C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381" name="Line 68">
          <a:extLst>
            <a:ext uri="{FF2B5EF4-FFF2-40B4-BE49-F238E27FC236}">
              <a16:creationId xmlns:a16="http://schemas.microsoft.com/office/drawing/2014/main" id="{00000000-0008-0000-0100-00004D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382" name="Line 1">
          <a:extLst>
            <a:ext uri="{FF2B5EF4-FFF2-40B4-BE49-F238E27FC236}">
              <a16:creationId xmlns:a16="http://schemas.microsoft.com/office/drawing/2014/main" id="{00000000-0008-0000-0100-00004E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383" name="Drawing 16">
          <a:extLst>
            <a:ext uri="{FF2B5EF4-FFF2-40B4-BE49-F238E27FC236}">
              <a16:creationId xmlns:a16="http://schemas.microsoft.com/office/drawing/2014/main" id="{00000000-0008-0000-0100-00004F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384" name="Line 3">
          <a:extLst>
            <a:ext uri="{FF2B5EF4-FFF2-40B4-BE49-F238E27FC236}">
              <a16:creationId xmlns:a16="http://schemas.microsoft.com/office/drawing/2014/main" id="{00000000-0008-0000-0100-000050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385" name="Line 4">
          <a:extLst>
            <a:ext uri="{FF2B5EF4-FFF2-40B4-BE49-F238E27FC236}">
              <a16:creationId xmlns:a16="http://schemas.microsoft.com/office/drawing/2014/main" id="{00000000-0008-0000-0100-000051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386" name="Line 5">
          <a:extLst>
            <a:ext uri="{FF2B5EF4-FFF2-40B4-BE49-F238E27FC236}">
              <a16:creationId xmlns:a16="http://schemas.microsoft.com/office/drawing/2014/main" id="{00000000-0008-0000-0100-000052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387" name="Line 6">
          <a:extLst>
            <a:ext uri="{FF2B5EF4-FFF2-40B4-BE49-F238E27FC236}">
              <a16:creationId xmlns:a16="http://schemas.microsoft.com/office/drawing/2014/main" id="{00000000-0008-0000-0100-000053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388" name="Line 7">
          <a:extLst>
            <a:ext uri="{FF2B5EF4-FFF2-40B4-BE49-F238E27FC236}">
              <a16:creationId xmlns:a16="http://schemas.microsoft.com/office/drawing/2014/main" id="{00000000-0008-0000-0100-000054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389" name="Line 8">
          <a:extLst>
            <a:ext uri="{FF2B5EF4-FFF2-40B4-BE49-F238E27FC236}">
              <a16:creationId xmlns:a16="http://schemas.microsoft.com/office/drawing/2014/main" id="{00000000-0008-0000-0100-000055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390" name="Line 9">
          <a:extLst>
            <a:ext uri="{FF2B5EF4-FFF2-40B4-BE49-F238E27FC236}">
              <a16:creationId xmlns:a16="http://schemas.microsoft.com/office/drawing/2014/main" id="{00000000-0008-0000-0100-000056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391" name="Line 10">
          <a:extLst>
            <a:ext uri="{FF2B5EF4-FFF2-40B4-BE49-F238E27FC236}">
              <a16:creationId xmlns:a16="http://schemas.microsoft.com/office/drawing/2014/main" id="{00000000-0008-0000-0100-000057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392" name="Line 11">
          <a:extLst>
            <a:ext uri="{FF2B5EF4-FFF2-40B4-BE49-F238E27FC236}">
              <a16:creationId xmlns:a16="http://schemas.microsoft.com/office/drawing/2014/main" id="{00000000-0008-0000-0100-000058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393" name="Line 12">
          <a:extLst>
            <a:ext uri="{FF2B5EF4-FFF2-40B4-BE49-F238E27FC236}">
              <a16:creationId xmlns:a16="http://schemas.microsoft.com/office/drawing/2014/main" id="{00000000-0008-0000-0100-000059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394" name="Line 13">
          <a:extLst>
            <a:ext uri="{FF2B5EF4-FFF2-40B4-BE49-F238E27FC236}">
              <a16:creationId xmlns:a16="http://schemas.microsoft.com/office/drawing/2014/main" id="{00000000-0008-0000-0100-00005A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95" name="Line 14">
          <a:extLst>
            <a:ext uri="{FF2B5EF4-FFF2-40B4-BE49-F238E27FC236}">
              <a16:creationId xmlns:a16="http://schemas.microsoft.com/office/drawing/2014/main" id="{00000000-0008-0000-0100-00005B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396" name="Line 15">
          <a:extLst>
            <a:ext uri="{FF2B5EF4-FFF2-40B4-BE49-F238E27FC236}">
              <a16:creationId xmlns:a16="http://schemas.microsoft.com/office/drawing/2014/main" id="{00000000-0008-0000-0100-00005C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97" name="Line 16">
          <a:extLst>
            <a:ext uri="{FF2B5EF4-FFF2-40B4-BE49-F238E27FC236}">
              <a16:creationId xmlns:a16="http://schemas.microsoft.com/office/drawing/2014/main" id="{00000000-0008-0000-0100-00005D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398" name="Line 17">
          <a:extLst>
            <a:ext uri="{FF2B5EF4-FFF2-40B4-BE49-F238E27FC236}">
              <a16:creationId xmlns:a16="http://schemas.microsoft.com/office/drawing/2014/main" id="{00000000-0008-0000-0100-00005E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399" name="Line 18">
          <a:extLst>
            <a:ext uri="{FF2B5EF4-FFF2-40B4-BE49-F238E27FC236}">
              <a16:creationId xmlns:a16="http://schemas.microsoft.com/office/drawing/2014/main" id="{00000000-0008-0000-0100-00005F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400" name="Line 19">
          <a:extLst>
            <a:ext uri="{FF2B5EF4-FFF2-40B4-BE49-F238E27FC236}">
              <a16:creationId xmlns:a16="http://schemas.microsoft.com/office/drawing/2014/main" id="{00000000-0008-0000-0100-000060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401" name="Line 20">
          <a:extLst>
            <a:ext uri="{FF2B5EF4-FFF2-40B4-BE49-F238E27FC236}">
              <a16:creationId xmlns:a16="http://schemas.microsoft.com/office/drawing/2014/main" id="{00000000-0008-0000-0100-000061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402" name="Line 21">
          <a:extLst>
            <a:ext uri="{FF2B5EF4-FFF2-40B4-BE49-F238E27FC236}">
              <a16:creationId xmlns:a16="http://schemas.microsoft.com/office/drawing/2014/main" id="{00000000-0008-0000-0100-000062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403" name="Line 22">
          <a:extLst>
            <a:ext uri="{FF2B5EF4-FFF2-40B4-BE49-F238E27FC236}">
              <a16:creationId xmlns:a16="http://schemas.microsoft.com/office/drawing/2014/main" id="{00000000-0008-0000-0100-000063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404" name="Line 23">
          <a:extLst>
            <a:ext uri="{FF2B5EF4-FFF2-40B4-BE49-F238E27FC236}">
              <a16:creationId xmlns:a16="http://schemas.microsoft.com/office/drawing/2014/main" id="{00000000-0008-0000-0100-000064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405" name="Line 24">
          <a:extLst>
            <a:ext uri="{FF2B5EF4-FFF2-40B4-BE49-F238E27FC236}">
              <a16:creationId xmlns:a16="http://schemas.microsoft.com/office/drawing/2014/main" id="{00000000-0008-0000-0100-000065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406" name="Line 25">
          <a:extLst>
            <a:ext uri="{FF2B5EF4-FFF2-40B4-BE49-F238E27FC236}">
              <a16:creationId xmlns:a16="http://schemas.microsoft.com/office/drawing/2014/main" id="{00000000-0008-0000-0100-000066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407" name="Line 26">
          <a:extLst>
            <a:ext uri="{FF2B5EF4-FFF2-40B4-BE49-F238E27FC236}">
              <a16:creationId xmlns:a16="http://schemas.microsoft.com/office/drawing/2014/main" id="{00000000-0008-0000-0100-000067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408" name="Line 27">
          <a:extLst>
            <a:ext uri="{FF2B5EF4-FFF2-40B4-BE49-F238E27FC236}">
              <a16:creationId xmlns:a16="http://schemas.microsoft.com/office/drawing/2014/main" id="{00000000-0008-0000-0100-000068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409" name="Line 28">
          <a:extLst>
            <a:ext uri="{FF2B5EF4-FFF2-40B4-BE49-F238E27FC236}">
              <a16:creationId xmlns:a16="http://schemas.microsoft.com/office/drawing/2014/main" id="{00000000-0008-0000-0100-000069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410" name="Line 29">
          <a:extLst>
            <a:ext uri="{FF2B5EF4-FFF2-40B4-BE49-F238E27FC236}">
              <a16:creationId xmlns:a16="http://schemas.microsoft.com/office/drawing/2014/main" id="{00000000-0008-0000-0100-00006A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411" name="Line 30">
          <a:extLst>
            <a:ext uri="{FF2B5EF4-FFF2-40B4-BE49-F238E27FC236}">
              <a16:creationId xmlns:a16="http://schemas.microsoft.com/office/drawing/2014/main" id="{00000000-0008-0000-0100-00006B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412" name="Line 31">
          <a:extLst>
            <a:ext uri="{FF2B5EF4-FFF2-40B4-BE49-F238E27FC236}">
              <a16:creationId xmlns:a16="http://schemas.microsoft.com/office/drawing/2014/main" id="{00000000-0008-0000-0100-00006C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413" name="Line 32">
          <a:extLst>
            <a:ext uri="{FF2B5EF4-FFF2-40B4-BE49-F238E27FC236}">
              <a16:creationId xmlns:a16="http://schemas.microsoft.com/office/drawing/2014/main" id="{00000000-0008-0000-0100-00006D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414" name="Line 33">
          <a:extLst>
            <a:ext uri="{FF2B5EF4-FFF2-40B4-BE49-F238E27FC236}">
              <a16:creationId xmlns:a16="http://schemas.microsoft.com/office/drawing/2014/main" id="{00000000-0008-0000-0100-00006E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415" name="Line 34">
          <a:extLst>
            <a:ext uri="{FF2B5EF4-FFF2-40B4-BE49-F238E27FC236}">
              <a16:creationId xmlns:a16="http://schemas.microsoft.com/office/drawing/2014/main" id="{00000000-0008-0000-0100-00006F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416" name="Line 35">
          <a:extLst>
            <a:ext uri="{FF2B5EF4-FFF2-40B4-BE49-F238E27FC236}">
              <a16:creationId xmlns:a16="http://schemas.microsoft.com/office/drawing/2014/main" id="{00000000-0008-0000-0100-000070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417" name="Line 36">
          <a:extLst>
            <a:ext uri="{FF2B5EF4-FFF2-40B4-BE49-F238E27FC236}">
              <a16:creationId xmlns:a16="http://schemas.microsoft.com/office/drawing/2014/main" id="{00000000-0008-0000-0100-000071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418" name="Line 37">
          <a:extLst>
            <a:ext uri="{FF2B5EF4-FFF2-40B4-BE49-F238E27FC236}">
              <a16:creationId xmlns:a16="http://schemas.microsoft.com/office/drawing/2014/main" id="{00000000-0008-0000-0100-000072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419" name="Line 38">
          <a:extLst>
            <a:ext uri="{FF2B5EF4-FFF2-40B4-BE49-F238E27FC236}">
              <a16:creationId xmlns:a16="http://schemas.microsoft.com/office/drawing/2014/main" id="{00000000-0008-0000-0100-000073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420" name="Line 39">
          <a:extLst>
            <a:ext uri="{FF2B5EF4-FFF2-40B4-BE49-F238E27FC236}">
              <a16:creationId xmlns:a16="http://schemas.microsoft.com/office/drawing/2014/main" id="{00000000-0008-0000-0100-000074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421" name="Line 40">
          <a:extLst>
            <a:ext uri="{FF2B5EF4-FFF2-40B4-BE49-F238E27FC236}">
              <a16:creationId xmlns:a16="http://schemas.microsoft.com/office/drawing/2014/main" id="{00000000-0008-0000-0100-000075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422" name="Line 41">
          <a:extLst>
            <a:ext uri="{FF2B5EF4-FFF2-40B4-BE49-F238E27FC236}">
              <a16:creationId xmlns:a16="http://schemas.microsoft.com/office/drawing/2014/main" id="{00000000-0008-0000-0100-000076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423" name="Rectangle 42">
          <a:extLst>
            <a:ext uri="{FF2B5EF4-FFF2-40B4-BE49-F238E27FC236}">
              <a16:creationId xmlns:a16="http://schemas.microsoft.com/office/drawing/2014/main" id="{00000000-0008-0000-0100-000077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24" name="Line 43">
          <a:extLst>
            <a:ext uri="{FF2B5EF4-FFF2-40B4-BE49-F238E27FC236}">
              <a16:creationId xmlns:a16="http://schemas.microsoft.com/office/drawing/2014/main" id="{00000000-0008-0000-0100-00007809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25" name="Line 44">
          <a:extLst>
            <a:ext uri="{FF2B5EF4-FFF2-40B4-BE49-F238E27FC236}">
              <a16:creationId xmlns:a16="http://schemas.microsoft.com/office/drawing/2014/main" id="{00000000-0008-0000-0100-000079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426" name="Line 45">
          <a:extLst>
            <a:ext uri="{FF2B5EF4-FFF2-40B4-BE49-F238E27FC236}">
              <a16:creationId xmlns:a16="http://schemas.microsoft.com/office/drawing/2014/main" id="{00000000-0008-0000-0100-00007A09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427" name="Line 46">
          <a:extLst>
            <a:ext uri="{FF2B5EF4-FFF2-40B4-BE49-F238E27FC236}">
              <a16:creationId xmlns:a16="http://schemas.microsoft.com/office/drawing/2014/main" id="{00000000-0008-0000-0100-00007B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428" name="Line 47">
          <a:extLst>
            <a:ext uri="{FF2B5EF4-FFF2-40B4-BE49-F238E27FC236}">
              <a16:creationId xmlns:a16="http://schemas.microsoft.com/office/drawing/2014/main" id="{00000000-0008-0000-0100-00007C09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429" name="Line 48">
          <a:extLst>
            <a:ext uri="{FF2B5EF4-FFF2-40B4-BE49-F238E27FC236}">
              <a16:creationId xmlns:a16="http://schemas.microsoft.com/office/drawing/2014/main" id="{00000000-0008-0000-0100-00007D09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430" name="Line 49">
          <a:extLst>
            <a:ext uri="{FF2B5EF4-FFF2-40B4-BE49-F238E27FC236}">
              <a16:creationId xmlns:a16="http://schemas.microsoft.com/office/drawing/2014/main" id="{00000000-0008-0000-0100-00007E09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431" name="Line 50">
          <a:extLst>
            <a:ext uri="{FF2B5EF4-FFF2-40B4-BE49-F238E27FC236}">
              <a16:creationId xmlns:a16="http://schemas.microsoft.com/office/drawing/2014/main" id="{00000000-0008-0000-0100-00007F09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432" name="Line 51">
          <a:extLst>
            <a:ext uri="{FF2B5EF4-FFF2-40B4-BE49-F238E27FC236}">
              <a16:creationId xmlns:a16="http://schemas.microsoft.com/office/drawing/2014/main" id="{00000000-0008-0000-0100-00008009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433" name="Line 52">
          <a:extLst>
            <a:ext uri="{FF2B5EF4-FFF2-40B4-BE49-F238E27FC236}">
              <a16:creationId xmlns:a16="http://schemas.microsoft.com/office/drawing/2014/main" id="{00000000-0008-0000-0100-00008109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434" name="Line 53">
          <a:extLst>
            <a:ext uri="{FF2B5EF4-FFF2-40B4-BE49-F238E27FC236}">
              <a16:creationId xmlns:a16="http://schemas.microsoft.com/office/drawing/2014/main" id="{00000000-0008-0000-0100-00008209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435" name="Line 54">
          <a:extLst>
            <a:ext uri="{FF2B5EF4-FFF2-40B4-BE49-F238E27FC236}">
              <a16:creationId xmlns:a16="http://schemas.microsoft.com/office/drawing/2014/main" id="{00000000-0008-0000-0100-00008309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436" name="Line 55">
          <a:extLst>
            <a:ext uri="{FF2B5EF4-FFF2-40B4-BE49-F238E27FC236}">
              <a16:creationId xmlns:a16="http://schemas.microsoft.com/office/drawing/2014/main" id="{00000000-0008-0000-0100-00008409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437" name="Line 56">
          <a:extLst>
            <a:ext uri="{FF2B5EF4-FFF2-40B4-BE49-F238E27FC236}">
              <a16:creationId xmlns:a16="http://schemas.microsoft.com/office/drawing/2014/main" id="{00000000-0008-0000-0100-00008509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438" name="Rectangle 57">
          <a:extLst>
            <a:ext uri="{FF2B5EF4-FFF2-40B4-BE49-F238E27FC236}">
              <a16:creationId xmlns:a16="http://schemas.microsoft.com/office/drawing/2014/main" id="{00000000-0008-0000-0100-00008609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439" name="Line 58">
          <a:extLst>
            <a:ext uri="{FF2B5EF4-FFF2-40B4-BE49-F238E27FC236}">
              <a16:creationId xmlns:a16="http://schemas.microsoft.com/office/drawing/2014/main" id="{00000000-0008-0000-0100-00008709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440" name="Line 59">
          <a:extLst>
            <a:ext uri="{FF2B5EF4-FFF2-40B4-BE49-F238E27FC236}">
              <a16:creationId xmlns:a16="http://schemas.microsoft.com/office/drawing/2014/main" id="{00000000-0008-0000-0100-000088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441" name="Line 60">
          <a:extLst>
            <a:ext uri="{FF2B5EF4-FFF2-40B4-BE49-F238E27FC236}">
              <a16:creationId xmlns:a16="http://schemas.microsoft.com/office/drawing/2014/main" id="{00000000-0008-0000-0100-000089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442" name="Line 61">
          <a:extLst>
            <a:ext uri="{FF2B5EF4-FFF2-40B4-BE49-F238E27FC236}">
              <a16:creationId xmlns:a16="http://schemas.microsoft.com/office/drawing/2014/main" id="{00000000-0008-0000-0100-00008A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443" name="Line 62">
          <a:extLst>
            <a:ext uri="{FF2B5EF4-FFF2-40B4-BE49-F238E27FC236}">
              <a16:creationId xmlns:a16="http://schemas.microsoft.com/office/drawing/2014/main" id="{00000000-0008-0000-0100-00008B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444" name="Line 63">
          <a:extLst>
            <a:ext uri="{FF2B5EF4-FFF2-40B4-BE49-F238E27FC236}">
              <a16:creationId xmlns:a16="http://schemas.microsoft.com/office/drawing/2014/main" id="{00000000-0008-0000-0100-00008C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445" name="Line 64">
          <a:extLst>
            <a:ext uri="{FF2B5EF4-FFF2-40B4-BE49-F238E27FC236}">
              <a16:creationId xmlns:a16="http://schemas.microsoft.com/office/drawing/2014/main" id="{00000000-0008-0000-0100-00008D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446" name="Line 65">
          <a:extLst>
            <a:ext uri="{FF2B5EF4-FFF2-40B4-BE49-F238E27FC236}">
              <a16:creationId xmlns:a16="http://schemas.microsoft.com/office/drawing/2014/main" id="{00000000-0008-0000-0100-00008E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447" name="Line 66">
          <a:extLst>
            <a:ext uri="{FF2B5EF4-FFF2-40B4-BE49-F238E27FC236}">
              <a16:creationId xmlns:a16="http://schemas.microsoft.com/office/drawing/2014/main" id="{00000000-0008-0000-0100-00008F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448" name="Line 67">
          <a:extLst>
            <a:ext uri="{FF2B5EF4-FFF2-40B4-BE49-F238E27FC236}">
              <a16:creationId xmlns:a16="http://schemas.microsoft.com/office/drawing/2014/main" id="{00000000-0008-0000-0100-000090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449" name="Line 68">
          <a:extLst>
            <a:ext uri="{FF2B5EF4-FFF2-40B4-BE49-F238E27FC236}">
              <a16:creationId xmlns:a16="http://schemas.microsoft.com/office/drawing/2014/main" id="{00000000-0008-0000-0100-000091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450" name="Line 1">
          <a:extLst>
            <a:ext uri="{FF2B5EF4-FFF2-40B4-BE49-F238E27FC236}">
              <a16:creationId xmlns:a16="http://schemas.microsoft.com/office/drawing/2014/main" id="{00000000-0008-0000-0100-000092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451" name="Drawing 16">
          <a:extLst>
            <a:ext uri="{FF2B5EF4-FFF2-40B4-BE49-F238E27FC236}">
              <a16:creationId xmlns:a16="http://schemas.microsoft.com/office/drawing/2014/main" id="{00000000-0008-0000-0100-000093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452" name="Line 3">
          <a:extLst>
            <a:ext uri="{FF2B5EF4-FFF2-40B4-BE49-F238E27FC236}">
              <a16:creationId xmlns:a16="http://schemas.microsoft.com/office/drawing/2014/main" id="{00000000-0008-0000-0100-000094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453" name="Line 4">
          <a:extLst>
            <a:ext uri="{FF2B5EF4-FFF2-40B4-BE49-F238E27FC236}">
              <a16:creationId xmlns:a16="http://schemas.microsoft.com/office/drawing/2014/main" id="{00000000-0008-0000-0100-000095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454" name="Line 5">
          <a:extLst>
            <a:ext uri="{FF2B5EF4-FFF2-40B4-BE49-F238E27FC236}">
              <a16:creationId xmlns:a16="http://schemas.microsoft.com/office/drawing/2014/main" id="{00000000-0008-0000-0100-000096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455" name="Line 6">
          <a:extLst>
            <a:ext uri="{FF2B5EF4-FFF2-40B4-BE49-F238E27FC236}">
              <a16:creationId xmlns:a16="http://schemas.microsoft.com/office/drawing/2014/main" id="{00000000-0008-0000-0100-000097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456" name="Line 7">
          <a:extLst>
            <a:ext uri="{FF2B5EF4-FFF2-40B4-BE49-F238E27FC236}">
              <a16:creationId xmlns:a16="http://schemas.microsoft.com/office/drawing/2014/main" id="{00000000-0008-0000-0100-000098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457" name="Line 8">
          <a:extLst>
            <a:ext uri="{FF2B5EF4-FFF2-40B4-BE49-F238E27FC236}">
              <a16:creationId xmlns:a16="http://schemas.microsoft.com/office/drawing/2014/main" id="{00000000-0008-0000-0100-000099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458" name="Line 9">
          <a:extLst>
            <a:ext uri="{FF2B5EF4-FFF2-40B4-BE49-F238E27FC236}">
              <a16:creationId xmlns:a16="http://schemas.microsoft.com/office/drawing/2014/main" id="{00000000-0008-0000-0100-00009A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459" name="Line 10">
          <a:extLst>
            <a:ext uri="{FF2B5EF4-FFF2-40B4-BE49-F238E27FC236}">
              <a16:creationId xmlns:a16="http://schemas.microsoft.com/office/drawing/2014/main" id="{00000000-0008-0000-0100-00009B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460" name="Line 11">
          <a:extLst>
            <a:ext uri="{FF2B5EF4-FFF2-40B4-BE49-F238E27FC236}">
              <a16:creationId xmlns:a16="http://schemas.microsoft.com/office/drawing/2014/main" id="{00000000-0008-0000-0100-00009C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461" name="Line 12">
          <a:extLst>
            <a:ext uri="{FF2B5EF4-FFF2-40B4-BE49-F238E27FC236}">
              <a16:creationId xmlns:a16="http://schemas.microsoft.com/office/drawing/2014/main" id="{00000000-0008-0000-0100-00009D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462" name="Line 13">
          <a:extLst>
            <a:ext uri="{FF2B5EF4-FFF2-40B4-BE49-F238E27FC236}">
              <a16:creationId xmlns:a16="http://schemas.microsoft.com/office/drawing/2014/main" id="{00000000-0008-0000-0100-00009E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463" name="Line 14">
          <a:extLst>
            <a:ext uri="{FF2B5EF4-FFF2-40B4-BE49-F238E27FC236}">
              <a16:creationId xmlns:a16="http://schemas.microsoft.com/office/drawing/2014/main" id="{00000000-0008-0000-0100-00009F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464" name="Line 15">
          <a:extLst>
            <a:ext uri="{FF2B5EF4-FFF2-40B4-BE49-F238E27FC236}">
              <a16:creationId xmlns:a16="http://schemas.microsoft.com/office/drawing/2014/main" id="{00000000-0008-0000-0100-0000A0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465" name="Line 16">
          <a:extLst>
            <a:ext uri="{FF2B5EF4-FFF2-40B4-BE49-F238E27FC236}">
              <a16:creationId xmlns:a16="http://schemas.microsoft.com/office/drawing/2014/main" id="{00000000-0008-0000-0100-0000A1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466" name="Line 17">
          <a:extLst>
            <a:ext uri="{FF2B5EF4-FFF2-40B4-BE49-F238E27FC236}">
              <a16:creationId xmlns:a16="http://schemas.microsoft.com/office/drawing/2014/main" id="{00000000-0008-0000-0100-0000A2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467" name="Line 18">
          <a:extLst>
            <a:ext uri="{FF2B5EF4-FFF2-40B4-BE49-F238E27FC236}">
              <a16:creationId xmlns:a16="http://schemas.microsoft.com/office/drawing/2014/main" id="{00000000-0008-0000-0100-0000A3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468" name="Line 19">
          <a:extLst>
            <a:ext uri="{FF2B5EF4-FFF2-40B4-BE49-F238E27FC236}">
              <a16:creationId xmlns:a16="http://schemas.microsoft.com/office/drawing/2014/main" id="{00000000-0008-0000-0100-0000A4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469" name="Line 20">
          <a:extLst>
            <a:ext uri="{FF2B5EF4-FFF2-40B4-BE49-F238E27FC236}">
              <a16:creationId xmlns:a16="http://schemas.microsoft.com/office/drawing/2014/main" id="{00000000-0008-0000-0100-0000A5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470" name="Line 21">
          <a:extLst>
            <a:ext uri="{FF2B5EF4-FFF2-40B4-BE49-F238E27FC236}">
              <a16:creationId xmlns:a16="http://schemas.microsoft.com/office/drawing/2014/main" id="{00000000-0008-0000-0100-0000A6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471" name="Line 22">
          <a:extLst>
            <a:ext uri="{FF2B5EF4-FFF2-40B4-BE49-F238E27FC236}">
              <a16:creationId xmlns:a16="http://schemas.microsoft.com/office/drawing/2014/main" id="{00000000-0008-0000-0100-0000A7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472" name="Line 23">
          <a:extLst>
            <a:ext uri="{FF2B5EF4-FFF2-40B4-BE49-F238E27FC236}">
              <a16:creationId xmlns:a16="http://schemas.microsoft.com/office/drawing/2014/main" id="{00000000-0008-0000-0100-0000A8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473" name="Line 24">
          <a:extLst>
            <a:ext uri="{FF2B5EF4-FFF2-40B4-BE49-F238E27FC236}">
              <a16:creationId xmlns:a16="http://schemas.microsoft.com/office/drawing/2014/main" id="{00000000-0008-0000-0100-0000A9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474" name="Line 25">
          <a:extLst>
            <a:ext uri="{FF2B5EF4-FFF2-40B4-BE49-F238E27FC236}">
              <a16:creationId xmlns:a16="http://schemas.microsoft.com/office/drawing/2014/main" id="{00000000-0008-0000-0100-0000AA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475" name="Line 26">
          <a:extLst>
            <a:ext uri="{FF2B5EF4-FFF2-40B4-BE49-F238E27FC236}">
              <a16:creationId xmlns:a16="http://schemas.microsoft.com/office/drawing/2014/main" id="{00000000-0008-0000-0100-0000AB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476" name="Line 27">
          <a:extLst>
            <a:ext uri="{FF2B5EF4-FFF2-40B4-BE49-F238E27FC236}">
              <a16:creationId xmlns:a16="http://schemas.microsoft.com/office/drawing/2014/main" id="{00000000-0008-0000-0100-0000AC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477" name="Line 28">
          <a:extLst>
            <a:ext uri="{FF2B5EF4-FFF2-40B4-BE49-F238E27FC236}">
              <a16:creationId xmlns:a16="http://schemas.microsoft.com/office/drawing/2014/main" id="{00000000-0008-0000-0100-0000AD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478" name="Line 29">
          <a:extLst>
            <a:ext uri="{FF2B5EF4-FFF2-40B4-BE49-F238E27FC236}">
              <a16:creationId xmlns:a16="http://schemas.microsoft.com/office/drawing/2014/main" id="{00000000-0008-0000-0100-0000AE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479" name="Line 30">
          <a:extLst>
            <a:ext uri="{FF2B5EF4-FFF2-40B4-BE49-F238E27FC236}">
              <a16:creationId xmlns:a16="http://schemas.microsoft.com/office/drawing/2014/main" id="{00000000-0008-0000-0100-0000AF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480" name="Line 31">
          <a:extLst>
            <a:ext uri="{FF2B5EF4-FFF2-40B4-BE49-F238E27FC236}">
              <a16:creationId xmlns:a16="http://schemas.microsoft.com/office/drawing/2014/main" id="{00000000-0008-0000-0100-0000B0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481" name="Line 32">
          <a:extLst>
            <a:ext uri="{FF2B5EF4-FFF2-40B4-BE49-F238E27FC236}">
              <a16:creationId xmlns:a16="http://schemas.microsoft.com/office/drawing/2014/main" id="{00000000-0008-0000-0100-0000B1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482" name="Line 33">
          <a:extLst>
            <a:ext uri="{FF2B5EF4-FFF2-40B4-BE49-F238E27FC236}">
              <a16:creationId xmlns:a16="http://schemas.microsoft.com/office/drawing/2014/main" id="{00000000-0008-0000-0100-0000B2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483" name="Line 34">
          <a:extLst>
            <a:ext uri="{FF2B5EF4-FFF2-40B4-BE49-F238E27FC236}">
              <a16:creationId xmlns:a16="http://schemas.microsoft.com/office/drawing/2014/main" id="{00000000-0008-0000-0100-0000B3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484" name="Line 35">
          <a:extLst>
            <a:ext uri="{FF2B5EF4-FFF2-40B4-BE49-F238E27FC236}">
              <a16:creationId xmlns:a16="http://schemas.microsoft.com/office/drawing/2014/main" id="{00000000-0008-0000-0100-0000B4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485" name="Line 36">
          <a:extLst>
            <a:ext uri="{FF2B5EF4-FFF2-40B4-BE49-F238E27FC236}">
              <a16:creationId xmlns:a16="http://schemas.microsoft.com/office/drawing/2014/main" id="{00000000-0008-0000-0100-0000B5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486" name="Line 37">
          <a:extLst>
            <a:ext uri="{FF2B5EF4-FFF2-40B4-BE49-F238E27FC236}">
              <a16:creationId xmlns:a16="http://schemas.microsoft.com/office/drawing/2014/main" id="{00000000-0008-0000-0100-0000B6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487" name="Line 38">
          <a:extLst>
            <a:ext uri="{FF2B5EF4-FFF2-40B4-BE49-F238E27FC236}">
              <a16:creationId xmlns:a16="http://schemas.microsoft.com/office/drawing/2014/main" id="{00000000-0008-0000-0100-0000B7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488" name="Line 39">
          <a:extLst>
            <a:ext uri="{FF2B5EF4-FFF2-40B4-BE49-F238E27FC236}">
              <a16:creationId xmlns:a16="http://schemas.microsoft.com/office/drawing/2014/main" id="{00000000-0008-0000-0100-0000B8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489" name="Line 40">
          <a:extLst>
            <a:ext uri="{FF2B5EF4-FFF2-40B4-BE49-F238E27FC236}">
              <a16:creationId xmlns:a16="http://schemas.microsoft.com/office/drawing/2014/main" id="{00000000-0008-0000-0100-0000B9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490" name="Line 41">
          <a:extLst>
            <a:ext uri="{FF2B5EF4-FFF2-40B4-BE49-F238E27FC236}">
              <a16:creationId xmlns:a16="http://schemas.microsoft.com/office/drawing/2014/main" id="{00000000-0008-0000-0100-0000BA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491" name="Rectangle 42">
          <a:extLst>
            <a:ext uri="{FF2B5EF4-FFF2-40B4-BE49-F238E27FC236}">
              <a16:creationId xmlns:a16="http://schemas.microsoft.com/office/drawing/2014/main" id="{00000000-0008-0000-0100-0000BB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92" name="Line 43">
          <a:extLst>
            <a:ext uri="{FF2B5EF4-FFF2-40B4-BE49-F238E27FC236}">
              <a16:creationId xmlns:a16="http://schemas.microsoft.com/office/drawing/2014/main" id="{00000000-0008-0000-0100-0000BC09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93" name="Line 44">
          <a:extLst>
            <a:ext uri="{FF2B5EF4-FFF2-40B4-BE49-F238E27FC236}">
              <a16:creationId xmlns:a16="http://schemas.microsoft.com/office/drawing/2014/main" id="{00000000-0008-0000-0100-0000BD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494" name="Line 45">
          <a:extLst>
            <a:ext uri="{FF2B5EF4-FFF2-40B4-BE49-F238E27FC236}">
              <a16:creationId xmlns:a16="http://schemas.microsoft.com/office/drawing/2014/main" id="{00000000-0008-0000-0100-0000BE09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495" name="Line 46">
          <a:extLst>
            <a:ext uri="{FF2B5EF4-FFF2-40B4-BE49-F238E27FC236}">
              <a16:creationId xmlns:a16="http://schemas.microsoft.com/office/drawing/2014/main" id="{00000000-0008-0000-0100-0000BF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496" name="Line 47">
          <a:extLst>
            <a:ext uri="{FF2B5EF4-FFF2-40B4-BE49-F238E27FC236}">
              <a16:creationId xmlns:a16="http://schemas.microsoft.com/office/drawing/2014/main" id="{00000000-0008-0000-0100-0000C009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497" name="Line 48">
          <a:extLst>
            <a:ext uri="{FF2B5EF4-FFF2-40B4-BE49-F238E27FC236}">
              <a16:creationId xmlns:a16="http://schemas.microsoft.com/office/drawing/2014/main" id="{00000000-0008-0000-0100-0000C109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498" name="Line 49">
          <a:extLst>
            <a:ext uri="{FF2B5EF4-FFF2-40B4-BE49-F238E27FC236}">
              <a16:creationId xmlns:a16="http://schemas.microsoft.com/office/drawing/2014/main" id="{00000000-0008-0000-0100-0000C209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499" name="Line 50">
          <a:extLst>
            <a:ext uri="{FF2B5EF4-FFF2-40B4-BE49-F238E27FC236}">
              <a16:creationId xmlns:a16="http://schemas.microsoft.com/office/drawing/2014/main" id="{00000000-0008-0000-0100-0000C309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500" name="Line 51">
          <a:extLst>
            <a:ext uri="{FF2B5EF4-FFF2-40B4-BE49-F238E27FC236}">
              <a16:creationId xmlns:a16="http://schemas.microsoft.com/office/drawing/2014/main" id="{00000000-0008-0000-0100-0000C409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501" name="Line 52">
          <a:extLst>
            <a:ext uri="{FF2B5EF4-FFF2-40B4-BE49-F238E27FC236}">
              <a16:creationId xmlns:a16="http://schemas.microsoft.com/office/drawing/2014/main" id="{00000000-0008-0000-0100-0000C509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502" name="Line 53">
          <a:extLst>
            <a:ext uri="{FF2B5EF4-FFF2-40B4-BE49-F238E27FC236}">
              <a16:creationId xmlns:a16="http://schemas.microsoft.com/office/drawing/2014/main" id="{00000000-0008-0000-0100-0000C609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503" name="Line 54">
          <a:extLst>
            <a:ext uri="{FF2B5EF4-FFF2-40B4-BE49-F238E27FC236}">
              <a16:creationId xmlns:a16="http://schemas.microsoft.com/office/drawing/2014/main" id="{00000000-0008-0000-0100-0000C709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504" name="Line 55">
          <a:extLst>
            <a:ext uri="{FF2B5EF4-FFF2-40B4-BE49-F238E27FC236}">
              <a16:creationId xmlns:a16="http://schemas.microsoft.com/office/drawing/2014/main" id="{00000000-0008-0000-0100-0000C809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505" name="Line 56">
          <a:extLst>
            <a:ext uri="{FF2B5EF4-FFF2-40B4-BE49-F238E27FC236}">
              <a16:creationId xmlns:a16="http://schemas.microsoft.com/office/drawing/2014/main" id="{00000000-0008-0000-0100-0000C909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506" name="Rectangle 57">
          <a:extLst>
            <a:ext uri="{FF2B5EF4-FFF2-40B4-BE49-F238E27FC236}">
              <a16:creationId xmlns:a16="http://schemas.microsoft.com/office/drawing/2014/main" id="{00000000-0008-0000-0100-0000CA09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507" name="Line 58">
          <a:extLst>
            <a:ext uri="{FF2B5EF4-FFF2-40B4-BE49-F238E27FC236}">
              <a16:creationId xmlns:a16="http://schemas.microsoft.com/office/drawing/2014/main" id="{00000000-0008-0000-0100-0000CB09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508" name="Line 59">
          <a:extLst>
            <a:ext uri="{FF2B5EF4-FFF2-40B4-BE49-F238E27FC236}">
              <a16:creationId xmlns:a16="http://schemas.microsoft.com/office/drawing/2014/main" id="{00000000-0008-0000-0100-0000CC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509" name="Line 60">
          <a:extLst>
            <a:ext uri="{FF2B5EF4-FFF2-40B4-BE49-F238E27FC236}">
              <a16:creationId xmlns:a16="http://schemas.microsoft.com/office/drawing/2014/main" id="{00000000-0008-0000-0100-0000CD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510" name="Line 61">
          <a:extLst>
            <a:ext uri="{FF2B5EF4-FFF2-40B4-BE49-F238E27FC236}">
              <a16:creationId xmlns:a16="http://schemas.microsoft.com/office/drawing/2014/main" id="{00000000-0008-0000-0100-0000CE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511" name="Line 62">
          <a:extLst>
            <a:ext uri="{FF2B5EF4-FFF2-40B4-BE49-F238E27FC236}">
              <a16:creationId xmlns:a16="http://schemas.microsoft.com/office/drawing/2014/main" id="{00000000-0008-0000-0100-0000CF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512" name="Line 63">
          <a:extLst>
            <a:ext uri="{FF2B5EF4-FFF2-40B4-BE49-F238E27FC236}">
              <a16:creationId xmlns:a16="http://schemas.microsoft.com/office/drawing/2014/main" id="{00000000-0008-0000-0100-0000D0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513" name="Line 64">
          <a:extLst>
            <a:ext uri="{FF2B5EF4-FFF2-40B4-BE49-F238E27FC236}">
              <a16:creationId xmlns:a16="http://schemas.microsoft.com/office/drawing/2014/main" id="{00000000-0008-0000-0100-0000D1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514" name="Line 65">
          <a:extLst>
            <a:ext uri="{FF2B5EF4-FFF2-40B4-BE49-F238E27FC236}">
              <a16:creationId xmlns:a16="http://schemas.microsoft.com/office/drawing/2014/main" id="{00000000-0008-0000-0100-0000D2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515" name="Line 66">
          <a:extLst>
            <a:ext uri="{FF2B5EF4-FFF2-40B4-BE49-F238E27FC236}">
              <a16:creationId xmlns:a16="http://schemas.microsoft.com/office/drawing/2014/main" id="{00000000-0008-0000-0100-0000D3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516" name="Line 67">
          <a:extLst>
            <a:ext uri="{FF2B5EF4-FFF2-40B4-BE49-F238E27FC236}">
              <a16:creationId xmlns:a16="http://schemas.microsoft.com/office/drawing/2014/main" id="{00000000-0008-0000-0100-0000D4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517" name="Line 68">
          <a:extLst>
            <a:ext uri="{FF2B5EF4-FFF2-40B4-BE49-F238E27FC236}">
              <a16:creationId xmlns:a16="http://schemas.microsoft.com/office/drawing/2014/main" id="{00000000-0008-0000-0100-0000D5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518" name="Line 1">
          <a:extLst>
            <a:ext uri="{FF2B5EF4-FFF2-40B4-BE49-F238E27FC236}">
              <a16:creationId xmlns:a16="http://schemas.microsoft.com/office/drawing/2014/main" id="{00000000-0008-0000-0100-0000D6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519" name="Drawing 16">
          <a:extLst>
            <a:ext uri="{FF2B5EF4-FFF2-40B4-BE49-F238E27FC236}">
              <a16:creationId xmlns:a16="http://schemas.microsoft.com/office/drawing/2014/main" id="{00000000-0008-0000-0100-0000D7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520" name="Line 3">
          <a:extLst>
            <a:ext uri="{FF2B5EF4-FFF2-40B4-BE49-F238E27FC236}">
              <a16:creationId xmlns:a16="http://schemas.microsoft.com/office/drawing/2014/main" id="{00000000-0008-0000-0100-0000D8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521" name="Line 4">
          <a:extLst>
            <a:ext uri="{FF2B5EF4-FFF2-40B4-BE49-F238E27FC236}">
              <a16:creationId xmlns:a16="http://schemas.microsoft.com/office/drawing/2014/main" id="{00000000-0008-0000-0100-0000D9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522" name="Line 5">
          <a:extLst>
            <a:ext uri="{FF2B5EF4-FFF2-40B4-BE49-F238E27FC236}">
              <a16:creationId xmlns:a16="http://schemas.microsoft.com/office/drawing/2014/main" id="{00000000-0008-0000-0100-0000DA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523" name="Line 6">
          <a:extLst>
            <a:ext uri="{FF2B5EF4-FFF2-40B4-BE49-F238E27FC236}">
              <a16:creationId xmlns:a16="http://schemas.microsoft.com/office/drawing/2014/main" id="{00000000-0008-0000-0100-0000DB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524" name="Line 7">
          <a:extLst>
            <a:ext uri="{FF2B5EF4-FFF2-40B4-BE49-F238E27FC236}">
              <a16:creationId xmlns:a16="http://schemas.microsoft.com/office/drawing/2014/main" id="{00000000-0008-0000-0100-0000DC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525" name="Line 8">
          <a:extLst>
            <a:ext uri="{FF2B5EF4-FFF2-40B4-BE49-F238E27FC236}">
              <a16:creationId xmlns:a16="http://schemas.microsoft.com/office/drawing/2014/main" id="{00000000-0008-0000-0100-0000DD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526" name="Line 9">
          <a:extLst>
            <a:ext uri="{FF2B5EF4-FFF2-40B4-BE49-F238E27FC236}">
              <a16:creationId xmlns:a16="http://schemas.microsoft.com/office/drawing/2014/main" id="{00000000-0008-0000-0100-0000DE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527" name="Line 10">
          <a:extLst>
            <a:ext uri="{FF2B5EF4-FFF2-40B4-BE49-F238E27FC236}">
              <a16:creationId xmlns:a16="http://schemas.microsoft.com/office/drawing/2014/main" id="{00000000-0008-0000-0100-0000DF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528" name="Line 11">
          <a:extLst>
            <a:ext uri="{FF2B5EF4-FFF2-40B4-BE49-F238E27FC236}">
              <a16:creationId xmlns:a16="http://schemas.microsoft.com/office/drawing/2014/main" id="{00000000-0008-0000-0100-0000E0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529" name="Line 12">
          <a:extLst>
            <a:ext uri="{FF2B5EF4-FFF2-40B4-BE49-F238E27FC236}">
              <a16:creationId xmlns:a16="http://schemas.microsoft.com/office/drawing/2014/main" id="{00000000-0008-0000-0100-0000E1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530" name="Line 13">
          <a:extLst>
            <a:ext uri="{FF2B5EF4-FFF2-40B4-BE49-F238E27FC236}">
              <a16:creationId xmlns:a16="http://schemas.microsoft.com/office/drawing/2014/main" id="{00000000-0008-0000-0100-0000E2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531" name="Line 14">
          <a:extLst>
            <a:ext uri="{FF2B5EF4-FFF2-40B4-BE49-F238E27FC236}">
              <a16:creationId xmlns:a16="http://schemas.microsoft.com/office/drawing/2014/main" id="{00000000-0008-0000-0100-0000E3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532" name="Line 15">
          <a:extLst>
            <a:ext uri="{FF2B5EF4-FFF2-40B4-BE49-F238E27FC236}">
              <a16:creationId xmlns:a16="http://schemas.microsoft.com/office/drawing/2014/main" id="{00000000-0008-0000-0100-0000E4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533" name="Line 16">
          <a:extLst>
            <a:ext uri="{FF2B5EF4-FFF2-40B4-BE49-F238E27FC236}">
              <a16:creationId xmlns:a16="http://schemas.microsoft.com/office/drawing/2014/main" id="{00000000-0008-0000-0100-0000E5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534" name="Line 17">
          <a:extLst>
            <a:ext uri="{FF2B5EF4-FFF2-40B4-BE49-F238E27FC236}">
              <a16:creationId xmlns:a16="http://schemas.microsoft.com/office/drawing/2014/main" id="{00000000-0008-0000-0100-0000E6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535" name="Line 18">
          <a:extLst>
            <a:ext uri="{FF2B5EF4-FFF2-40B4-BE49-F238E27FC236}">
              <a16:creationId xmlns:a16="http://schemas.microsoft.com/office/drawing/2014/main" id="{00000000-0008-0000-0100-0000E7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536" name="Line 19">
          <a:extLst>
            <a:ext uri="{FF2B5EF4-FFF2-40B4-BE49-F238E27FC236}">
              <a16:creationId xmlns:a16="http://schemas.microsoft.com/office/drawing/2014/main" id="{00000000-0008-0000-0100-0000E8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537" name="Line 20">
          <a:extLst>
            <a:ext uri="{FF2B5EF4-FFF2-40B4-BE49-F238E27FC236}">
              <a16:creationId xmlns:a16="http://schemas.microsoft.com/office/drawing/2014/main" id="{00000000-0008-0000-0100-0000E9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538" name="Line 21">
          <a:extLst>
            <a:ext uri="{FF2B5EF4-FFF2-40B4-BE49-F238E27FC236}">
              <a16:creationId xmlns:a16="http://schemas.microsoft.com/office/drawing/2014/main" id="{00000000-0008-0000-0100-0000EA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539" name="Line 22">
          <a:extLst>
            <a:ext uri="{FF2B5EF4-FFF2-40B4-BE49-F238E27FC236}">
              <a16:creationId xmlns:a16="http://schemas.microsoft.com/office/drawing/2014/main" id="{00000000-0008-0000-0100-0000EB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540" name="Line 23">
          <a:extLst>
            <a:ext uri="{FF2B5EF4-FFF2-40B4-BE49-F238E27FC236}">
              <a16:creationId xmlns:a16="http://schemas.microsoft.com/office/drawing/2014/main" id="{00000000-0008-0000-0100-0000EC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541" name="Line 24">
          <a:extLst>
            <a:ext uri="{FF2B5EF4-FFF2-40B4-BE49-F238E27FC236}">
              <a16:creationId xmlns:a16="http://schemas.microsoft.com/office/drawing/2014/main" id="{00000000-0008-0000-0100-0000ED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542" name="Line 25">
          <a:extLst>
            <a:ext uri="{FF2B5EF4-FFF2-40B4-BE49-F238E27FC236}">
              <a16:creationId xmlns:a16="http://schemas.microsoft.com/office/drawing/2014/main" id="{00000000-0008-0000-0100-0000EE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543" name="Line 26">
          <a:extLst>
            <a:ext uri="{FF2B5EF4-FFF2-40B4-BE49-F238E27FC236}">
              <a16:creationId xmlns:a16="http://schemas.microsoft.com/office/drawing/2014/main" id="{00000000-0008-0000-0100-0000EF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544" name="Line 27">
          <a:extLst>
            <a:ext uri="{FF2B5EF4-FFF2-40B4-BE49-F238E27FC236}">
              <a16:creationId xmlns:a16="http://schemas.microsoft.com/office/drawing/2014/main" id="{00000000-0008-0000-0100-0000F0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545" name="Line 28">
          <a:extLst>
            <a:ext uri="{FF2B5EF4-FFF2-40B4-BE49-F238E27FC236}">
              <a16:creationId xmlns:a16="http://schemas.microsoft.com/office/drawing/2014/main" id="{00000000-0008-0000-0100-0000F1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546" name="Line 29">
          <a:extLst>
            <a:ext uri="{FF2B5EF4-FFF2-40B4-BE49-F238E27FC236}">
              <a16:creationId xmlns:a16="http://schemas.microsoft.com/office/drawing/2014/main" id="{00000000-0008-0000-0100-0000F2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547" name="Line 30">
          <a:extLst>
            <a:ext uri="{FF2B5EF4-FFF2-40B4-BE49-F238E27FC236}">
              <a16:creationId xmlns:a16="http://schemas.microsoft.com/office/drawing/2014/main" id="{00000000-0008-0000-0100-0000F3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548" name="Line 31">
          <a:extLst>
            <a:ext uri="{FF2B5EF4-FFF2-40B4-BE49-F238E27FC236}">
              <a16:creationId xmlns:a16="http://schemas.microsoft.com/office/drawing/2014/main" id="{00000000-0008-0000-0100-0000F4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549" name="Line 32">
          <a:extLst>
            <a:ext uri="{FF2B5EF4-FFF2-40B4-BE49-F238E27FC236}">
              <a16:creationId xmlns:a16="http://schemas.microsoft.com/office/drawing/2014/main" id="{00000000-0008-0000-0100-0000F5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550" name="Line 33">
          <a:extLst>
            <a:ext uri="{FF2B5EF4-FFF2-40B4-BE49-F238E27FC236}">
              <a16:creationId xmlns:a16="http://schemas.microsoft.com/office/drawing/2014/main" id="{00000000-0008-0000-0100-0000F6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551" name="Line 34">
          <a:extLst>
            <a:ext uri="{FF2B5EF4-FFF2-40B4-BE49-F238E27FC236}">
              <a16:creationId xmlns:a16="http://schemas.microsoft.com/office/drawing/2014/main" id="{00000000-0008-0000-0100-0000F7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552" name="Line 35">
          <a:extLst>
            <a:ext uri="{FF2B5EF4-FFF2-40B4-BE49-F238E27FC236}">
              <a16:creationId xmlns:a16="http://schemas.microsoft.com/office/drawing/2014/main" id="{00000000-0008-0000-0100-0000F8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553" name="Line 36">
          <a:extLst>
            <a:ext uri="{FF2B5EF4-FFF2-40B4-BE49-F238E27FC236}">
              <a16:creationId xmlns:a16="http://schemas.microsoft.com/office/drawing/2014/main" id="{00000000-0008-0000-0100-0000F9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554" name="Line 37">
          <a:extLst>
            <a:ext uri="{FF2B5EF4-FFF2-40B4-BE49-F238E27FC236}">
              <a16:creationId xmlns:a16="http://schemas.microsoft.com/office/drawing/2014/main" id="{00000000-0008-0000-0100-0000FA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555" name="Line 38">
          <a:extLst>
            <a:ext uri="{FF2B5EF4-FFF2-40B4-BE49-F238E27FC236}">
              <a16:creationId xmlns:a16="http://schemas.microsoft.com/office/drawing/2014/main" id="{00000000-0008-0000-0100-0000FB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556" name="Line 39">
          <a:extLst>
            <a:ext uri="{FF2B5EF4-FFF2-40B4-BE49-F238E27FC236}">
              <a16:creationId xmlns:a16="http://schemas.microsoft.com/office/drawing/2014/main" id="{00000000-0008-0000-0100-0000FC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557" name="Line 40">
          <a:extLst>
            <a:ext uri="{FF2B5EF4-FFF2-40B4-BE49-F238E27FC236}">
              <a16:creationId xmlns:a16="http://schemas.microsoft.com/office/drawing/2014/main" id="{00000000-0008-0000-0100-0000FD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558" name="Line 41">
          <a:extLst>
            <a:ext uri="{FF2B5EF4-FFF2-40B4-BE49-F238E27FC236}">
              <a16:creationId xmlns:a16="http://schemas.microsoft.com/office/drawing/2014/main" id="{00000000-0008-0000-0100-0000FE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559" name="Rectangle 42">
          <a:extLst>
            <a:ext uri="{FF2B5EF4-FFF2-40B4-BE49-F238E27FC236}">
              <a16:creationId xmlns:a16="http://schemas.microsoft.com/office/drawing/2014/main" id="{00000000-0008-0000-0100-0000FF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560" name="Line 43">
          <a:extLst>
            <a:ext uri="{FF2B5EF4-FFF2-40B4-BE49-F238E27FC236}">
              <a16:creationId xmlns:a16="http://schemas.microsoft.com/office/drawing/2014/main" id="{00000000-0008-0000-0100-000000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561" name="Line 44">
          <a:extLst>
            <a:ext uri="{FF2B5EF4-FFF2-40B4-BE49-F238E27FC236}">
              <a16:creationId xmlns:a16="http://schemas.microsoft.com/office/drawing/2014/main" id="{00000000-0008-0000-0100-000001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562" name="Line 45">
          <a:extLst>
            <a:ext uri="{FF2B5EF4-FFF2-40B4-BE49-F238E27FC236}">
              <a16:creationId xmlns:a16="http://schemas.microsoft.com/office/drawing/2014/main" id="{00000000-0008-0000-0100-000002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563" name="Line 46">
          <a:extLst>
            <a:ext uri="{FF2B5EF4-FFF2-40B4-BE49-F238E27FC236}">
              <a16:creationId xmlns:a16="http://schemas.microsoft.com/office/drawing/2014/main" id="{00000000-0008-0000-0100-000003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564" name="Line 47">
          <a:extLst>
            <a:ext uri="{FF2B5EF4-FFF2-40B4-BE49-F238E27FC236}">
              <a16:creationId xmlns:a16="http://schemas.microsoft.com/office/drawing/2014/main" id="{00000000-0008-0000-0100-000004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565" name="Line 48">
          <a:extLst>
            <a:ext uri="{FF2B5EF4-FFF2-40B4-BE49-F238E27FC236}">
              <a16:creationId xmlns:a16="http://schemas.microsoft.com/office/drawing/2014/main" id="{00000000-0008-0000-0100-000005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566" name="Line 49">
          <a:extLst>
            <a:ext uri="{FF2B5EF4-FFF2-40B4-BE49-F238E27FC236}">
              <a16:creationId xmlns:a16="http://schemas.microsoft.com/office/drawing/2014/main" id="{00000000-0008-0000-0100-000006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567" name="Line 50">
          <a:extLst>
            <a:ext uri="{FF2B5EF4-FFF2-40B4-BE49-F238E27FC236}">
              <a16:creationId xmlns:a16="http://schemas.microsoft.com/office/drawing/2014/main" id="{00000000-0008-0000-0100-000007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568" name="Line 51">
          <a:extLst>
            <a:ext uri="{FF2B5EF4-FFF2-40B4-BE49-F238E27FC236}">
              <a16:creationId xmlns:a16="http://schemas.microsoft.com/office/drawing/2014/main" id="{00000000-0008-0000-0100-000008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569" name="Line 52">
          <a:extLst>
            <a:ext uri="{FF2B5EF4-FFF2-40B4-BE49-F238E27FC236}">
              <a16:creationId xmlns:a16="http://schemas.microsoft.com/office/drawing/2014/main" id="{00000000-0008-0000-0100-000009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570" name="Line 53">
          <a:extLst>
            <a:ext uri="{FF2B5EF4-FFF2-40B4-BE49-F238E27FC236}">
              <a16:creationId xmlns:a16="http://schemas.microsoft.com/office/drawing/2014/main" id="{00000000-0008-0000-0100-00000A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571" name="Line 54">
          <a:extLst>
            <a:ext uri="{FF2B5EF4-FFF2-40B4-BE49-F238E27FC236}">
              <a16:creationId xmlns:a16="http://schemas.microsoft.com/office/drawing/2014/main" id="{00000000-0008-0000-0100-00000B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572" name="Line 55">
          <a:extLst>
            <a:ext uri="{FF2B5EF4-FFF2-40B4-BE49-F238E27FC236}">
              <a16:creationId xmlns:a16="http://schemas.microsoft.com/office/drawing/2014/main" id="{00000000-0008-0000-0100-00000C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573" name="Line 56">
          <a:extLst>
            <a:ext uri="{FF2B5EF4-FFF2-40B4-BE49-F238E27FC236}">
              <a16:creationId xmlns:a16="http://schemas.microsoft.com/office/drawing/2014/main" id="{00000000-0008-0000-0100-00000D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574" name="Rectangle 57">
          <a:extLst>
            <a:ext uri="{FF2B5EF4-FFF2-40B4-BE49-F238E27FC236}">
              <a16:creationId xmlns:a16="http://schemas.microsoft.com/office/drawing/2014/main" id="{00000000-0008-0000-0100-00000E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575" name="Line 58">
          <a:extLst>
            <a:ext uri="{FF2B5EF4-FFF2-40B4-BE49-F238E27FC236}">
              <a16:creationId xmlns:a16="http://schemas.microsoft.com/office/drawing/2014/main" id="{00000000-0008-0000-0100-00000F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576" name="Line 59">
          <a:extLst>
            <a:ext uri="{FF2B5EF4-FFF2-40B4-BE49-F238E27FC236}">
              <a16:creationId xmlns:a16="http://schemas.microsoft.com/office/drawing/2014/main" id="{00000000-0008-0000-0100-000010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577" name="Line 60">
          <a:extLst>
            <a:ext uri="{FF2B5EF4-FFF2-40B4-BE49-F238E27FC236}">
              <a16:creationId xmlns:a16="http://schemas.microsoft.com/office/drawing/2014/main" id="{00000000-0008-0000-0100-000011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578" name="Line 61">
          <a:extLst>
            <a:ext uri="{FF2B5EF4-FFF2-40B4-BE49-F238E27FC236}">
              <a16:creationId xmlns:a16="http://schemas.microsoft.com/office/drawing/2014/main" id="{00000000-0008-0000-0100-000012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579" name="Line 62">
          <a:extLst>
            <a:ext uri="{FF2B5EF4-FFF2-40B4-BE49-F238E27FC236}">
              <a16:creationId xmlns:a16="http://schemas.microsoft.com/office/drawing/2014/main" id="{00000000-0008-0000-0100-000013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580" name="Line 63">
          <a:extLst>
            <a:ext uri="{FF2B5EF4-FFF2-40B4-BE49-F238E27FC236}">
              <a16:creationId xmlns:a16="http://schemas.microsoft.com/office/drawing/2014/main" id="{00000000-0008-0000-0100-000014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581" name="Line 64">
          <a:extLst>
            <a:ext uri="{FF2B5EF4-FFF2-40B4-BE49-F238E27FC236}">
              <a16:creationId xmlns:a16="http://schemas.microsoft.com/office/drawing/2014/main" id="{00000000-0008-0000-0100-000015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582" name="Line 65">
          <a:extLst>
            <a:ext uri="{FF2B5EF4-FFF2-40B4-BE49-F238E27FC236}">
              <a16:creationId xmlns:a16="http://schemas.microsoft.com/office/drawing/2014/main" id="{00000000-0008-0000-0100-000016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583" name="Line 66">
          <a:extLst>
            <a:ext uri="{FF2B5EF4-FFF2-40B4-BE49-F238E27FC236}">
              <a16:creationId xmlns:a16="http://schemas.microsoft.com/office/drawing/2014/main" id="{00000000-0008-0000-0100-000017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584" name="Line 67">
          <a:extLst>
            <a:ext uri="{FF2B5EF4-FFF2-40B4-BE49-F238E27FC236}">
              <a16:creationId xmlns:a16="http://schemas.microsoft.com/office/drawing/2014/main" id="{00000000-0008-0000-0100-000018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585" name="Line 68">
          <a:extLst>
            <a:ext uri="{FF2B5EF4-FFF2-40B4-BE49-F238E27FC236}">
              <a16:creationId xmlns:a16="http://schemas.microsoft.com/office/drawing/2014/main" id="{00000000-0008-0000-0100-000019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586" name="Line 1">
          <a:extLst>
            <a:ext uri="{FF2B5EF4-FFF2-40B4-BE49-F238E27FC236}">
              <a16:creationId xmlns:a16="http://schemas.microsoft.com/office/drawing/2014/main" id="{00000000-0008-0000-0100-00001A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587" name="Drawing 16">
          <a:extLst>
            <a:ext uri="{FF2B5EF4-FFF2-40B4-BE49-F238E27FC236}">
              <a16:creationId xmlns:a16="http://schemas.microsoft.com/office/drawing/2014/main" id="{00000000-0008-0000-0100-00001B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588" name="Line 3">
          <a:extLst>
            <a:ext uri="{FF2B5EF4-FFF2-40B4-BE49-F238E27FC236}">
              <a16:creationId xmlns:a16="http://schemas.microsoft.com/office/drawing/2014/main" id="{00000000-0008-0000-0100-00001C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589" name="Line 4">
          <a:extLst>
            <a:ext uri="{FF2B5EF4-FFF2-40B4-BE49-F238E27FC236}">
              <a16:creationId xmlns:a16="http://schemas.microsoft.com/office/drawing/2014/main" id="{00000000-0008-0000-0100-00001D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590" name="Line 5">
          <a:extLst>
            <a:ext uri="{FF2B5EF4-FFF2-40B4-BE49-F238E27FC236}">
              <a16:creationId xmlns:a16="http://schemas.microsoft.com/office/drawing/2014/main" id="{00000000-0008-0000-0100-00001E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591" name="Line 6">
          <a:extLst>
            <a:ext uri="{FF2B5EF4-FFF2-40B4-BE49-F238E27FC236}">
              <a16:creationId xmlns:a16="http://schemas.microsoft.com/office/drawing/2014/main" id="{00000000-0008-0000-0100-00001F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592" name="Line 7">
          <a:extLst>
            <a:ext uri="{FF2B5EF4-FFF2-40B4-BE49-F238E27FC236}">
              <a16:creationId xmlns:a16="http://schemas.microsoft.com/office/drawing/2014/main" id="{00000000-0008-0000-0100-000020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593" name="Line 8">
          <a:extLst>
            <a:ext uri="{FF2B5EF4-FFF2-40B4-BE49-F238E27FC236}">
              <a16:creationId xmlns:a16="http://schemas.microsoft.com/office/drawing/2014/main" id="{00000000-0008-0000-0100-000021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594" name="Line 9">
          <a:extLst>
            <a:ext uri="{FF2B5EF4-FFF2-40B4-BE49-F238E27FC236}">
              <a16:creationId xmlns:a16="http://schemas.microsoft.com/office/drawing/2014/main" id="{00000000-0008-0000-0100-000022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595" name="Line 10">
          <a:extLst>
            <a:ext uri="{FF2B5EF4-FFF2-40B4-BE49-F238E27FC236}">
              <a16:creationId xmlns:a16="http://schemas.microsoft.com/office/drawing/2014/main" id="{00000000-0008-0000-0100-000023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596" name="Line 11">
          <a:extLst>
            <a:ext uri="{FF2B5EF4-FFF2-40B4-BE49-F238E27FC236}">
              <a16:creationId xmlns:a16="http://schemas.microsoft.com/office/drawing/2014/main" id="{00000000-0008-0000-0100-000024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597" name="Line 12">
          <a:extLst>
            <a:ext uri="{FF2B5EF4-FFF2-40B4-BE49-F238E27FC236}">
              <a16:creationId xmlns:a16="http://schemas.microsoft.com/office/drawing/2014/main" id="{00000000-0008-0000-0100-000025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598" name="Line 13">
          <a:extLst>
            <a:ext uri="{FF2B5EF4-FFF2-40B4-BE49-F238E27FC236}">
              <a16:creationId xmlns:a16="http://schemas.microsoft.com/office/drawing/2014/main" id="{00000000-0008-0000-0100-000026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599" name="Line 14">
          <a:extLst>
            <a:ext uri="{FF2B5EF4-FFF2-40B4-BE49-F238E27FC236}">
              <a16:creationId xmlns:a16="http://schemas.microsoft.com/office/drawing/2014/main" id="{00000000-0008-0000-0100-000027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600" name="Line 15">
          <a:extLst>
            <a:ext uri="{FF2B5EF4-FFF2-40B4-BE49-F238E27FC236}">
              <a16:creationId xmlns:a16="http://schemas.microsoft.com/office/drawing/2014/main" id="{00000000-0008-0000-0100-000028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601" name="Line 16">
          <a:extLst>
            <a:ext uri="{FF2B5EF4-FFF2-40B4-BE49-F238E27FC236}">
              <a16:creationId xmlns:a16="http://schemas.microsoft.com/office/drawing/2014/main" id="{00000000-0008-0000-0100-000029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602" name="Line 17">
          <a:extLst>
            <a:ext uri="{FF2B5EF4-FFF2-40B4-BE49-F238E27FC236}">
              <a16:creationId xmlns:a16="http://schemas.microsoft.com/office/drawing/2014/main" id="{00000000-0008-0000-0100-00002A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603" name="Line 18">
          <a:extLst>
            <a:ext uri="{FF2B5EF4-FFF2-40B4-BE49-F238E27FC236}">
              <a16:creationId xmlns:a16="http://schemas.microsoft.com/office/drawing/2014/main" id="{00000000-0008-0000-0100-00002B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604" name="Line 19">
          <a:extLst>
            <a:ext uri="{FF2B5EF4-FFF2-40B4-BE49-F238E27FC236}">
              <a16:creationId xmlns:a16="http://schemas.microsoft.com/office/drawing/2014/main" id="{00000000-0008-0000-0100-00002C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605" name="Line 20">
          <a:extLst>
            <a:ext uri="{FF2B5EF4-FFF2-40B4-BE49-F238E27FC236}">
              <a16:creationId xmlns:a16="http://schemas.microsoft.com/office/drawing/2014/main" id="{00000000-0008-0000-0100-00002D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606" name="Line 21">
          <a:extLst>
            <a:ext uri="{FF2B5EF4-FFF2-40B4-BE49-F238E27FC236}">
              <a16:creationId xmlns:a16="http://schemas.microsoft.com/office/drawing/2014/main" id="{00000000-0008-0000-0100-00002E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607" name="Line 22">
          <a:extLst>
            <a:ext uri="{FF2B5EF4-FFF2-40B4-BE49-F238E27FC236}">
              <a16:creationId xmlns:a16="http://schemas.microsoft.com/office/drawing/2014/main" id="{00000000-0008-0000-0100-00002F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608" name="Line 23">
          <a:extLst>
            <a:ext uri="{FF2B5EF4-FFF2-40B4-BE49-F238E27FC236}">
              <a16:creationId xmlns:a16="http://schemas.microsoft.com/office/drawing/2014/main" id="{00000000-0008-0000-0100-000030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609" name="Line 24">
          <a:extLst>
            <a:ext uri="{FF2B5EF4-FFF2-40B4-BE49-F238E27FC236}">
              <a16:creationId xmlns:a16="http://schemas.microsoft.com/office/drawing/2014/main" id="{00000000-0008-0000-0100-000031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610" name="Line 25">
          <a:extLst>
            <a:ext uri="{FF2B5EF4-FFF2-40B4-BE49-F238E27FC236}">
              <a16:creationId xmlns:a16="http://schemas.microsoft.com/office/drawing/2014/main" id="{00000000-0008-0000-0100-000032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611" name="Line 26">
          <a:extLst>
            <a:ext uri="{FF2B5EF4-FFF2-40B4-BE49-F238E27FC236}">
              <a16:creationId xmlns:a16="http://schemas.microsoft.com/office/drawing/2014/main" id="{00000000-0008-0000-0100-000033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612" name="Line 27">
          <a:extLst>
            <a:ext uri="{FF2B5EF4-FFF2-40B4-BE49-F238E27FC236}">
              <a16:creationId xmlns:a16="http://schemas.microsoft.com/office/drawing/2014/main" id="{00000000-0008-0000-0100-0000340A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613" name="Line 28">
          <a:extLst>
            <a:ext uri="{FF2B5EF4-FFF2-40B4-BE49-F238E27FC236}">
              <a16:creationId xmlns:a16="http://schemas.microsoft.com/office/drawing/2014/main" id="{00000000-0008-0000-0100-0000350A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614" name="Line 29">
          <a:extLst>
            <a:ext uri="{FF2B5EF4-FFF2-40B4-BE49-F238E27FC236}">
              <a16:creationId xmlns:a16="http://schemas.microsoft.com/office/drawing/2014/main" id="{00000000-0008-0000-0100-0000360A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615" name="Line 30">
          <a:extLst>
            <a:ext uri="{FF2B5EF4-FFF2-40B4-BE49-F238E27FC236}">
              <a16:creationId xmlns:a16="http://schemas.microsoft.com/office/drawing/2014/main" id="{00000000-0008-0000-0100-0000370A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616" name="Line 31">
          <a:extLst>
            <a:ext uri="{FF2B5EF4-FFF2-40B4-BE49-F238E27FC236}">
              <a16:creationId xmlns:a16="http://schemas.microsoft.com/office/drawing/2014/main" id="{00000000-0008-0000-0100-0000380A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617" name="Line 32">
          <a:extLst>
            <a:ext uri="{FF2B5EF4-FFF2-40B4-BE49-F238E27FC236}">
              <a16:creationId xmlns:a16="http://schemas.microsoft.com/office/drawing/2014/main" id="{00000000-0008-0000-0100-0000390A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618" name="Line 33">
          <a:extLst>
            <a:ext uri="{FF2B5EF4-FFF2-40B4-BE49-F238E27FC236}">
              <a16:creationId xmlns:a16="http://schemas.microsoft.com/office/drawing/2014/main" id="{00000000-0008-0000-0100-00003A0A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619" name="Line 34">
          <a:extLst>
            <a:ext uri="{FF2B5EF4-FFF2-40B4-BE49-F238E27FC236}">
              <a16:creationId xmlns:a16="http://schemas.microsoft.com/office/drawing/2014/main" id="{00000000-0008-0000-0100-00003B0A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620" name="Line 35">
          <a:extLst>
            <a:ext uri="{FF2B5EF4-FFF2-40B4-BE49-F238E27FC236}">
              <a16:creationId xmlns:a16="http://schemas.microsoft.com/office/drawing/2014/main" id="{00000000-0008-0000-0100-00003C0A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621" name="Line 36">
          <a:extLst>
            <a:ext uri="{FF2B5EF4-FFF2-40B4-BE49-F238E27FC236}">
              <a16:creationId xmlns:a16="http://schemas.microsoft.com/office/drawing/2014/main" id="{00000000-0008-0000-0100-00003D0A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622" name="Line 37">
          <a:extLst>
            <a:ext uri="{FF2B5EF4-FFF2-40B4-BE49-F238E27FC236}">
              <a16:creationId xmlns:a16="http://schemas.microsoft.com/office/drawing/2014/main" id="{00000000-0008-0000-0100-00003E0A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623" name="Line 38">
          <a:extLst>
            <a:ext uri="{FF2B5EF4-FFF2-40B4-BE49-F238E27FC236}">
              <a16:creationId xmlns:a16="http://schemas.microsoft.com/office/drawing/2014/main" id="{00000000-0008-0000-0100-00003F0A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624" name="Line 39">
          <a:extLst>
            <a:ext uri="{FF2B5EF4-FFF2-40B4-BE49-F238E27FC236}">
              <a16:creationId xmlns:a16="http://schemas.microsoft.com/office/drawing/2014/main" id="{00000000-0008-0000-0100-0000400A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625" name="Line 40">
          <a:extLst>
            <a:ext uri="{FF2B5EF4-FFF2-40B4-BE49-F238E27FC236}">
              <a16:creationId xmlns:a16="http://schemas.microsoft.com/office/drawing/2014/main" id="{00000000-0008-0000-0100-0000410A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626" name="Line 41">
          <a:extLst>
            <a:ext uri="{FF2B5EF4-FFF2-40B4-BE49-F238E27FC236}">
              <a16:creationId xmlns:a16="http://schemas.microsoft.com/office/drawing/2014/main" id="{00000000-0008-0000-0100-0000420A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627" name="Rectangle 42">
          <a:extLst>
            <a:ext uri="{FF2B5EF4-FFF2-40B4-BE49-F238E27FC236}">
              <a16:creationId xmlns:a16="http://schemas.microsoft.com/office/drawing/2014/main" id="{00000000-0008-0000-0100-0000430A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28" name="Line 43">
          <a:extLst>
            <a:ext uri="{FF2B5EF4-FFF2-40B4-BE49-F238E27FC236}">
              <a16:creationId xmlns:a16="http://schemas.microsoft.com/office/drawing/2014/main" id="{00000000-0008-0000-0100-000044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29" name="Line 44">
          <a:extLst>
            <a:ext uri="{FF2B5EF4-FFF2-40B4-BE49-F238E27FC236}">
              <a16:creationId xmlns:a16="http://schemas.microsoft.com/office/drawing/2014/main" id="{00000000-0008-0000-0100-000045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630" name="Line 45">
          <a:extLst>
            <a:ext uri="{FF2B5EF4-FFF2-40B4-BE49-F238E27FC236}">
              <a16:creationId xmlns:a16="http://schemas.microsoft.com/office/drawing/2014/main" id="{00000000-0008-0000-0100-000046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631" name="Line 46">
          <a:extLst>
            <a:ext uri="{FF2B5EF4-FFF2-40B4-BE49-F238E27FC236}">
              <a16:creationId xmlns:a16="http://schemas.microsoft.com/office/drawing/2014/main" id="{00000000-0008-0000-0100-000047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632" name="Line 47">
          <a:extLst>
            <a:ext uri="{FF2B5EF4-FFF2-40B4-BE49-F238E27FC236}">
              <a16:creationId xmlns:a16="http://schemas.microsoft.com/office/drawing/2014/main" id="{00000000-0008-0000-0100-000048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633" name="Line 48">
          <a:extLst>
            <a:ext uri="{FF2B5EF4-FFF2-40B4-BE49-F238E27FC236}">
              <a16:creationId xmlns:a16="http://schemas.microsoft.com/office/drawing/2014/main" id="{00000000-0008-0000-0100-000049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634" name="Line 49">
          <a:extLst>
            <a:ext uri="{FF2B5EF4-FFF2-40B4-BE49-F238E27FC236}">
              <a16:creationId xmlns:a16="http://schemas.microsoft.com/office/drawing/2014/main" id="{00000000-0008-0000-0100-00004A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635" name="Line 50">
          <a:extLst>
            <a:ext uri="{FF2B5EF4-FFF2-40B4-BE49-F238E27FC236}">
              <a16:creationId xmlns:a16="http://schemas.microsoft.com/office/drawing/2014/main" id="{00000000-0008-0000-0100-00004B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636" name="Line 51">
          <a:extLst>
            <a:ext uri="{FF2B5EF4-FFF2-40B4-BE49-F238E27FC236}">
              <a16:creationId xmlns:a16="http://schemas.microsoft.com/office/drawing/2014/main" id="{00000000-0008-0000-0100-00004C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637" name="Line 52">
          <a:extLst>
            <a:ext uri="{FF2B5EF4-FFF2-40B4-BE49-F238E27FC236}">
              <a16:creationId xmlns:a16="http://schemas.microsoft.com/office/drawing/2014/main" id="{00000000-0008-0000-0100-00004D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638" name="Line 53">
          <a:extLst>
            <a:ext uri="{FF2B5EF4-FFF2-40B4-BE49-F238E27FC236}">
              <a16:creationId xmlns:a16="http://schemas.microsoft.com/office/drawing/2014/main" id="{00000000-0008-0000-0100-00004E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639" name="Line 54">
          <a:extLst>
            <a:ext uri="{FF2B5EF4-FFF2-40B4-BE49-F238E27FC236}">
              <a16:creationId xmlns:a16="http://schemas.microsoft.com/office/drawing/2014/main" id="{00000000-0008-0000-0100-00004F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640" name="Line 55">
          <a:extLst>
            <a:ext uri="{FF2B5EF4-FFF2-40B4-BE49-F238E27FC236}">
              <a16:creationId xmlns:a16="http://schemas.microsoft.com/office/drawing/2014/main" id="{00000000-0008-0000-0100-000050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641" name="Line 56">
          <a:extLst>
            <a:ext uri="{FF2B5EF4-FFF2-40B4-BE49-F238E27FC236}">
              <a16:creationId xmlns:a16="http://schemas.microsoft.com/office/drawing/2014/main" id="{00000000-0008-0000-0100-000051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642" name="Rectangle 57">
          <a:extLst>
            <a:ext uri="{FF2B5EF4-FFF2-40B4-BE49-F238E27FC236}">
              <a16:creationId xmlns:a16="http://schemas.microsoft.com/office/drawing/2014/main" id="{00000000-0008-0000-0100-000052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643" name="Line 58">
          <a:extLst>
            <a:ext uri="{FF2B5EF4-FFF2-40B4-BE49-F238E27FC236}">
              <a16:creationId xmlns:a16="http://schemas.microsoft.com/office/drawing/2014/main" id="{00000000-0008-0000-0100-000053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644" name="Line 59">
          <a:extLst>
            <a:ext uri="{FF2B5EF4-FFF2-40B4-BE49-F238E27FC236}">
              <a16:creationId xmlns:a16="http://schemas.microsoft.com/office/drawing/2014/main" id="{00000000-0008-0000-0100-000054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645" name="Line 60">
          <a:extLst>
            <a:ext uri="{FF2B5EF4-FFF2-40B4-BE49-F238E27FC236}">
              <a16:creationId xmlns:a16="http://schemas.microsoft.com/office/drawing/2014/main" id="{00000000-0008-0000-0100-000055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646" name="Line 61">
          <a:extLst>
            <a:ext uri="{FF2B5EF4-FFF2-40B4-BE49-F238E27FC236}">
              <a16:creationId xmlns:a16="http://schemas.microsoft.com/office/drawing/2014/main" id="{00000000-0008-0000-0100-000056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647" name="Line 62">
          <a:extLst>
            <a:ext uri="{FF2B5EF4-FFF2-40B4-BE49-F238E27FC236}">
              <a16:creationId xmlns:a16="http://schemas.microsoft.com/office/drawing/2014/main" id="{00000000-0008-0000-0100-000057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648" name="Line 63">
          <a:extLst>
            <a:ext uri="{FF2B5EF4-FFF2-40B4-BE49-F238E27FC236}">
              <a16:creationId xmlns:a16="http://schemas.microsoft.com/office/drawing/2014/main" id="{00000000-0008-0000-0100-000058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649" name="Line 64">
          <a:extLst>
            <a:ext uri="{FF2B5EF4-FFF2-40B4-BE49-F238E27FC236}">
              <a16:creationId xmlns:a16="http://schemas.microsoft.com/office/drawing/2014/main" id="{00000000-0008-0000-0100-000059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650" name="Line 65">
          <a:extLst>
            <a:ext uri="{FF2B5EF4-FFF2-40B4-BE49-F238E27FC236}">
              <a16:creationId xmlns:a16="http://schemas.microsoft.com/office/drawing/2014/main" id="{00000000-0008-0000-0100-00005A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651" name="Line 66">
          <a:extLst>
            <a:ext uri="{FF2B5EF4-FFF2-40B4-BE49-F238E27FC236}">
              <a16:creationId xmlns:a16="http://schemas.microsoft.com/office/drawing/2014/main" id="{00000000-0008-0000-0100-00005B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652" name="Line 67">
          <a:extLst>
            <a:ext uri="{FF2B5EF4-FFF2-40B4-BE49-F238E27FC236}">
              <a16:creationId xmlns:a16="http://schemas.microsoft.com/office/drawing/2014/main" id="{00000000-0008-0000-0100-00005C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653" name="Line 68">
          <a:extLst>
            <a:ext uri="{FF2B5EF4-FFF2-40B4-BE49-F238E27FC236}">
              <a16:creationId xmlns:a16="http://schemas.microsoft.com/office/drawing/2014/main" id="{00000000-0008-0000-0100-00005D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654" name="Line 1">
          <a:extLst>
            <a:ext uri="{FF2B5EF4-FFF2-40B4-BE49-F238E27FC236}">
              <a16:creationId xmlns:a16="http://schemas.microsoft.com/office/drawing/2014/main" id="{00000000-0008-0000-0100-00005E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655" name="Drawing 16">
          <a:extLst>
            <a:ext uri="{FF2B5EF4-FFF2-40B4-BE49-F238E27FC236}">
              <a16:creationId xmlns:a16="http://schemas.microsoft.com/office/drawing/2014/main" id="{00000000-0008-0000-0100-00005F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656" name="Line 3">
          <a:extLst>
            <a:ext uri="{FF2B5EF4-FFF2-40B4-BE49-F238E27FC236}">
              <a16:creationId xmlns:a16="http://schemas.microsoft.com/office/drawing/2014/main" id="{00000000-0008-0000-0100-000060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657" name="Line 4">
          <a:extLst>
            <a:ext uri="{FF2B5EF4-FFF2-40B4-BE49-F238E27FC236}">
              <a16:creationId xmlns:a16="http://schemas.microsoft.com/office/drawing/2014/main" id="{00000000-0008-0000-0100-000061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658" name="Line 5">
          <a:extLst>
            <a:ext uri="{FF2B5EF4-FFF2-40B4-BE49-F238E27FC236}">
              <a16:creationId xmlns:a16="http://schemas.microsoft.com/office/drawing/2014/main" id="{00000000-0008-0000-0100-000062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659" name="Line 6">
          <a:extLst>
            <a:ext uri="{FF2B5EF4-FFF2-40B4-BE49-F238E27FC236}">
              <a16:creationId xmlns:a16="http://schemas.microsoft.com/office/drawing/2014/main" id="{00000000-0008-0000-0100-000063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660" name="Line 7">
          <a:extLst>
            <a:ext uri="{FF2B5EF4-FFF2-40B4-BE49-F238E27FC236}">
              <a16:creationId xmlns:a16="http://schemas.microsoft.com/office/drawing/2014/main" id="{00000000-0008-0000-0100-000064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661" name="Line 8">
          <a:extLst>
            <a:ext uri="{FF2B5EF4-FFF2-40B4-BE49-F238E27FC236}">
              <a16:creationId xmlns:a16="http://schemas.microsoft.com/office/drawing/2014/main" id="{00000000-0008-0000-0100-000065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662" name="Line 9">
          <a:extLst>
            <a:ext uri="{FF2B5EF4-FFF2-40B4-BE49-F238E27FC236}">
              <a16:creationId xmlns:a16="http://schemas.microsoft.com/office/drawing/2014/main" id="{00000000-0008-0000-0100-000066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663" name="Line 10">
          <a:extLst>
            <a:ext uri="{FF2B5EF4-FFF2-40B4-BE49-F238E27FC236}">
              <a16:creationId xmlns:a16="http://schemas.microsoft.com/office/drawing/2014/main" id="{00000000-0008-0000-0100-000067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664" name="Line 11">
          <a:extLst>
            <a:ext uri="{FF2B5EF4-FFF2-40B4-BE49-F238E27FC236}">
              <a16:creationId xmlns:a16="http://schemas.microsoft.com/office/drawing/2014/main" id="{00000000-0008-0000-0100-000068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665" name="Line 12">
          <a:extLst>
            <a:ext uri="{FF2B5EF4-FFF2-40B4-BE49-F238E27FC236}">
              <a16:creationId xmlns:a16="http://schemas.microsoft.com/office/drawing/2014/main" id="{00000000-0008-0000-0100-000069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666" name="Line 13">
          <a:extLst>
            <a:ext uri="{FF2B5EF4-FFF2-40B4-BE49-F238E27FC236}">
              <a16:creationId xmlns:a16="http://schemas.microsoft.com/office/drawing/2014/main" id="{00000000-0008-0000-0100-00006A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667" name="Line 14">
          <a:extLst>
            <a:ext uri="{FF2B5EF4-FFF2-40B4-BE49-F238E27FC236}">
              <a16:creationId xmlns:a16="http://schemas.microsoft.com/office/drawing/2014/main" id="{00000000-0008-0000-0100-00006B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668" name="Line 15">
          <a:extLst>
            <a:ext uri="{FF2B5EF4-FFF2-40B4-BE49-F238E27FC236}">
              <a16:creationId xmlns:a16="http://schemas.microsoft.com/office/drawing/2014/main" id="{00000000-0008-0000-0100-00006C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669" name="Line 16">
          <a:extLst>
            <a:ext uri="{FF2B5EF4-FFF2-40B4-BE49-F238E27FC236}">
              <a16:creationId xmlns:a16="http://schemas.microsoft.com/office/drawing/2014/main" id="{00000000-0008-0000-0100-00006D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670" name="Line 17">
          <a:extLst>
            <a:ext uri="{FF2B5EF4-FFF2-40B4-BE49-F238E27FC236}">
              <a16:creationId xmlns:a16="http://schemas.microsoft.com/office/drawing/2014/main" id="{00000000-0008-0000-0100-00006E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671" name="Line 18">
          <a:extLst>
            <a:ext uri="{FF2B5EF4-FFF2-40B4-BE49-F238E27FC236}">
              <a16:creationId xmlns:a16="http://schemas.microsoft.com/office/drawing/2014/main" id="{00000000-0008-0000-0100-00006F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672" name="Line 19">
          <a:extLst>
            <a:ext uri="{FF2B5EF4-FFF2-40B4-BE49-F238E27FC236}">
              <a16:creationId xmlns:a16="http://schemas.microsoft.com/office/drawing/2014/main" id="{00000000-0008-0000-0100-000070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673" name="Line 20">
          <a:extLst>
            <a:ext uri="{FF2B5EF4-FFF2-40B4-BE49-F238E27FC236}">
              <a16:creationId xmlns:a16="http://schemas.microsoft.com/office/drawing/2014/main" id="{00000000-0008-0000-0100-000071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674" name="Line 21">
          <a:extLst>
            <a:ext uri="{FF2B5EF4-FFF2-40B4-BE49-F238E27FC236}">
              <a16:creationId xmlns:a16="http://schemas.microsoft.com/office/drawing/2014/main" id="{00000000-0008-0000-0100-000072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675" name="Line 22">
          <a:extLst>
            <a:ext uri="{FF2B5EF4-FFF2-40B4-BE49-F238E27FC236}">
              <a16:creationId xmlns:a16="http://schemas.microsoft.com/office/drawing/2014/main" id="{00000000-0008-0000-0100-000073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676" name="Line 23">
          <a:extLst>
            <a:ext uri="{FF2B5EF4-FFF2-40B4-BE49-F238E27FC236}">
              <a16:creationId xmlns:a16="http://schemas.microsoft.com/office/drawing/2014/main" id="{00000000-0008-0000-0100-000074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677" name="Line 24">
          <a:extLst>
            <a:ext uri="{FF2B5EF4-FFF2-40B4-BE49-F238E27FC236}">
              <a16:creationId xmlns:a16="http://schemas.microsoft.com/office/drawing/2014/main" id="{00000000-0008-0000-0100-000075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678" name="Line 25">
          <a:extLst>
            <a:ext uri="{FF2B5EF4-FFF2-40B4-BE49-F238E27FC236}">
              <a16:creationId xmlns:a16="http://schemas.microsoft.com/office/drawing/2014/main" id="{00000000-0008-0000-0100-000076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679" name="Line 26">
          <a:extLst>
            <a:ext uri="{FF2B5EF4-FFF2-40B4-BE49-F238E27FC236}">
              <a16:creationId xmlns:a16="http://schemas.microsoft.com/office/drawing/2014/main" id="{00000000-0008-0000-0100-000077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680" name="Line 27">
          <a:extLst>
            <a:ext uri="{FF2B5EF4-FFF2-40B4-BE49-F238E27FC236}">
              <a16:creationId xmlns:a16="http://schemas.microsoft.com/office/drawing/2014/main" id="{00000000-0008-0000-0100-0000780A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681" name="Line 28">
          <a:extLst>
            <a:ext uri="{FF2B5EF4-FFF2-40B4-BE49-F238E27FC236}">
              <a16:creationId xmlns:a16="http://schemas.microsoft.com/office/drawing/2014/main" id="{00000000-0008-0000-0100-0000790A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682" name="Line 29">
          <a:extLst>
            <a:ext uri="{FF2B5EF4-FFF2-40B4-BE49-F238E27FC236}">
              <a16:creationId xmlns:a16="http://schemas.microsoft.com/office/drawing/2014/main" id="{00000000-0008-0000-0100-00007A0A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683" name="Line 30">
          <a:extLst>
            <a:ext uri="{FF2B5EF4-FFF2-40B4-BE49-F238E27FC236}">
              <a16:creationId xmlns:a16="http://schemas.microsoft.com/office/drawing/2014/main" id="{00000000-0008-0000-0100-00007B0A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684" name="Line 31">
          <a:extLst>
            <a:ext uri="{FF2B5EF4-FFF2-40B4-BE49-F238E27FC236}">
              <a16:creationId xmlns:a16="http://schemas.microsoft.com/office/drawing/2014/main" id="{00000000-0008-0000-0100-00007C0A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685" name="Line 32">
          <a:extLst>
            <a:ext uri="{FF2B5EF4-FFF2-40B4-BE49-F238E27FC236}">
              <a16:creationId xmlns:a16="http://schemas.microsoft.com/office/drawing/2014/main" id="{00000000-0008-0000-0100-00007D0A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686" name="Line 33">
          <a:extLst>
            <a:ext uri="{FF2B5EF4-FFF2-40B4-BE49-F238E27FC236}">
              <a16:creationId xmlns:a16="http://schemas.microsoft.com/office/drawing/2014/main" id="{00000000-0008-0000-0100-00007E0A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687" name="Line 34">
          <a:extLst>
            <a:ext uri="{FF2B5EF4-FFF2-40B4-BE49-F238E27FC236}">
              <a16:creationId xmlns:a16="http://schemas.microsoft.com/office/drawing/2014/main" id="{00000000-0008-0000-0100-00007F0A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688" name="Line 35">
          <a:extLst>
            <a:ext uri="{FF2B5EF4-FFF2-40B4-BE49-F238E27FC236}">
              <a16:creationId xmlns:a16="http://schemas.microsoft.com/office/drawing/2014/main" id="{00000000-0008-0000-0100-0000800A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689" name="Line 36">
          <a:extLst>
            <a:ext uri="{FF2B5EF4-FFF2-40B4-BE49-F238E27FC236}">
              <a16:creationId xmlns:a16="http://schemas.microsoft.com/office/drawing/2014/main" id="{00000000-0008-0000-0100-0000810A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690" name="Line 37">
          <a:extLst>
            <a:ext uri="{FF2B5EF4-FFF2-40B4-BE49-F238E27FC236}">
              <a16:creationId xmlns:a16="http://schemas.microsoft.com/office/drawing/2014/main" id="{00000000-0008-0000-0100-0000820A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691" name="Line 38">
          <a:extLst>
            <a:ext uri="{FF2B5EF4-FFF2-40B4-BE49-F238E27FC236}">
              <a16:creationId xmlns:a16="http://schemas.microsoft.com/office/drawing/2014/main" id="{00000000-0008-0000-0100-0000830A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692" name="Line 39">
          <a:extLst>
            <a:ext uri="{FF2B5EF4-FFF2-40B4-BE49-F238E27FC236}">
              <a16:creationId xmlns:a16="http://schemas.microsoft.com/office/drawing/2014/main" id="{00000000-0008-0000-0100-0000840A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693" name="Line 40">
          <a:extLst>
            <a:ext uri="{FF2B5EF4-FFF2-40B4-BE49-F238E27FC236}">
              <a16:creationId xmlns:a16="http://schemas.microsoft.com/office/drawing/2014/main" id="{00000000-0008-0000-0100-0000850A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694" name="Line 41">
          <a:extLst>
            <a:ext uri="{FF2B5EF4-FFF2-40B4-BE49-F238E27FC236}">
              <a16:creationId xmlns:a16="http://schemas.microsoft.com/office/drawing/2014/main" id="{00000000-0008-0000-0100-0000860A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695" name="Rectangle 42">
          <a:extLst>
            <a:ext uri="{FF2B5EF4-FFF2-40B4-BE49-F238E27FC236}">
              <a16:creationId xmlns:a16="http://schemas.microsoft.com/office/drawing/2014/main" id="{00000000-0008-0000-0100-0000870A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96" name="Line 43">
          <a:extLst>
            <a:ext uri="{FF2B5EF4-FFF2-40B4-BE49-F238E27FC236}">
              <a16:creationId xmlns:a16="http://schemas.microsoft.com/office/drawing/2014/main" id="{00000000-0008-0000-0100-000088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97" name="Line 44">
          <a:extLst>
            <a:ext uri="{FF2B5EF4-FFF2-40B4-BE49-F238E27FC236}">
              <a16:creationId xmlns:a16="http://schemas.microsoft.com/office/drawing/2014/main" id="{00000000-0008-0000-0100-000089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698" name="Line 45">
          <a:extLst>
            <a:ext uri="{FF2B5EF4-FFF2-40B4-BE49-F238E27FC236}">
              <a16:creationId xmlns:a16="http://schemas.microsoft.com/office/drawing/2014/main" id="{00000000-0008-0000-0100-00008A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699" name="Line 46">
          <a:extLst>
            <a:ext uri="{FF2B5EF4-FFF2-40B4-BE49-F238E27FC236}">
              <a16:creationId xmlns:a16="http://schemas.microsoft.com/office/drawing/2014/main" id="{00000000-0008-0000-0100-00008B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700" name="Line 47">
          <a:extLst>
            <a:ext uri="{FF2B5EF4-FFF2-40B4-BE49-F238E27FC236}">
              <a16:creationId xmlns:a16="http://schemas.microsoft.com/office/drawing/2014/main" id="{00000000-0008-0000-0100-00008C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701" name="Line 48">
          <a:extLst>
            <a:ext uri="{FF2B5EF4-FFF2-40B4-BE49-F238E27FC236}">
              <a16:creationId xmlns:a16="http://schemas.microsoft.com/office/drawing/2014/main" id="{00000000-0008-0000-0100-00008D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702" name="Line 49">
          <a:extLst>
            <a:ext uri="{FF2B5EF4-FFF2-40B4-BE49-F238E27FC236}">
              <a16:creationId xmlns:a16="http://schemas.microsoft.com/office/drawing/2014/main" id="{00000000-0008-0000-0100-00008E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703" name="Line 50">
          <a:extLst>
            <a:ext uri="{FF2B5EF4-FFF2-40B4-BE49-F238E27FC236}">
              <a16:creationId xmlns:a16="http://schemas.microsoft.com/office/drawing/2014/main" id="{00000000-0008-0000-0100-00008F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704" name="Line 51">
          <a:extLst>
            <a:ext uri="{FF2B5EF4-FFF2-40B4-BE49-F238E27FC236}">
              <a16:creationId xmlns:a16="http://schemas.microsoft.com/office/drawing/2014/main" id="{00000000-0008-0000-0100-000090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705" name="Line 52">
          <a:extLst>
            <a:ext uri="{FF2B5EF4-FFF2-40B4-BE49-F238E27FC236}">
              <a16:creationId xmlns:a16="http://schemas.microsoft.com/office/drawing/2014/main" id="{00000000-0008-0000-0100-000091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706" name="Line 53">
          <a:extLst>
            <a:ext uri="{FF2B5EF4-FFF2-40B4-BE49-F238E27FC236}">
              <a16:creationId xmlns:a16="http://schemas.microsoft.com/office/drawing/2014/main" id="{00000000-0008-0000-0100-000092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707" name="Line 54">
          <a:extLst>
            <a:ext uri="{FF2B5EF4-FFF2-40B4-BE49-F238E27FC236}">
              <a16:creationId xmlns:a16="http://schemas.microsoft.com/office/drawing/2014/main" id="{00000000-0008-0000-0100-000093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708" name="Line 55">
          <a:extLst>
            <a:ext uri="{FF2B5EF4-FFF2-40B4-BE49-F238E27FC236}">
              <a16:creationId xmlns:a16="http://schemas.microsoft.com/office/drawing/2014/main" id="{00000000-0008-0000-0100-000094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709" name="Line 56">
          <a:extLst>
            <a:ext uri="{FF2B5EF4-FFF2-40B4-BE49-F238E27FC236}">
              <a16:creationId xmlns:a16="http://schemas.microsoft.com/office/drawing/2014/main" id="{00000000-0008-0000-0100-000095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710" name="Rectangle 57">
          <a:extLst>
            <a:ext uri="{FF2B5EF4-FFF2-40B4-BE49-F238E27FC236}">
              <a16:creationId xmlns:a16="http://schemas.microsoft.com/office/drawing/2014/main" id="{00000000-0008-0000-0100-000096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711" name="Line 58">
          <a:extLst>
            <a:ext uri="{FF2B5EF4-FFF2-40B4-BE49-F238E27FC236}">
              <a16:creationId xmlns:a16="http://schemas.microsoft.com/office/drawing/2014/main" id="{00000000-0008-0000-0100-000097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712" name="Line 59">
          <a:extLst>
            <a:ext uri="{FF2B5EF4-FFF2-40B4-BE49-F238E27FC236}">
              <a16:creationId xmlns:a16="http://schemas.microsoft.com/office/drawing/2014/main" id="{00000000-0008-0000-0100-000098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713" name="Line 60">
          <a:extLst>
            <a:ext uri="{FF2B5EF4-FFF2-40B4-BE49-F238E27FC236}">
              <a16:creationId xmlns:a16="http://schemas.microsoft.com/office/drawing/2014/main" id="{00000000-0008-0000-0100-000099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714" name="Line 61">
          <a:extLst>
            <a:ext uri="{FF2B5EF4-FFF2-40B4-BE49-F238E27FC236}">
              <a16:creationId xmlns:a16="http://schemas.microsoft.com/office/drawing/2014/main" id="{00000000-0008-0000-0100-00009A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715" name="Line 62">
          <a:extLst>
            <a:ext uri="{FF2B5EF4-FFF2-40B4-BE49-F238E27FC236}">
              <a16:creationId xmlns:a16="http://schemas.microsoft.com/office/drawing/2014/main" id="{00000000-0008-0000-0100-00009B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716" name="Line 63">
          <a:extLst>
            <a:ext uri="{FF2B5EF4-FFF2-40B4-BE49-F238E27FC236}">
              <a16:creationId xmlns:a16="http://schemas.microsoft.com/office/drawing/2014/main" id="{00000000-0008-0000-0100-00009C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717" name="Line 64">
          <a:extLst>
            <a:ext uri="{FF2B5EF4-FFF2-40B4-BE49-F238E27FC236}">
              <a16:creationId xmlns:a16="http://schemas.microsoft.com/office/drawing/2014/main" id="{00000000-0008-0000-0100-00009D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718" name="Line 65">
          <a:extLst>
            <a:ext uri="{FF2B5EF4-FFF2-40B4-BE49-F238E27FC236}">
              <a16:creationId xmlns:a16="http://schemas.microsoft.com/office/drawing/2014/main" id="{00000000-0008-0000-0100-00009E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719" name="Line 66">
          <a:extLst>
            <a:ext uri="{FF2B5EF4-FFF2-40B4-BE49-F238E27FC236}">
              <a16:creationId xmlns:a16="http://schemas.microsoft.com/office/drawing/2014/main" id="{00000000-0008-0000-0100-00009F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720" name="Line 67">
          <a:extLst>
            <a:ext uri="{FF2B5EF4-FFF2-40B4-BE49-F238E27FC236}">
              <a16:creationId xmlns:a16="http://schemas.microsoft.com/office/drawing/2014/main" id="{00000000-0008-0000-0100-0000A0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721" name="Line 68">
          <a:extLst>
            <a:ext uri="{FF2B5EF4-FFF2-40B4-BE49-F238E27FC236}">
              <a16:creationId xmlns:a16="http://schemas.microsoft.com/office/drawing/2014/main" id="{00000000-0008-0000-0100-0000A1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722" name="Line 1">
          <a:extLst>
            <a:ext uri="{FF2B5EF4-FFF2-40B4-BE49-F238E27FC236}">
              <a16:creationId xmlns:a16="http://schemas.microsoft.com/office/drawing/2014/main" id="{00000000-0008-0000-0100-0000A2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723" name="Drawing 16">
          <a:extLst>
            <a:ext uri="{FF2B5EF4-FFF2-40B4-BE49-F238E27FC236}">
              <a16:creationId xmlns:a16="http://schemas.microsoft.com/office/drawing/2014/main" id="{00000000-0008-0000-0100-0000A3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724" name="Line 3">
          <a:extLst>
            <a:ext uri="{FF2B5EF4-FFF2-40B4-BE49-F238E27FC236}">
              <a16:creationId xmlns:a16="http://schemas.microsoft.com/office/drawing/2014/main" id="{00000000-0008-0000-0100-0000A4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725" name="Line 4">
          <a:extLst>
            <a:ext uri="{FF2B5EF4-FFF2-40B4-BE49-F238E27FC236}">
              <a16:creationId xmlns:a16="http://schemas.microsoft.com/office/drawing/2014/main" id="{00000000-0008-0000-0100-0000A5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726" name="Line 5">
          <a:extLst>
            <a:ext uri="{FF2B5EF4-FFF2-40B4-BE49-F238E27FC236}">
              <a16:creationId xmlns:a16="http://schemas.microsoft.com/office/drawing/2014/main" id="{00000000-0008-0000-0100-0000A6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727" name="Line 6">
          <a:extLst>
            <a:ext uri="{FF2B5EF4-FFF2-40B4-BE49-F238E27FC236}">
              <a16:creationId xmlns:a16="http://schemas.microsoft.com/office/drawing/2014/main" id="{00000000-0008-0000-0100-0000A7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728" name="Line 7">
          <a:extLst>
            <a:ext uri="{FF2B5EF4-FFF2-40B4-BE49-F238E27FC236}">
              <a16:creationId xmlns:a16="http://schemas.microsoft.com/office/drawing/2014/main" id="{00000000-0008-0000-0100-0000A8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729" name="Line 8">
          <a:extLst>
            <a:ext uri="{FF2B5EF4-FFF2-40B4-BE49-F238E27FC236}">
              <a16:creationId xmlns:a16="http://schemas.microsoft.com/office/drawing/2014/main" id="{00000000-0008-0000-0100-0000A9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730" name="Line 9">
          <a:extLst>
            <a:ext uri="{FF2B5EF4-FFF2-40B4-BE49-F238E27FC236}">
              <a16:creationId xmlns:a16="http://schemas.microsoft.com/office/drawing/2014/main" id="{00000000-0008-0000-0100-0000AA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731" name="Line 10">
          <a:extLst>
            <a:ext uri="{FF2B5EF4-FFF2-40B4-BE49-F238E27FC236}">
              <a16:creationId xmlns:a16="http://schemas.microsoft.com/office/drawing/2014/main" id="{00000000-0008-0000-0100-0000AB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732" name="Line 11">
          <a:extLst>
            <a:ext uri="{FF2B5EF4-FFF2-40B4-BE49-F238E27FC236}">
              <a16:creationId xmlns:a16="http://schemas.microsoft.com/office/drawing/2014/main" id="{00000000-0008-0000-0100-0000AC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733" name="Line 12">
          <a:extLst>
            <a:ext uri="{FF2B5EF4-FFF2-40B4-BE49-F238E27FC236}">
              <a16:creationId xmlns:a16="http://schemas.microsoft.com/office/drawing/2014/main" id="{00000000-0008-0000-0100-0000AD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734" name="Line 13">
          <a:extLst>
            <a:ext uri="{FF2B5EF4-FFF2-40B4-BE49-F238E27FC236}">
              <a16:creationId xmlns:a16="http://schemas.microsoft.com/office/drawing/2014/main" id="{00000000-0008-0000-0100-0000AE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735" name="Line 14">
          <a:extLst>
            <a:ext uri="{FF2B5EF4-FFF2-40B4-BE49-F238E27FC236}">
              <a16:creationId xmlns:a16="http://schemas.microsoft.com/office/drawing/2014/main" id="{00000000-0008-0000-0100-0000AF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736" name="Line 15">
          <a:extLst>
            <a:ext uri="{FF2B5EF4-FFF2-40B4-BE49-F238E27FC236}">
              <a16:creationId xmlns:a16="http://schemas.microsoft.com/office/drawing/2014/main" id="{00000000-0008-0000-0100-0000B0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737" name="Line 16">
          <a:extLst>
            <a:ext uri="{FF2B5EF4-FFF2-40B4-BE49-F238E27FC236}">
              <a16:creationId xmlns:a16="http://schemas.microsoft.com/office/drawing/2014/main" id="{00000000-0008-0000-0100-0000B1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738" name="Line 17">
          <a:extLst>
            <a:ext uri="{FF2B5EF4-FFF2-40B4-BE49-F238E27FC236}">
              <a16:creationId xmlns:a16="http://schemas.microsoft.com/office/drawing/2014/main" id="{00000000-0008-0000-0100-0000B2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739" name="Line 18">
          <a:extLst>
            <a:ext uri="{FF2B5EF4-FFF2-40B4-BE49-F238E27FC236}">
              <a16:creationId xmlns:a16="http://schemas.microsoft.com/office/drawing/2014/main" id="{00000000-0008-0000-0100-0000B3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740" name="Line 19">
          <a:extLst>
            <a:ext uri="{FF2B5EF4-FFF2-40B4-BE49-F238E27FC236}">
              <a16:creationId xmlns:a16="http://schemas.microsoft.com/office/drawing/2014/main" id="{00000000-0008-0000-0100-0000B4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741" name="Line 20">
          <a:extLst>
            <a:ext uri="{FF2B5EF4-FFF2-40B4-BE49-F238E27FC236}">
              <a16:creationId xmlns:a16="http://schemas.microsoft.com/office/drawing/2014/main" id="{00000000-0008-0000-0100-0000B5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742" name="Line 21">
          <a:extLst>
            <a:ext uri="{FF2B5EF4-FFF2-40B4-BE49-F238E27FC236}">
              <a16:creationId xmlns:a16="http://schemas.microsoft.com/office/drawing/2014/main" id="{00000000-0008-0000-0100-0000B6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743" name="Line 22">
          <a:extLst>
            <a:ext uri="{FF2B5EF4-FFF2-40B4-BE49-F238E27FC236}">
              <a16:creationId xmlns:a16="http://schemas.microsoft.com/office/drawing/2014/main" id="{00000000-0008-0000-0100-0000B7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744" name="Line 23">
          <a:extLst>
            <a:ext uri="{FF2B5EF4-FFF2-40B4-BE49-F238E27FC236}">
              <a16:creationId xmlns:a16="http://schemas.microsoft.com/office/drawing/2014/main" id="{00000000-0008-0000-0100-0000B8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745" name="Line 24">
          <a:extLst>
            <a:ext uri="{FF2B5EF4-FFF2-40B4-BE49-F238E27FC236}">
              <a16:creationId xmlns:a16="http://schemas.microsoft.com/office/drawing/2014/main" id="{00000000-0008-0000-0100-0000B9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746" name="Line 25">
          <a:extLst>
            <a:ext uri="{FF2B5EF4-FFF2-40B4-BE49-F238E27FC236}">
              <a16:creationId xmlns:a16="http://schemas.microsoft.com/office/drawing/2014/main" id="{00000000-0008-0000-0100-0000BA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747" name="Line 26">
          <a:extLst>
            <a:ext uri="{FF2B5EF4-FFF2-40B4-BE49-F238E27FC236}">
              <a16:creationId xmlns:a16="http://schemas.microsoft.com/office/drawing/2014/main" id="{00000000-0008-0000-0100-0000BB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748" name="Line 27">
          <a:extLst>
            <a:ext uri="{FF2B5EF4-FFF2-40B4-BE49-F238E27FC236}">
              <a16:creationId xmlns:a16="http://schemas.microsoft.com/office/drawing/2014/main" id="{00000000-0008-0000-0100-0000BC0A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749" name="Line 28">
          <a:extLst>
            <a:ext uri="{FF2B5EF4-FFF2-40B4-BE49-F238E27FC236}">
              <a16:creationId xmlns:a16="http://schemas.microsoft.com/office/drawing/2014/main" id="{00000000-0008-0000-0100-0000BD0A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750" name="Line 29">
          <a:extLst>
            <a:ext uri="{FF2B5EF4-FFF2-40B4-BE49-F238E27FC236}">
              <a16:creationId xmlns:a16="http://schemas.microsoft.com/office/drawing/2014/main" id="{00000000-0008-0000-0100-0000BE0A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751" name="Line 30">
          <a:extLst>
            <a:ext uri="{FF2B5EF4-FFF2-40B4-BE49-F238E27FC236}">
              <a16:creationId xmlns:a16="http://schemas.microsoft.com/office/drawing/2014/main" id="{00000000-0008-0000-0100-0000BF0A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752" name="Line 31">
          <a:extLst>
            <a:ext uri="{FF2B5EF4-FFF2-40B4-BE49-F238E27FC236}">
              <a16:creationId xmlns:a16="http://schemas.microsoft.com/office/drawing/2014/main" id="{00000000-0008-0000-0100-0000C00A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753" name="Line 32">
          <a:extLst>
            <a:ext uri="{FF2B5EF4-FFF2-40B4-BE49-F238E27FC236}">
              <a16:creationId xmlns:a16="http://schemas.microsoft.com/office/drawing/2014/main" id="{00000000-0008-0000-0100-0000C10A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754" name="Line 33">
          <a:extLst>
            <a:ext uri="{FF2B5EF4-FFF2-40B4-BE49-F238E27FC236}">
              <a16:creationId xmlns:a16="http://schemas.microsoft.com/office/drawing/2014/main" id="{00000000-0008-0000-0100-0000C20A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755" name="Line 34">
          <a:extLst>
            <a:ext uri="{FF2B5EF4-FFF2-40B4-BE49-F238E27FC236}">
              <a16:creationId xmlns:a16="http://schemas.microsoft.com/office/drawing/2014/main" id="{00000000-0008-0000-0100-0000C30A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756" name="Line 35">
          <a:extLst>
            <a:ext uri="{FF2B5EF4-FFF2-40B4-BE49-F238E27FC236}">
              <a16:creationId xmlns:a16="http://schemas.microsoft.com/office/drawing/2014/main" id="{00000000-0008-0000-0100-0000C40A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757" name="Line 36">
          <a:extLst>
            <a:ext uri="{FF2B5EF4-FFF2-40B4-BE49-F238E27FC236}">
              <a16:creationId xmlns:a16="http://schemas.microsoft.com/office/drawing/2014/main" id="{00000000-0008-0000-0100-0000C50A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758" name="Line 37">
          <a:extLst>
            <a:ext uri="{FF2B5EF4-FFF2-40B4-BE49-F238E27FC236}">
              <a16:creationId xmlns:a16="http://schemas.microsoft.com/office/drawing/2014/main" id="{00000000-0008-0000-0100-0000C60A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759" name="Line 38">
          <a:extLst>
            <a:ext uri="{FF2B5EF4-FFF2-40B4-BE49-F238E27FC236}">
              <a16:creationId xmlns:a16="http://schemas.microsoft.com/office/drawing/2014/main" id="{00000000-0008-0000-0100-0000C70A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760" name="Line 39">
          <a:extLst>
            <a:ext uri="{FF2B5EF4-FFF2-40B4-BE49-F238E27FC236}">
              <a16:creationId xmlns:a16="http://schemas.microsoft.com/office/drawing/2014/main" id="{00000000-0008-0000-0100-0000C80A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761" name="Line 40">
          <a:extLst>
            <a:ext uri="{FF2B5EF4-FFF2-40B4-BE49-F238E27FC236}">
              <a16:creationId xmlns:a16="http://schemas.microsoft.com/office/drawing/2014/main" id="{00000000-0008-0000-0100-0000C90A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762" name="Line 41">
          <a:extLst>
            <a:ext uri="{FF2B5EF4-FFF2-40B4-BE49-F238E27FC236}">
              <a16:creationId xmlns:a16="http://schemas.microsoft.com/office/drawing/2014/main" id="{00000000-0008-0000-0100-0000CA0A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763" name="Rectangle 586">
          <a:extLst>
            <a:ext uri="{FF2B5EF4-FFF2-40B4-BE49-F238E27FC236}">
              <a16:creationId xmlns:a16="http://schemas.microsoft.com/office/drawing/2014/main" id="{00000000-0008-0000-0100-0000CB0A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764" name="Line 43">
          <a:extLst>
            <a:ext uri="{FF2B5EF4-FFF2-40B4-BE49-F238E27FC236}">
              <a16:creationId xmlns:a16="http://schemas.microsoft.com/office/drawing/2014/main" id="{00000000-0008-0000-0100-0000CC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765" name="Line 44">
          <a:extLst>
            <a:ext uri="{FF2B5EF4-FFF2-40B4-BE49-F238E27FC236}">
              <a16:creationId xmlns:a16="http://schemas.microsoft.com/office/drawing/2014/main" id="{00000000-0008-0000-0100-0000CD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766" name="Line 45">
          <a:extLst>
            <a:ext uri="{FF2B5EF4-FFF2-40B4-BE49-F238E27FC236}">
              <a16:creationId xmlns:a16="http://schemas.microsoft.com/office/drawing/2014/main" id="{00000000-0008-0000-0100-0000CE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767" name="Line 46">
          <a:extLst>
            <a:ext uri="{FF2B5EF4-FFF2-40B4-BE49-F238E27FC236}">
              <a16:creationId xmlns:a16="http://schemas.microsoft.com/office/drawing/2014/main" id="{00000000-0008-0000-0100-0000CF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768" name="Line 47">
          <a:extLst>
            <a:ext uri="{FF2B5EF4-FFF2-40B4-BE49-F238E27FC236}">
              <a16:creationId xmlns:a16="http://schemas.microsoft.com/office/drawing/2014/main" id="{00000000-0008-0000-0100-0000D0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769" name="Line 48">
          <a:extLst>
            <a:ext uri="{FF2B5EF4-FFF2-40B4-BE49-F238E27FC236}">
              <a16:creationId xmlns:a16="http://schemas.microsoft.com/office/drawing/2014/main" id="{00000000-0008-0000-0100-0000D1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770" name="Line 49">
          <a:extLst>
            <a:ext uri="{FF2B5EF4-FFF2-40B4-BE49-F238E27FC236}">
              <a16:creationId xmlns:a16="http://schemas.microsoft.com/office/drawing/2014/main" id="{00000000-0008-0000-0100-0000D2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771" name="Line 50">
          <a:extLst>
            <a:ext uri="{FF2B5EF4-FFF2-40B4-BE49-F238E27FC236}">
              <a16:creationId xmlns:a16="http://schemas.microsoft.com/office/drawing/2014/main" id="{00000000-0008-0000-0100-0000D3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772" name="Line 51">
          <a:extLst>
            <a:ext uri="{FF2B5EF4-FFF2-40B4-BE49-F238E27FC236}">
              <a16:creationId xmlns:a16="http://schemas.microsoft.com/office/drawing/2014/main" id="{00000000-0008-0000-0100-0000D4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773" name="Line 52">
          <a:extLst>
            <a:ext uri="{FF2B5EF4-FFF2-40B4-BE49-F238E27FC236}">
              <a16:creationId xmlns:a16="http://schemas.microsoft.com/office/drawing/2014/main" id="{00000000-0008-0000-0100-0000D5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774" name="Line 53">
          <a:extLst>
            <a:ext uri="{FF2B5EF4-FFF2-40B4-BE49-F238E27FC236}">
              <a16:creationId xmlns:a16="http://schemas.microsoft.com/office/drawing/2014/main" id="{00000000-0008-0000-0100-0000D6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775" name="Line 54">
          <a:extLst>
            <a:ext uri="{FF2B5EF4-FFF2-40B4-BE49-F238E27FC236}">
              <a16:creationId xmlns:a16="http://schemas.microsoft.com/office/drawing/2014/main" id="{00000000-0008-0000-0100-0000D7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776" name="Line 55">
          <a:extLst>
            <a:ext uri="{FF2B5EF4-FFF2-40B4-BE49-F238E27FC236}">
              <a16:creationId xmlns:a16="http://schemas.microsoft.com/office/drawing/2014/main" id="{00000000-0008-0000-0100-0000D8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777" name="Line 56">
          <a:extLst>
            <a:ext uri="{FF2B5EF4-FFF2-40B4-BE49-F238E27FC236}">
              <a16:creationId xmlns:a16="http://schemas.microsoft.com/office/drawing/2014/main" id="{00000000-0008-0000-0100-0000D9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778" name="Rectangle 601">
          <a:extLst>
            <a:ext uri="{FF2B5EF4-FFF2-40B4-BE49-F238E27FC236}">
              <a16:creationId xmlns:a16="http://schemas.microsoft.com/office/drawing/2014/main" id="{00000000-0008-0000-0100-0000DA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779" name="Line 58">
          <a:extLst>
            <a:ext uri="{FF2B5EF4-FFF2-40B4-BE49-F238E27FC236}">
              <a16:creationId xmlns:a16="http://schemas.microsoft.com/office/drawing/2014/main" id="{00000000-0008-0000-0100-0000DB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780" name="Line 59">
          <a:extLst>
            <a:ext uri="{FF2B5EF4-FFF2-40B4-BE49-F238E27FC236}">
              <a16:creationId xmlns:a16="http://schemas.microsoft.com/office/drawing/2014/main" id="{00000000-0008-0000-0100-0000DC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781" name="Line 60">
          <a:extLst>
            <a:ext uri="{FF2B5EF4-FFF2-40B4-BE49-F238E27FC236}">
              <a16:creationId xmlns:a16="http://schemas.microsoft.com/office/drawing/2014/main" id="{00000000-0008-0000-0100-0000DD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782" name="Line 61">
          <a:extLst>
            <a:ext uri="{FF2B5EF4-FFF2-40B4-BE49-F238E27FC236}">
              <a16:creationId xmlns:a16="http://schemas.microsoft.com/office/drawing/2014/main" id="{00000000-0008-0000-0100-0000DE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783" name="Line 62">
          <a:extLst>
            <a:ext uri="{FF2B5EF4-FFF2-40B4-BE49-F238E27FC236}">
              <a16:creationId xmlns:a16="http://schemas.microsoft.com/office/drawing/2014/main" id="{00000000-0008-0000-0100-0000DF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784" name="Line 63">
          <a:extLst>
            <a:ext uri="{FF2B5EF4-FFF2-40B4-BE49-F238E27FC236}">
              <a16:creationId xmlns:a16="http://schemas.microsoft.com/office/drawing/2014/main" id="{00000000-0008-0000-0100-0000E0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785" name="Line 64">
          <a:extLst>
            <a:ext uri="{FF2B5EF4-FFF2-40B4-BE49-F238E27FC236}">
              <a16:creationId xmlns:a16="http://schemas.microsoft.com/office/drawing/2014/main" id="{00000000-0008-0000-0100-0000E1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786" name="Line 65">
          <a:extLst>
            <a:ext uri="{FF2B5EF4-FFF2-40B4-BE49-F238E27FC236}">
              <a16:creationId xmlns:a16="http://schemas.microsoft.com/office/drawing/2014/main" id="{00000000-0008-0000-0100-0000E2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787" name="Line 66">
          <a:extLst>
            <a:ext uri="{FF2B5EF4-FFF2-40B4-BE49-F238E27FC236}">
              <a16:creationId xmlns:a16="http://schemas.microsoft.com/office/drawing/2014/main" id="{00000000-0008-0000-0100-0000E3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788" name="Line 67">
          <a:extLst>
            <a:ext uri="{FF2B5EF4-FFF2-40B4-BE49-F238E27FC236}">
              <a16:creationId xmlns:a16="http://schemas.microsoft.com/office/drawing/2014/main" id="{00000000-0008-0000-0100-0000E4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789" name="Line 68">
          <a:extLst>
            <a:ext uri="{FF2B5EF4-FFF2-40B4-BE49-F238E27FC236}">
              <a16:creationId xmlns:a16="http://schemas.microsoft.com/office/drawing/2014/main" id="{00000000-0008-0000-0100-0000E5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790" name="Line 1">
          <a:extLst>
            <a:ext uri="{FF2B5EF4-FFF2-40B4-BE49-F238E27FC236}">
              <a16:creationId xmlns:a16="http://schemas.microsoft.com/office/drawing/2014/main" id="{00000000-0008-0000-0100-0000E6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791" name="Drawing 16">
          <a:extLst>
            <a:ext uri="{FF2B5EF4-FFF2-40B4-BE49-F238E27FC236}">
              <a16:creationId xmlns:a16="http://schemas.microsoft.com/office/drawing/2014/main" id="{00000000-0008-0000-0100-0000E7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792" name="Line 3">
          <a:extLst>
            <a:ext uri="{FF2B5EF4-FFF2-40B4-BE49-F238E27FC236}">
              <a16:creationId xmlns:a16="http://schemas.microsoft.com/office/drawing/2014/main" id="{00000000-0008-0000-0100-0000E8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793" name="Line 4">
          <a:extLst>
            <a:ext uri="{FF2B5EF4-FFF2-40B4-BE49-F238E27FC236}">
              <a16:creationId xmlns:a16="http://schemas.microsoft.com/office/drawing/2014/main" id="{00000000-0008-0000-0100-0000E9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794" name="Line 5">
          <a:extLst>
            <a:ext uri="{FF2B5EF4-FFF2-40B4-BE49-F238E27FC236}">
              <a16:creationId xmlns:a16="http://schemas.microsoft.com/office/drawing/2014/main" id="{00000000-0008-0000-0100-0000EA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795" name="Line 6">
          <a:extLst>
            <a:ext uri="{FF2B5EF4-FFF2-40B4-BE49-F238E27FC236}">
              <a16:creationId xmlns:a16="http://schemas.microsoft.com/office/drawing/2014/main" id="{00000000-0008-0000-0100-0000EB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796" name="Line 7">
          <a:extLst>
            <a:ext uri="{FF2B5EF4-FFF2-40B4-BE49-F238E27FC236}">
              <a16:creationId xmlns:a16="http://schemas.microsoft.com/office/drawing/2014/main" id="{00000000-0008-0000-0100-0000EC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797" name="Line 8">
          <a:extLst>
            <a:ext uri="{FF2B5EF4-FFF2-40B4-BE49-F238E27FC236}">
              <a16:creationId xmlns:a16="http://schemas.microsoft.com/office/drawing/2014/main" id="{00000000-0008-0000-0100-0000ED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798" name="Line 9">
          <a:extLst>
            <a:ext uri="{FF2B5EF4-FFF2-40B4-BE49-F238E27FC236}">
              <a16:creationId xmlns:a16="http://schemas.microsoft.com/office/drawing/2014/main" id="{00000000-0008-0000-0100-0000EE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799" name="Line 10">
          <a:extLst>
            <a:ext uri="{FF2B5EF4-FFF2-40B4-BE49-F238E27FC236}">
              <a16:creationId xmlns:a16="http://schemas.microsoft.com/office/drawing/2014/main" id="{00000000-0008-0000-0100-0000EF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800" name="Line 11">
          <a:extLst>
            <a:ext uri="{FF2B5EF4-FFF2-40B4-BE49-F238E27FC236}">
              <a16:creationId xmlns:a16="http://schemas.microsoft.com/office/drawing/2014/main" id="{00000000-0008-0000-0100-0000F0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801" name="Line 12">
          <a:extLst>
            <a:ext uri="{FF2B5EF4-FFF2-40B4-BE49-F238E27FC236}">
              <a16:creationId xmlns:a16="http://schemas.microsoft.com/office/drawing/2014/main" id="{00000000-0008-0000-0100-0000F1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802" name="Line 13">
          <a:extLst>
            <a:ext uri="{FF2B5EF4-FFF2-40B4-BE49-F238E27FC236}">
              <a16:creationId xmlns:a16="http://schemas.microsoft.com/office/drawing/2014/main" id="{00000000-0008-0000-0100-0000F2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03" name="Line 14">
          <a:extLst>
            <a:ext uri="{FF2B5EF4-FFF2-40B4-BE49-F238E27FC236}">
              <a16:creationId xmlns:a16="http://schemas.microsoft.com/office/drawing/2014/main" id="{00000000-0008-0000-0100-0000F3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804" name="Line 15">
          <a:extLst>
            <a:ext uri="{FF2B5EF4-FFF2-40B4-BE49-F238E27FC236}">
              <a16:creationId xmlns:a16="http://schemas.microsoft.com/office/drawing/2014/main" id="{00000000-0008-0000-0100-0000F4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05" name="Line 16">
          <a:extLst>
            <a:ext uri="{FF2B5EF4-FFF2-40B4-BE49-F238E27FC236}">
              <a16:creationId xmlns:a16="http://schemas.microsoft.com/office/drawing/2014/main" id="{00000000-0008-0000-0100-0000F5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806" name="Line 17">
          <a:extLst>
            <a:ext uri="{FF2B5EF4-FFF2-40B4-BE49-F238E27FC236}">
              <a16:creationId xmlns:a16="http://schemas.microsoft.com/office/drawing/2014/main" id="{00000000-0008-0000-0100-0000F6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807" name="Line 18">
          <a:extLst>
            <a:ext uri="{FF2B5EF4-FFF2-40B4-BE49-F238E27FC236}">
              <a16:creationId xmlns:a16="http://schemas.microsoft.com/office/drawing/2014/main" id="{00000000-0008-0000-0100-0000F7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808" name="Line 19">
          <a:extLst>
            <a:ext uri="{FF2B5EF4-FFF2-40B4-BE49-F238E27FC236}">
              <a16:creationId xmlns:a16="http://schemas.microsoft.com/office/drawing/2014/main" id="{00000000-0008-0000-0100-0000F8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809" name="Line 20">
          <a:extLst>
            <a:ext uri="{FF2B5EF4-FFF2-40B4-BE49-F238E27FC236}">
              <a16:creationId xmlns:a16="http://schemas.microsoft.com/office/drawing/2014/main" id="{00000000-0008-0000-0100-0000F9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810" name="Line 21">
          <a:extLst>
            <a:ext uri="{FF2B5EF4-FFF2-40B4-BE49-F238E27FC236}">
              <a16:creationId xmlns:a16="http://schemas.microsoft.com/office/drawing/2014/main" id="{00000000-0008-0000-0100-0000FA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811" name="Line 22">
          <a:extLst>
            <a:ext uri="{FF2B5EF4-FFF2-40B4-BE49-F238E27FC236}">
              <a16:creationId xmlns:a16="http://schemas.microsoft.com/office/drawing/2014/main" id="{00000000-0008-0000-0100-0000FB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812" name="Line 23">
          <a:extLst>
            <a:ext uri="{FF2B5EF4-FFF2-40B4-BE49-F238E27FC236}">
              <a16:creationId xmlns:a16="http://schemas.microsoft.com/office/drawing/2014/main" id="{00000000-0008-0000-0100-0000FC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813" name="Line 24">
          <a:extLst>
            <a:ext uri="{FF2B5EF4-FFF2-40B4-BE49-F238E27FC236}">
              <a16:creationId xmlns:a16="http://schemas.microsoft.com/office/drawing/2014/main" id="{00000000-0008-0000-0100-0000FD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814" name="Line 25">
          <a:extLst>
            <a:ext uri="{FF2B5EF4-FFF2-40B4-BE49-F238E27FC236}">
              <a16:creationId xmlns:a16="http://schemas.microsoft.com/office/drawing/2014/main" id="{00000000-0008-0000-0100-0000FE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815" name="Line 26">
          <a:extLst>
            <a:ext uri="{FF2B5EF4-FFF2-40B4-BE49-F238E27FC236}">
              <a16:creationId xmlns:a16="http://schemas.microsoft.com/office/drawing/2014/main" id="{00000000-0008-0000-0100-0000FF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816" name="Line 27">
          <a:extLst>
            <a:ext uri="{FF2B5EF4-FFF2-40B4-BE49-F238E27FC236}">
              <a16:creationId xmlns:a16="http://schemas.microsoft.com/office/drawing/2014/main" id="{00000000-0008-0000-0100-000000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817" name="Line 28">
          <a:extLst>
            <a:ext uri="{FF2B5EF4-FFF2-40B4-BE49-F238E27FC236}">
              <a16:creationId xmlns:a16="http://schemas.microsoft.com/office/drawing/2014/main" id="{00000000-0008-0000-0100-000001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818" name="Line 29">
          <a:extLst>
            <a:ext uri="{FF2B5EF4-FFF2-40B4-BE49-F238E27FC236}">
              <a16:creationId xmlns:a16="http://schemas.microsoft.com/office/drawing/2014/main" id="{00000000-0008-0000-0100-000002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819" name="Line 30">
          <a:extLst>
            <a:ext uri="{FF2B5EF4-FFF2-40B4-BE49-F238E27FC236}">
              <a16:creationId xmlns:a16="http://schemas.microsoft.com/office/drawing/2014/main" id="{00000000-0008-0000-0100-000003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820" name="Line 31">
          <a:extLst>
            <a:ext uri="{FF2B5EF4-FFF2-40B4-BE49-F238E27FC236}">
              <a16:creationId xmlns:a16="http://schemas.microsoft.com/office/drawing/2014/main" id="{00000000-0008-0000-0100-000004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821" name="Line 32">
          <a:extLst>
            <a:ext uri="{FF2B5EF4-FFF2-40B4-BE49-F238E27FC236}">
              <a16:creationId xmlns:a16="http://schemas.microsoft.com/office/drawing/2014/main" id="{00000000-0008-0000-0100-000005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822" name="Line 33">
          <a:extLst>
            <a:ext uri="{FF2B5EF4-FFF2-40B4-BE49-F238E27FC236}">
              <a16:creationId xmlns:a16="http://schemas.microsoft.com/office/drawing/2014/main" id="{00000000-0008-0000-0100-000006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823" name="Line 34">
          <a:extLst>
            <a:ext uri="{FF2B5EF4-FFF2-40B4-BE49-F238E27FC236}">
              <a16:creationId xmlns:a16="http://schemas.microsoft.com/office/drawing/2014/main" id="{00000000-0008-0000-0100-000007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824" name="Line 35">
          <a:extLst>
            <a:ext uri="{FF2B5EF4-FFF2-40B4-BE49-F238E27FC236}">
              <a16:creationId xmlns:a16="http://schemas.microsoft.com/office/drawing/2014/main" id="{00000000-0008-0000-0100-000008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825" name="Line 36">
          <a:extLst>
            <a:ext uri="{FF2B5EF4-FFF2-40B4-BE49-F238E27FC236}">
              <a16:creationId xmlns:a16="http://schemas.microsoft.com/office/drawing/2014/main" id="{00000000-0008-0000-0100-000009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826" name="Line 37">
          <a:extLst>
            <a:ext uri="{FF2B5EF4-FFF2-40B4-BE49-F238E27FC236}">
              <a16:creationId xmlns:a16="http://schemas.microsoft.com/office/drawing/2014/main" id="{00000000-0008-0000-0100-00000A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827" name="Line 38">
          <a:extLst>
            <a:ext uri="{FF2B5EF4-FFF2-40B4-BE49-F238E27FC236}">
              <a16:creationId xmlns:a16="http://schemas.microsoft.com/office/drawing/2014/main" id="{00000000-0008-0000-0100-00000B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828" name="Line 39">
          <a:extLst>
            <a:ext uri="{FF2B5EF4-FFF2-40B4-BE49-F238E27FC236}">
              <a16:creationId xmlns:a16="http://schemas.microsoft.com/office/drawing/2014/main" id="{00000000-0008-0000-0100-00000C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829" name="Line 40">
          <a:extLst>
            <a:ext uri="{FF2B5EF4-FFF2-40B4-BE49-F238E27FC236}">
              <a16:creationId xmlns:a16="http://schemas.microsoft.com/office/drawing/2014/main" id="{00000000-0008-0000-0100-00000D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830" name="Line 41">
          <a:extLst>
            <a:ext uri="{FF2B5EF4-FFF2-40B4-BE49-F238E27FC236}">
              <a16:creationId xmlns:a16="http://schemas.microsoft.com/office/drawing/2014/main" id="{00000000-0008-0000-0100-00000E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831" name="Rectangle 42">
          <a:extLst>
            <a:ext uri="{FF2B5EF4-FFF2-40B4-BE49-F238E27FC236}">
              <a16:creationId xmlns:a16="http://schemas.microsoft.com/office/drawing/2014/main" id="{00000000-0008-0000-0100-00000F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832" name="Line 43">
          <a:extLst>
            <a:ext uri="{FF2B5EF4-FFF2-40B4-BE49-F238E27FC236}">
              <a16:creationId xmlns:a16="http://schemas.microsoft.com/office/drawing/2014/main" id="{00000000-0008-0000-0100-000010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833" name="Line 44">
          <a:extLst>
            <a:ext uri="{FF2B5EF4-FFF2-40B4-BE49-F238E27FC236}">
              <a16:creationId xmlns:a16="http://schemas.microsoft.com/office/drawing/2014/main" id="{00000000-0008-0000-0100-000011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834" name="Line 45">
          <a:extLst>
            <a:ext uri="{FF2B5EF4-FFF2-40B4-BE49-F238E27FC236}">
              <a16:creationId xmlns:a16="http://schemas.microsoft.com/office/drawing/2014/main" id="{00000000-0008-0000-0100-000012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835" name="Line 46">
          <a:extLst>
            <a:ext uri="{FF2B5EF4-FFF2-40B4-BE49-F238E27FC236}">
              <a16:creationId xmlns:a16="http://schemas.microsoft.com/office/drawing/2014/main" id="{00000000-0008-0000-0100-000013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836" name="Line 47">
          <a:extLst>
            <a:ext uri="{FF2B5EF4-FFF2-40B4-BE49-F238E27FC236}">
              <a16:creationId xmlns:a16="http://schemas.microsoft.com/office/drawing/2014/main" id="{00000000-0008-0000-0100-000014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837" name="Line 48">
          <a:extLst>
            <a:ext uri="{FF2B5EF4-FFF2-40B4-BE49-F238E27FC236}">
              <a16:creationId xmlns:a16="http://schemas.microsoft.com/office/drawing/2014/main" id="{00000000-0008-0000-0100-000015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838" name="Line 49">
          <a:extLst>
            <a:ext uri="{FF2B5EF4-FFF2-40B4-BE49-F238E27FC236}">
              <a16:creationId xmlns:a16="http://schemas.microsoft.com/office/drawing/2014/main" id="{00000000-0008-0000-0100-000016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839" name="Line 50">
          <a:extLst>
            <a:ext uri="{FF2B5EF4-FFF2-40B4-BE49-F238E27FC236}">
              <a16:creationId xmlns:a16="http://schemas.microsoft.com/office/drawing/2014/main" id="{00000000-0008-0000-0100-000017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840" name="Line 51">
          <a:extLst>
            <a:ext uri="{FF2B5EF4-FFF2-40B4-BE49-F238E27FC236}">
              <a16:creationId xmlns:a16="http://schemas.microsoft.com/office/drawing/2014/main" id="{00000000-0008-0000-0100-000018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841" name="Line 52">
          <a:extLst>
            <a:ext uri="{FF2B5EF4-FFF2-40B4-BE49-F238E27FC236}">
              <a16:creationId xmlns:a16="http://schemas.microsoft.com/office/drawing/2014/main" id="{00000000-0008-0000-0100-000019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842" name="Line 53">
          <a:extLst>
            <a:ext uri="{FF2B5EF4-FFF2-40B4-BE49-F238E27FC236}">
              <a16:creationId xmlns:a16="http://schemas.microsoft.com/office/drawing/2014/main" id="{00000000-0008-0000-0100-00001A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843" name="Line 54">
          <a:extLst>
            <a:ext uri="{FF2B5EF4-FFF2-40B4-BE49-F238E27FC236}">
              <a16:creationId xmlns:a16="http://schemas.microsoft.com/office/drawing/2014/main" id="{00000000-0008-0000-0100-00001B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844" name="Line 55">
          <a:extLst>
            <a:ext uri="{FF2B5EF4-FFF2-40B4-BE49-F238E27FC236}">
              <a16:creationId xmlns:a16="http://schemas.microsoft.com/office/drawing/2014/main" id="{00000000-0008-0000-0100-00001C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845" name="Line 56">
          <a:extLst>
            <a:ext uri="{FF2B5EF4-FFF2-40B4-BE49-F238E27FC236}">
              <a16:creationId xmlns:a16="http://schemas.microsoft.com/office/drawing/2014/main" id="{00000000-0008-0000-0100-00001D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846" name="Rectangle 57">
          <a:extLst>
            <a:ext uri="{FF2B5EF4-FFF2-40B4-BE49-F238E27FC236}">
              <a16:creationId xmlns:a16="http://schemas.microsoft.com/office/drawing/2014/main" id="{00000000-0008-0000-0100-00001E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847" name="Line 58">
          <a:extLst>
            <a:ext uri="{FF2B5EF4-FFF2-40B4-BE49-F238E27FC236}">
              <a16:creationId xmlns:a16="http://schemas.microsoft.com/office/drawing/2014/main" id="{00000000-0008-0000-0100-00001F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848" name="Line 59">
          <a:extLst>
            <a:ext uri="{FF2B5EF4-FFF2-40B4-BE49-F238E27FC236}">
              <a16:creationId xmlns:a16="http://schemas.microsoft.com/office/drawing/2014/main" id="{00000000-0008-0000-0100-000020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849" name="Line 60">
          <a:extLst>
            <a:ext uri="{FF2B5EF4-FFF2-40B4-BE49-F238E27FC236}">
              <a16:creationId xmlns:a16="http://schemas.microsoft.com/office/drawing/2014/main" id="{00000000-0008-0000-0100-000021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850" name="Line 61">
          <a:extLst>
            <a:ext uri="{FF2B5EF4-FFF2-40B4-BE49-F238E27FC236}">
              <a16:creationId xmlns:a16="http://schemas.microsoft.com/office/drawing/2014/main" id="{00000000-0008-0000-0100-000022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851" name="Line 62">
          <a:extLst>
            <a:ext uri="{FF2B5EF4-FFF2-40B4-BE49-F238E27FC236}">
              <a16:creationId xmlns:a16="http://schemas.microsoft.com/office/drawing/2014/main" id="{00000000-0008-0000-0100-000023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852" name="Line 63">
          <a:extLst>
            <a:ext uri="{FF2B5EF4-FFF2-40B4-BE49-F238E27FC236}">
              <a16:creationId xmlns:a16="http://schemas.microsoft.com/office/drawing/2014/main" id="{00000000-0008-0000-0100-000024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853" name="Line 64">
          <a:extLst>
            <a:ext uri="{FF2B5EF4-FFF2-40B4-BE49-F238E27FC236}">
              <a16:creationId xmlns:a16="http://schemas.microsoft.com/office/drawing/2014/main" id="{00000000-0008-0000-0100-000025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854" name="Line 65">
          <a:extLst>
            <a:ext uri="{FF2B5EF4-FFF2-40B4-BE49-F238E27FC236}">
              <a16:creationId xmlns:a16="http://schemas.microsoft.com/office/drawing/2014/main" id="{00000000-0008-0000-0100-000026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855" name="Line 66">
          <a:extLst>
            <a:ext uri="{FF2B5EF4-FFF2-40B4-BE49-F238E27FC236}">
              <a16:creationId xmlns:a16="http://schemas.microsoft.com/office/drawing/2014/main" id="{00000000-0008-0000-0100-000027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856" name="Line 67">
          <a:extLst>
            <a:ext uri="{FF2B5EF4-FFF2-40B4-BE49-F238E27FC236}">
              <a16:creationId xmlns:a16="http://schemas.microsoft.com/office/drawing/2014/main" id="{00000000-0008-0000-0100-000028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857" name="Line 68">
          <a:extLst>
            <a:ext uri="{FF2B5EF4-FFF2-40B4-BE49-F238E27FC236}">
              <a16:creationId xmlns:a16="http://schemas.microsoft.com/office/drawing/2014/main" id="{00000000-0008-0000-0100-000029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858" name="Line 1">
          <a:extLst>
            <a:ext uri="{FF2B5EF4-FFF2-40B4-BE49-F238E27FC236}">
              <a16:creationId xmlns:a16="http://schemas.microsoft.com/office/drawing/2014/main" id="{00000000-0008-0000-0100-00002A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859" name="Drawing 16">
          <a:extLst>
            <a:ext uri="{FF2B5EF4-FFF2-40B4-BE49-F238E27FC236}">
              <a16:creationId xmlns:a16="http://schemas.microsoft.com/office/drawing/2014/main" id="{00000000-0008-0000-0100-00002B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860" name="Line 3">
          <a:extLst>
            <a:ext uri="{FF2B5EF4-FFF2-40B4-BE49-F238E27FC236}">
              <a16:creationId xmlns:a16="http://schemas.microsoft.com/office/drawing/2014/main" id="{00000000-0008-0000-0100-00002C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861" name="Line 4">
          <a:extLst>
            <a:ext uri="{FF2B5EF4-FFF2-40B4-BE49-F238E27FC236}">
              <a16:creationId xmlns:a16="http://schemas.microsoft.com/office/drawing/2014/main" id="{00000000-0008-0000-0100-00002D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862" name="Line 5">
          <a:extLst>
            <a:ext uri="{FF2B5EF4-FFF2-40B4-BE49-F238E27FC236}">
              <a16:creationId xmlns:a16="http://schemas.microsoft.com/office/drawing/2014/main" id="{00000000-0008-0000-0100-00002E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863" name="Line 6">
          <a:extLst>
            <a:ext uri="{FF2B5EF4-FFF2-40B4-BE49-F238E27FC236}">
              <a16:creationId xmlns:a16="http://schemas.microsoft.com/office/drawing/2014/main" id="{00000000-0008-0000-0100-00002F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864" name="Line 7">
          <a:extLst>
            <a:ext uri="{FF2B5EF4-FFF2-40B4-BE49-F238E27FC236}">
              <a16:creationId xmlns:a16="http://schemas.microsoft.com/office/drawing/2014/main" id="{00000000-0008-0000-0100-000030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865" name="Line 8">
          <a:extLst>
            <a:ext uri="{FF2B5EF4-FFF2-40B4-BE49-F238E27FC236}">
              <a16:creationId xmlns:a16="http://schemas.microsoft.com/office/drawing/2014/main" id="{00000000-0008-0000-0100-000031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866" name="Line 9">
          <a:extLst>
            <a:ext uri="{FF2B5EF4-FFF2-40B4-BE49-F238E27FC236}">
              <a16:creationId xmlns:a16="http://schemas.microsoft.com/office/drawing/2014/main" id="{00000000-0008-0000-0100-000032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867" name="Line 10">
          <a:extLst>
            <a:ext uri="{FF2B5EF4-FFF2-40B4-BE49-F238E27FC236}">
              <a16:creationId xmlns:a16="http://schemas.microsoft.com/office/drawing/2014/main" id="{00000000-0008-0000-0100-000033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868" name="Line 11">
          <a:extLst>
            <a:ext uri="{FF2B5EF4-FFF2-40B4-BE49-F238E27FC236}">
              <a16:creationId xmlns:a16="http://schemas.microsoft.com/office/drawing/2014/main" id="{00000000-0008-0000-0100-0000340B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869" name="Line 12">
          <a:extLst>
            <a:ext uri="{FF2B5EF4-FFF2-40B4-BE49-F238E27FC236}">
              <a16:creationId xmlns:a16="http://schemas.microsoft.com/office/drawing/2014/main" id="{00000000-0008-0000-0100-0000350B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870" name="Line 13">
          <a:extLst>
            <a:ext uri="{FF2B5EF4-FFF2-40B4-BE49-F238E27FC236}">
              <a16:creationId xmlns:a16="http://schemas.microsoft.com/office/drawing/2014/main" id="{00000000-0008-0000-0100-0000360B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71" name="Line 14">
          <a:extLst>
            <a:ext uri="{FF2B5EF4-FFF2-40B4-BE49-F238E27FC236}">
              <a16:creationId xmlns:a16="http://schemas.microsoft.com/office/drawing/2014/main" id="{00000000-0008-0000-0100-0000370B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872" name="Line 15">
          <a:extLst>
            <a:ext uri="{FF2B5EF4-FFF2-40B4-BE49-F238E27FC236}">
              <a16:creationId xmlns:a16="http://schemas.microsoft.com/office/drawing/2014/main" id="{00000000-0008-0000-0100-0000380B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73" name="Line 16">
          <a:extLst>
            <a:ext uri="{FF2B5EF4-FFF2-40B4-BE49-F238E27FC236}">
              <a16:creationId xmlns:a16="http://schemas.microsoft.com/office/drawing/2014/main" id="{00000000-0008-0000-0100-0000390B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874" name="Line 17">
          <a:extLst>
            <a:ext uri="{FF2B5EF4-FFF2-40B4-BE49-F238E27FC236}">
              <a16:creationId xmlns:a16="http://schemas.microsoft.com/office/drawing/2014/main" id="{00000000-0008-0000-0100-00003A0B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875" name="Line 18">
          <a:extLst>
            <a:ext uri="{FF2B5EF4-FFF2-40B4-BE49-F238E27FC236}">
              <a16:creationId xmlns:a16="http://schemas.microsoft.com/office/drawing/2014/main" id="{00000000-0008-0000-0100-00003B0B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876" name="Line 19">
          <a:extLst>
            <a:ext uri="{FF2B5EF4-FFF2-40B4-BE49-F238E27FC236}">
              <a16:creationId xmlns:a16="http://schemas.microsoft.com/office/drawing/2014/main" id="{00000000-0008-0000-0100-00003C0B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877" name="Line 20">
          <a:extLst>
            <a:ext uri="{FF2B5EF4-FFF2-40B4-BE49-F238E27FC236}">
              <a16:creationId xmlns:a16="http://schemas.microsoft.com/office/drawing/2014/main" id="{00000000-0008-0000-0100-00003D0B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878" name="Line 21">
          <a:extLst>
            <a:ext uri="{FF2B5EF4-FFF2-40B4-BE49-F238E27FC236}">
              <a16:creationId xmlns:a16="http://schemas.microsoft.com/office/drawing/2014/main" id="{00000000-0008-0000-0100-00003E0B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879" name="Line 22">
          <a:extLst>
            <a:ext uri="{FF2B5EF4-FFF2-40B4-BE49-F238E27FC236}">
              <a16:creationId xmlns:a16="http://schemas.microsoft.com/office/drawing/2014/main" id="{00000000-0008-0000-0100-00003F0B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880" name="Line 23">
          <a:extLst>
            <a:ext uri="{FF2B5EF4-FFF2-40B4-BE49-F238E27FC236}">
              <a16:creationId xmlns:a16="http://schemas.microsoft.com/office/drawing/2014/main" id="{00000000-0008-0000-0100-0000400B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881" name="Line 24">
          <a:extLst>
            <a:ext uri="{FF2B5EF4-FFF2-40B4-BE49-F238E27FC236}">
              <a16:creationId xmlns:a16="http://schemas.microsoft.com/office/drawing/2014/main" id="{00000000-0008-0000-0100-0000410B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882" name="Line 25">
          <a:extLst>
            <a:ext uri="{FF2B5EF4-FFF2-40B4-BE49-F238E27FC236}">
              <a16:creationId xmlns:a16="http://schemas.microsoft.com/office/drawing/2014/main" id="{00000000-0008-0000-0100-0000420B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883" name="Line 26">
          <a:extLst>
            <a:ext uri="{FF2B5EF4-FFF2-40B4-BE49-F238E27FC236}">
              <a16:creationId xmlns:a16="http://schemas.microsoft.com/office/drawing/2014/main" id="{00000000-0008-0000-0100-0000430B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884" name="Line 27">
          <a:extLst>
            <a:ext uri="{FF2B5EF4-FFF2-40B4-BE49-F238E27FC236}">
              <a16:creationId xmlns:a16="http://schemas.microsoft.com/office/drawing/2014/main" id="{00000000-0008-0000-0100-000044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885" name="Line 28">
          <a:extLst>
            <a:ext uri="{FF2B5EF4-FFF2-40B4-BE49-F238E27FC236}">
              <a16:creationId xmlns:a16="http://schemas.microsoft.com/office/drawing/2014/main" id="{00000000-0008-0000-0100-000045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886" name="Line 29">
          <a:extLst>
            <a:ext uri="{FF2B5EF4-FFF2-40B4-BE49-F238E27FC236}">
              <a16:creationId xmlns:a16="http://schemas.microsoft.com/office/drawing/2014/main" id="{00000000-0008-0000-0100-000046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887" name="Line 30">
          <a:extLst>
            <a:ext uri="{FF2B5EF4-FFF2-40B4-BE49-F238E27FC236}">
              <a16:creationId xmlns:a16="http://schemas.microsoft.com/office/drawing/2014/main" id="{00000000-0008-0000-0100-000047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888" name="Line 31">
          <a:extLst>
            <a:ext uri="{FF2B5EF4-FFF2-40B4-BE49-F238E27FC236}">
              <a16:creationId xmlns:a16="http://schemas.microsoft.com/office/drawing/2014/main" id="{00000000-0008-0000-0100-000048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889" name="Line 32">
          <a:extLst>
            <a:ext uri="{FF2B5EF4-FFF2-40B4-BE49-F238E27FC236}">
              <a16:creationId xmlns:a16="http://schemas.microsoft.com/office/drawing/2014/main" id="{00000000-0008-0000-0100-000049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890" name="Line 33">
          <a:extLst>
            <a:ext uri="{FF2B5EF4-FFF2-40B4-BE49-F238E27FC236}">
              <a16:creationId xmlns:a16="http://schemas.microsoft.com/office/drawing/2014/main" id="{00000000-0008-0000-0100-00004A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891" name="Line 34">
          <a:extLst>
            <a:ext uri="{FF2B5EF4-FFF2-40B4-BE49-F238E27FC236}">
              <a16:creationId xmlns:a16="http://schemas.microsoft.com/office/drawing/2014/main" id="{00000000-0008-0000-0100-00004B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892" name="Line 35">
          <a:extLst>
            <a:ext uri="{FF2B5EF4-FFF2-40B4-BE49-F238E27FC236}">
              <a16:creationId xmlns:a16="http://schemas.microsoft.com/office/drawing/2014/main" id="{00000000-0008-0000-0100-00004C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893" name="Line 36">
          <a:extLst>
            <a:ext uri="{FF2B5EF4-FFF2-40B4-BE49-F238E27FC236}">
              <a16:creationId xmlns:a16="http://schemas.microsoft.com/office/drawing/2014/main" id="{00000000-0008-0000-0100-00004D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894" name="Line 37">
          <a:extLst>
            <a:ext uri="{FF2B5EF4-FFF2-40B4-BE49-F238E27FC236}">
              <a16:creationId xmlns:a16="http://schemas.microsoft.com/office/drawing/2014/main" id="{00000000-0008-0000-0100-00004E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895" name="Line 38">
          <a:extLst>
            <a:ext uri="{FF2B5EF4-FFF2-40B4-BE49-F238E27FC236}">
              <a16:creationId xmlns:a16="http://schemas.microsoft.com/office/drawing/2014/main" id="{00000000-0008-0000-0100-00004F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896" name="Line 39">
          <a:extLst>
            <a:ext uri="{FF2B5EF4-FFF2-40B4-BE49-F238E27FC236}">
              <a16:creationId xmlns:a16="http://schemas.microsoft.com/office/drawing/2014/main" id="{00000000-0008-0000-0100-000050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897" name="Line 40">
          <a:extLst>
            <a:ext uri="{FF2B5EF4-FFF2-40B4-BE49-F238E27FC236}">
              <a16:creationId xmlns:a16="http://schemas.microsoft.com/office/drawing/2014/main" id="{00000000-0008-0000-0100-000051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898" name="Line 41">
          <a:extLst>
            <a:ext uri="{FF2B5EF4-FFF2-40B4-BE49-F238E27FC236}">
              <a16:creationId xmlns:a16="http://schemas.microsoft.com/office/drawing/2014/main" id="{00000000-0008-0000-0100-000052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899" name="Rectangle 42">
          <a:extLst>
            <a:ext uri="{FF2B5EF4-FFF2-40B4-BE49-F238E27FC236}">
              <a16:creationId xmlns:a16="http://schemas.microsoft.com/office/drawing/2014/main" id="{00000000-0008-0000-0100-000053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00" name="Line 43">
          <a:extLst>
            <a:ext uri="{FF2B5EF4-FFF2-40B4-BE49-F238E27FC236}">
              <a16:creationId xmlns:a16="http://schemas.microsoft.com/office/drawing/2014/main" id="{00000000-0008-0000-0100-000054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01" name="Line 44">
          <a:extLst>
            <a:ext uri="{FF2B5EF4-FFF2-40B4-BE49-F238E27FC236}">
              <a16:creationId xmlns:a16="http://schemas.microsoft.com/office/drawing/2014/main" id="{00000000-0008-0000-0100-000055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902" name="Line 45">
          <a:extLst>
            <a:ext uri="{FF2B5EF4-FFF2-40B4-BE49-F238E27FC236}">
              <a16:creationId xmlns:a16="http://schemas.microsoft.com/office/drawing/2014/main" id="{00000000-0008-0000-0100-000056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903" name="Line 46">
          <a:extLst>
            <a:ext uri="{FF2B5EF4-FFF2-40B4-BE49-F238E27FC236}">
              <a16:creationId xmlns:a16="http://schemas.microsoft.com/office/drawing/2014/main" id="{00000000-0008-0000-0100-000057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904" name="Line 47">
          <a:extLst>
            <a:ext uri="{FF2B5EF4-FFF2-40B4-BE49-F238E27FC236}">
              <a16:creationId xmlns:a16="http://schemas.microsoft.com/office/drawing/2014/main" id="{00000000-0008-0000-0100-000058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905" name="Line 48">
          <a:extLst>
            <a:ext uri="{FF2B5EF4-FFF2-40B4-BE49-F238E27FC236}">
              <a16:creationId xmlns:a16="http://schemas.microsoft.com/office/drawing/2014/main" id="{00000000-0008-0000-0100-000059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906" name="Line 49">
          <a:extLst>
            <a:ext uri="{FF2B5EF4-FFF2-40B4-BE49-F238E27FC236}">
              <a16:creationId xmlns:a16="http://schemas.microsoft.com/office/drawing/2014/main" id="{00000000-0008-0000-0100-00005A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907" name="Line 50">
          <a:extLst>
            <a:ext uri="{FF2B5EF4-FFF2-40B4-BE49-F238E27FC236}">
              <a16:creationId xmlns:a16="http://schemas.microsoft.com/office/drawing/2014/main" id="{00000000-0008-0000-0100-00005B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908" name="Line 51">
          <a:extLst>
            <a:ext uri="{FF2B5EF4-FFF2-40B4-BE49-F238E27FC236}">
              <a16:creationId xmlns:a16="http://schemas.microsoft.com/office/drawing/2014/main" id="{00000000-0008-0000-0100-00005C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909" name="Line 52">
          <a:extLst>
            <a:ext uri="{FF2B5EF4-FFF2-40B4-BE49-F238E27FC236}">
              <a16:creationId xmlns:a16="http://schemas.microsoft.com/office/drawing/2014/main" id="{00000000-0008-0000-0100-00005D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910" name="Line 53">
          <a:extLst>
            <a:ext uri="{FF2B5EF4-FFF2-40B4-BE49-F238E27FC236}">
              <a16:creationId xmlns:a16="http://schemas.microsoft.com/office/drawing/2014/main" id="{00000000-0008-0000-0100-00005E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911" name="Line 54">
          <a:extLst>
            <a:ext uri="{FF2B5EF4-FFF2-40B4-BE49-F238E27FC236}">
              <a16:creationId xmlns:a16="http://schemas.microsoft.com/office/drawing/2014/main" id="{00000000-0008-0000-0100-00005F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912" name="Line 55">
          <a:extLst>
            <a:ext uri="{FF2B5EF4-FFF2-40B4-BE49-F238E27FC236}">
              <a16:creationId xmlns:a16="http://schemas.microsoft.com/office/drawing/2014/main" id="{00000000-0008-0000-0100-000060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913" name="Line 56">
          <a:extLst>
            <a:ext uri="{FF2B5EF4-FFF2-40B4-BE49-F238E27FC236}">
              <a16:creationId xmlns:a16="http://schemas.microsoft.com/office/drawing/2014/main" id="{00000000-0008-0000-0100-000061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914" name="Rectangle 57">
          <a:extLst>
            <a:ext uri="{FF2B5EF4-FFF2-40B4-BE49-F238E27FC236}">
              <a16:creationId xmlns:a16="http://schemas.microsoft.com/office/drawing/2014/main" id="{00000000-0008-0000-0100-000062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915" name="Line 58">
          <a:extLst>
            <a:ext uri="{FF2B5EF4-FFF2-40B4-BE49-F238E27FC236}">
              <a16:creationId xmlns:a16="http://schemas.microsoft.com/office/drawing/2014/main" id="{00000000-0008-0000-0100-000063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916" name="Line 59">
          <a:extLst>
            <a:ext uri="{FF2B5EF4-FFF2-40B4-BE49-F238E27FC236}">
              <a16:creationId xmlns:a16="http://schemas.microsoft.com/office/drawing/2014/main" id="{00000000-0008-0000-0100-000064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917" name="Line 60">
          <a:extLst>
            <a:ext uri="{FF2B5EF4-FFF2-40B4-BE49-F238E27FC236}">
              <a16:creationId xmlns:a16="http://schemas.microsoft.com/office/drawing/2014/main" id="{00000000-0008-0000-0100-000065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918" name="Line 61">
          <a:extLst>
            <a:ext uri="{FF2B5EF4-FFF2-40B4-BE49-F238E27FC236}">
              <a16:creationId xmlns:a16="http://schemas.microsoft.com/office/drawing/2014/main" id="{00000000-0008-0000-0100-000066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919" name="Line 62">
          <a:extLst>
            <a:ext uri="{FF2B5EF4-FFF2-40B4-BE49-F238E27FC236}">
              <a16:creationId xmlns:a16="http://schemas.microsoft.com/office/drawing/2014/main" id="{00000000-0008-0000-0100-000067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920" name="Line 63">
          <a:extLst>
            <a:ext uri="{FF2B5EF4-FFF2-40B4-BE49-F238E27FC236}">
              <a16:creationId xmlns:a16="http://schemas.microsoft.com/office/drawing/2014/main" id="{00000000-0008-0000-0100-000068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921" name="Line 64">
          <a:extLst>
            <a:ext uri="{FF2B5EF4-FFF2-40B4-BE49-F238E27FC236}">
              <a16:creationId xmlns:a16="http://schemas.microsoft.com/office/drawing/2014/main" id="{00000000-0008-0000-0100-000069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922" name="Line 65">
          <a:extLst>
            <a:ext uri="{FF2B5EF4-FFF2-40B4-BE49-F238E27FC236}">
              <a16:creationId xmlns:a16="http://schemas.microsoft.com/office/drawing/2014/main" id="{00000000-0008-0000-0100-00006A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923" name="Line 66">
          <a:extLst>
            <a:ext uri="{FF2B5EF4-FFF2-40B4-BE49-F238E27FC236}">
              <a16:creationId xmlns:a16="http://schemas.microsoft.com/office/drawing/2014/main" id="{00000000-0008-0000-0100-00006B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924" name="Line 67">
          <a:extLst>
            <a:ext uri="{FF2B5EF4-FFF2-40B4-BE49-F238E27FC236}">
              <a16:creationId xmlns:a16="http://schemas.microsoft.com/office/drawing/2014/main" id="{00000000-0008-0000-0100-00006C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925" name="Line 68">
          <a:extLst>
            <a:ext uri="{FF2B5EF4-FFF2-40B4-BE49-F238E27FC236}">
              <a16:creationId xmlns:a16="http://schemas.microsoft.com/office/drawing/2014/main" id="{00000000-0008-0000-0100-00006D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926" name="Line 1">
          <a:extLst>
            <a:ext uri="{FF2B5EF4-FFF2-40B4-BE49-F238E27FC236}">
              <a16:creationId xmlns:a16="http://schemas.microsoft.com/office/drawing/2014/main" id="{00000000-0008-0000-0100-00006E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927" name="Drawing 16">
          <a:extLst>
            <a:ext uri="{FF2B5EF4-FFF2-40B4-BE49-F238E27FC236}">
              <a16:creationId xmlns:a16="http://schemas.microsoft.com/office/drawing/2014/main" id="{00000000-0008-0000-0100-00006F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928" name="Line 3">
          <a:extLst>
            <a:ext uri="{FF2B5EF4-FFF2-40B4-BE49-F238E27FC236}">
              <a16:creationId xmlns:a16="http://schemas.microsoft.com/office/drawing/2014/main" id="{00000000-0008-0000-0100-000070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929" name="Line 4">
          <a:extLst>
            <a:ext uri="{FF2B5EF4-FFF2-40B4-BE49-F238E27FC236}">
              <a16:creationId xmlns:a16="http://schemas.microsoft.com/office/drawing/2014/main" id="{00000000-0008-0000-0100-000071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930" name="Line 5">
          <a:extLst>
            <a:ext uri="{FF2B5EF4-FFF2-40B4-BE49-F238E27FC236}">
              <a16:creationId xmlns:a16="http://schemas.microsoft.com/office/drawing/2014/main" id="{00000000-0008-0000-0100-000072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931" name="Line 6">
          <a:extLst>
            <a:ext uri="{FF2B5EF4-FFF2-40B4-BE49-F238E27FC236}">
              <a16:creationId xmlns:a16="http://schemas.microsoft.com/office/drawing/2014/main" id="{00000000-0008-0000-0100-000073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932" name="Line 7">
          <a:extLst>
            <a:ext uri="{FF2B5EF4-FFF2-40B4-BE49-F238E27FC236}">
              <a16:creationId xmlns:a16="http://schemas.microsoft.com/office/drawing/2014/main" id="{00000000-0008-0000-0100-000074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933" name="Line 8">
          <a:extLst>
            <a:ext uri="{FF2B5EF4-FFF2-40B4-BE49-F238E27FC236}">
              <a16:creationId xmlns:a16="http://schemas.microsoft.com/office/drawing/2014/main" id="{00000000-0008-0000-0100-000075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934" name="Line 9">
          <a:extLst>
            <a:ext uri="{FF2B5EF4-FFF2-40B4-BE49-F238E27FC236}">
              <a16:creationId xmlns:a16="http://schemas.microsoft.com/office/drawing/2014/main" id="{00000000-0008-0000-0100-000076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935" name="Line 10">
          <a:extLst>
            <a:ext uri="{FF2B5EF4-FFF2-40B4-BE49-F238E27FC236}">
              <a16:creationId xmlns:a16="http://schemas.microsoft.com/office/drawing/2014/main" id="{00000000-0008-0000-0100-000077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936" name="Line 11">
          <a:extLst>
            <a:ext uri="{FF2B5EF4-FFF2-40B4-BE49-F238E27FC236}">
              <a16:creationId xmlns:a16="http://schemas.microsoft.com/office/drawing/2014/main" id="{00000000-0008-0000-0100-0000780B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937" name="Line 12">
          <a:extLst>
            <a:ext uri="{FF2B5EF4-FFF2-40B4-BE49-F238E27FC236}">
              <a16:creationId xmlns:a16="http://schemas.microsoft.com/office/drawing/2014/main" id="{00000000-0008-0000-0100-0000790B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938" name="Line 13">
          <a:extLst>
            <a:ext uri="{FF2B5EF4-FFF2-40B4-BE49-F238E27FC236}">
              <a16:creationId xmlns:a16="http://schemas.microsoft.com/office/drawing/2014/main" id="{00000000-0008-0000-0100-00007A0B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939" name="Line 14">
          <a:extLst>
            <a:ext uri="{FF2B5EF4-FFF2-40B4-BE49-F238E27FC236}">
              <a16:creationId xmlns:a16="http://schemas.microsoft.com/office/drawing/2014/main" id="{00000000-0008-0000-0100-00007B0B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940" name="Line 15">
          <a:extLst>
            <a:ext uri="{FF2B5EF4-FFF2-40B4-BE49-F238E27FC236}">
              <a16:creationId xmlns:a16="http://schemas.microsoft.com/office/drawing/2014/main" id="{00000000-0008-0000-0100-00007C0B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941" name="Line 16">
          <a:extLst>
            <a:ext uri="{FF2B5EF4-FFF2-40B4-BE49-F238E27FC236}">
              <a16:creationId xmlns:a16="http://schemas.microsoft.com/office/drawing/2014/main" id="{00000000-0008-0000-0100-00007D0B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942" name="Line 17">
          <a:extLst>
            <a:ext uri="{FF2B5EF4-FFF2-40B4-BE49-F238E27FC236}">
              <a16:creationId xmlns:a16="http://schemas.microsoft.com/office/drawing/2014/main" id="{00000000-0008-0000-0100-00007E0B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943" name="Line 18">
          <a:extLst>
            <a:ext uri="{FF2B5EF4-FFF2-40B4-BE49-F238E27FC236}">
              <a16:creationId xmlns:a16="http://schemas.microsoft.com/office/drawing/2014/main" id="{00000000-0008-0000-0100-00007F0B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944" name="Line 19">
          <a:extLst>
            <a:ext uri="{FF2B5EF4-FFF2-40B4-BE49-F238E27FC236}">
              <a16:creationId xmlns:a16="http://schemas.microsoft.com/office/drawing/2014/main" id="{00000000-0008-0000-0100-0000800B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945" name="Line 20">
          <a:extLst>
            <a:ext uri="{FF2B5EF4-FFF2-40B4-BE49-F238E27FC236}">
              <a16:creationId xmlns:a16="http://schemas.microsoft.com/office/drawing/2014/main" id="{00000000-0008-0000-0100-0000810B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946" name="Line 21">
          <a:extLst>
            <a:ext uri="{FF2B5EF4-FFF2-40B4-BE49-F238E27FC236}">
              <a16:creationId xmlns:a16="http://schemas.microsoft.com/office/drawing/2014/main" id="{00000000-0008-0000-0100-0000820B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947" name="Line 22">
          <a:extLst>
            <a:ext uri="{FF2B5EF4-FFF2-40B4-BE49-F238E27FC236}">
              <a16:creationId xmlns:a16="http://schemas.microsoft.com/office/drawing/2014/main" id="{00000000-0008-0000-0100-0000830B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948" name="Line 23">
          <a:extLst>
            <a:ext uri="{FF2B5EF4-FFF2-40B4-BE49-F238E27FC236}">
              <a16:creationId xmlns:a16="http://schemas.microsoft.com/office/drawing/2014/main" id="{00000000-0008-0000-0100-0000840B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949" name="Line 24">
          <a:extLst>
            <a:ext uri="{FF2B5EF4-FFF2-40B4-BE49-F238E27FC236}">
              <a16:creationId xmlns:a16="http://schemas.microsoft.com/office/drawing/2014/main" id="{00000000-0008-0000-0100-0000850B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950" name="Line 25">
          <a:extLst>
            <a:ext uri="{FF2B5EF4-FFF2-40B4-BE49-F238E27FC236}">
              <a16:creationId xmlns:a16="http://schemas.microsoft.com/office/drawing/2014/main" id="{00000000-0008-0000-0100-0000860B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951" name="Line 26">
          <a:extLst>
            <a:ext uri="{FF2B5EF4-FFF2-40B4-BE49-F238E27FC236}">
              <a16:creationId xmlns:a16="http://schemas.microsoft.com/office/drawing/2014/main" id="{00000000-0008-0000-0100-0000870B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952" name="Line 27">
          <a:extLst>
            <a:ext uri="{FF2B5EF4-FFF2-40B4-BE49-F238E27FC236}">
              <a16:creationId xmlns:a16="http://schemas.microsoft.com/office/drawing/2014/main" id="{00000000-0008-0000-0100-000088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953" name="Line 28">
          <a:extLst>
            <a:ext uri="{FF2B5EF4-FFF2-40B4-BE49-F238E27FC236}">
              <a16:creationId xmlns:a16="http://schemas.microsoft.com/office/drawing/2014/main" id="{00000000-0008-0000-0100-000089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954" name="Line 29">
          <a:extLst>
            <a:ext uri="{FF2B5EF4-FFF2-40B4-BE49-F238E27FC236}">
              <a16:creationId xmlns:a16="http://schemas.microsoft.com/office/drawing/2014/main" id="{00000000-0008-0000-0100-00008A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955" name="Line 30">
          <a:extLst>
            <a:ext uri="{FF2B5EF4-FFF2-40B4-BE49-F238E27FC236}">
              <a16:creationId xmlns:a16="http://schemas.microsoft.com/office/drawing/2014/main" id="{00000000-0008-0000-0100-00008B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956" name="Line 31">
          <a:extLst>
            <a:ext uri="{FF2B5EF4-FFF2-40B4-BE49-F238E27FC236}">
              <a16:creationId xmlns:a16="http://schemas.microsoft.com/office/drawing/2014/main" id="{00000000-0008-0000-0100-00008C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957" name="Line 32">
          <a:extLst>
            <a:ext uri="{FF2B5EF4-FFF2-40B4-BE49-F238E27FC236}">
              <a16:creationId xmlns:a16="http://schemas.microsoft.com/office/drawing/2014/main" id="{00000000-0008-0000-0100-00008D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958" name="Line 33">
          <a:extLst>
            <a:ext uri="{FF2B5EF4-FFF2-40B4-BE49-F238E27FC236}">
              <a16:creationId xmlns:a16="http://schemas.microsoft.com/office/drawing/2014/main" id="{00000000-0008-0000-0100-00008E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959" name="Line 34">
          <a:extLst>
            <a:ext uri="{FF2B5EF4-FFF2-40B4-BE49-F238E27FC236}">
              <a16:creationId xmlns:a16="http://schemas.microsoft.com/office/drawing/2014/main" id="{00000000-0008-0000-0100-00008F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960" name="Line 35">
          <a:extLst>
            <a:ext uri="{FF2B5EF4-FFF2-40B4-BE49-F238E27FC236}">
              <a16:creationId xmlns:a16="http://schemas.microsoft.com/office/drawing/2014/main" id="{00000000-0008-0000-0100-000090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961" name="Line 36">
          <a:extLst>
            <a:ext uri="{FF2B5EF4-FFF2-40B4-BE49-F238E27FC236}">
              <a16:creationId xmlns:a16="http://schemas.microsoft.com/office/drawing/2014/main" id="{00000000-0008-0000-0100-000091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962" name="Line 37">
          <a:extLst>
            <a:ext uri="{FF2B5EF4-FFF2-40B4-BE49-F238E27FC236}">
              <a16:creationId xmlns:a16="http://schemas.microsoft.com/office/drawing/2014/main" id="{00000000-0008-0000-0100-000092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963" name="Line 38">
          <a:extLst>
            <a:ext uri="{FF2B5EF4-FFF2-40B4-BE49-F238E27FC236}">
              <a16:creationId xmlns:a16="http://schemas.microsoft.com/office/drawing/2014/main" id="{00000000-0008-0000-0100-000093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964" name="Line 39">
          <a:extLst>
            <a:ext uri="{FF2B5EF4-FFF2-40B4-BE49-F238E27FC236}">
              <a16:creationId xmlns:a16="http://schemas.microsoft.com/office/drawing/2014/main" id="{00000000-0008-0000-0100-000094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965" name="Line 40">
          <a:extLst>
            <a:ext uri="{FF2B5EF4-FFF2-40B4-BE49-F238E27FC236}">
              <a16:creationId xmlns:a16="http://schemas.microsoft.com/office/drawing/2014/main" id="{00000000-0008-0000-0100-000095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966" name="Line 41">
          <a:extLst>
            <a:ext uri="{FF2B5EF4-FFF2-40B4-BE49-F238E27FC236}">
              <a16:creationId xmlns:a16="http://schemas.microsoft.com/office/drawing/2014/main" id="{00000000-0008-0000-0100-000096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967" name="Rectangle 42">
          <a:extLst>
            <a:ext uri="{FF2B5EF4-FFF2-40B4-BE49-F238E27FC236}">
              <a16:creationId xmlns:a16="http://schemas.microsoft.com/office/drawing/2014/main" id="{00000000-0008-0000-0100-000097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68" name="Line 43">
          <a:extLst>
            <a:ext uri="{FF2B5EF4-FFF2-40B4-BE49-F238E27FC236}">
              <a16:creationId xmlns:a16="http://schemas.microsoft.com/office/drawing/2014/main" id="{00000000-0008-0000-0100-000098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69" name="Line 44">
          <a:extLst>
            <a:ext uri="{FF2B5EF4-FFF2-40B4-BE49-F238E27FC236}">
              <a16:creationId xmlns:a16="http://schemas.microsoft.com/office/drawing/2014/main" id="{00000000-0008-0000-0100-000099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970" name="Line 45">
          <a:extLst>
            <a:ext uri="{FF2B5EF4-FFF2-40B4-BE49-F238E27FC236}">
              <a16:creationId xmlns:a16="http://schemas.microsoft.com/office/drawing/2014/main" id="{00000000-0008-0000-0100-00009A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971" name="Line 46">
          <a:extLst>
            <a:ext uri="{FF2B5EF4-FFF2-40B4-BE49-F238E27FC236}">
              <a16:creationId xmlns:a16="http://schemas.microsoft.com/office/drawing/2014/main" id="{00000000-0008-0000-0100-00009B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972" name="Line 47">
          <a:extLst>
            <a:ext uri="{FF2B5EF4-FFF2-40B4-BE49-F238E27FC236}">
              <a16:creationId xmlns:a16="http://schemas.microsoft.com/office/drawing/2014/main" id="{00000000-0008-0000-0100-00009C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973" name="Line 48">
          <a:extLst>
            <a:ext uri="{FF2B5EF4-FFF2-40B4-BE49-F238E27FC236}">
              <a16:creationId xmlns:a16="http://schemas.microsoft.com/office/drawing/2014/main" id="{00000000-0008-0000-0100-00009D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974" name="Line 49">
          <a:extLst>
            <a:ext uri="{FF2B5EF4-FFF2-40B4-BE49-F238E27FC236}">
              <a16:creationId xmlns:a16="http://schemas.microsoft.com/office/drawing/2014/main" id="{00000000-0008-0000-0100-00009E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975" name="Line 50">
          <a:extLst>
            <a:ext uri="{FF2B5EF4-FFF2-40B4-BE49-F238E27FC236}">
              <a16:creationId xmlns:a16="http://schemas.microsoft.com/office/drawing/2014/main" id="{00000000-0008-0000-0100-00009F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976" name="Line 51">
          <a:extLst>
            <a:ext uri="{FF2B5EF4-FFF2-40B4-BE49-F238E27FC236}">
              <a16:creationId xmlns:a16="http://schemas.microsoft.com/office/drawing/2014/main" id="{00000000-0008-0000-0100-0000A0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977" name="Line 52">
          <a:extLst>
            <a:ext uri="{FF2B5EF4-FFF2-40B4-BE49-F238E27FC236}">
              <a16:creationId xmlns:a16="http://schemas.microsoft.com/office/drawing/2014/main" id="{00000000-0008-0000-0100-0000A1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978" name="Line 53">
          <a:extLst>
            <a:ext uri="{FF2B5EF4-FFF2-40B4-BE49-F238E27FC236}">
              <a16:creationId xmlns:a16="http://schemas.microsoft.com/office/drawing/2014/main" id="{00000000-0008-0000-0100-0000A2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979" name="Line 54">
          <a:extLst>
            <a:ext uri="{FF2B5EF4-FFF2-40B4-BE49-F238E27FC236}">
              <a16:creationId xmlns:a16="http://schemas.microsoft.com/office/drawing/2014/main" id="{00000000-0008-0000-0100-0000A3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980" name="Line 55">
          <a:extLst>
            <a:ext uri="{FF2B5EF4-FFF2-40B4-BE49-F238E27FC236}">
              <a16:creationId xmlns:a16="http://schemas.microsoft.com/office/drawing/2014/main" id="{00000000-0008-0000-0100-0000A4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981" name="Line 56">
          <a:extLst>
            <a:ext uri="{FF2B5EF4-FFF2-40B4-BE49-F238E27FC236}">
              <a16:creationId xmlns:a16="http://schemas.microsoft.com/office/drawing/2014/main" id="{00000000-0008-0000-0100-0000A5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982" name="Rectangle 57">
          <a:extLst>
            <a:ext uri="{FF2B5EF4-FFF2-40B4-BE49-F238E27FC236}">
              <a16:creationId xmlns:a16="http://schemas.microsoft.com/office/drawing/2014/main" id="{00000000-0008-0000-0100-0000A6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983" name="Line 58">
          <a:extLst>
            <a:ext uri="{FF2B5EF4-FFF2-40B4-BE49-F238E27FC236}">
              <a16:creationId xmlns:a16="http://schemas.microsoft.com/office/drawing/2014/main" id="{00000000-0008-0000-0100-0000A7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984" name="Line 59">
          <a:extLst>
            <a:ext uri="{FF2B5EF4-FFF2-40B4-BE49-F238E27FC236}">
              <a16:creationId xmlns:a16="http://schemas.microsoft.com/office/drawing/2014/main" id="{00000000-0008-0000-0100-0000A8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985" name="Line 60">
          <a:extLst>
            <a:ext uri="{FF2B5EF4-FFF2-40B4-BE49-F238E27FC236}">
              <a16:creationId xmlns:a16="http://schemas.microsoft.com/office/drawing/2014/main" id="{00000000-0008-0000-0100-0000A9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986" name="Line 61">
          <a:extLst>
            <a:ext uri="{FF2B5EF4-FFF2-40B4-BE49-F238E27FC236}">
              <a16:creationId xmlns:a16="http://schemas.microsoft.com/office/drawing/2014/main" id="{00000000-0008-0000-0100-0000AA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987" name="Line 62">
          <a:extLst>
            <a:ext uri="{FF2B5EF4-FFF2-40B4-BE49-F238E27FC236}">
              <a16:creationId xmlns:a16="http://schemas.microsoft.com/office/drawing/2014/main" id="{00000000-0008-0000-0100-0000AB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988" name="Line 63">
          <a:extLst>
            <a:ext uri="{FF2B5EF4-FFF2-40B4-BE49-F238E27FC236}">
              <a16:creationId xmlns:a16="http://schemas.microsoft.com/office/drawing/2014/main" id="{00000000-0008-0000-0100-0000AC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989" name="Line 64">
          <a:extLst>
            <a:ext uri="{FF2B5EF4-FFF2-40B4-BE49-F238E27FC236}">
              <a16:creationId xmlns:a16="http://schemas.microsoft.com/office/drawing/2014/main" id="{00000000-0008-0000-0100-0000AD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990" name="Line 65">
          <a:extLst>
            <a:ext uri="{FF2B5EF4-FFF2-40B4-BE49-F238E27FC236}">
              <a16:creationId xmlns:a16="http://schemas.microsoft.com/office/drawing/2014/main" id="{00000000-0008-0000-0100-0000AE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991" name="Line 66">
          <a:extLst>
            <a:ext uri="{FF2B5EF4-FFF2-40B4-BE49-F238E27FC236}">
              <a16:creationId xmlns:a16="http://schemas.microsoft.com/office/drawing/2014/main" id="{00000000-0008-0000-0100-0000AF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992" name="Line 67">
          <a:extLst>
            <a:ext uri="{FF2B5EF4-FFF2-40B4-BE49-F238E27FC236}">
              <a16:creationId xmlns:a16="http://schemas.microsoft.com/office/drawing/2014/main" id="{00000000-0008-0000-0100-0000B0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993" name="Line 68">
          <a:extLst>
            <a:ext uri="{FF2B5EF4-FFF2-40B4-BE49-F238E27FC236}">
              <a16:creationId xmlns:a16="http://schemas.microsoft.com/office/drawing/2014/main" id="{00000000-0008-0000-0100-0000B1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994" name="Line 1">
          <a:extLst>
            <a:ext uri="{FF2B5EF4-FFF2-40B4-BE49-F238E27FC236}">
              <a16:creationId xmlns:a16="http://schemas.microsoft.com/office/drawing/2014/main" id="{00000000-0008-0000-0100-0000B2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995" name="Drawing 16">
          <a:extLst>
            <a:ext uri="{FF2B5EF4-FFF2-40B4-BE49-F238E27FC236}">
              <a16:creationId xmlns:a16="http://schemas.microsoft.com/office/drawing/2014/main" id="{00000000-0008-0000-0100-0000B3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996" name="Line 3">
          <a:extLst>
            <a:ext uri="{FF2B5EF4-FFF2-40B4-BE49-F238E27FC236}">
              <a16:creationId xmlns:a16="http://schemas.microsoft.com/office/drawing/2014/main" id="{00000000-0008-0000-0100-0000B4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997" name="Line 4">
          <a:extLst>
            <a:ext uri="{FF2B5EF4-FFF2-40B4-BE49-F238E27FC236}">
              <a16:creationId xmlns:a16="http://schemas.microsoft.com/office/drawing/2014/main" id="{00000000-0008-0000-0100-0000B5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998" name="Line 5">
          <a:extLst>
            <a:ext uri="{FF2B5EF4-FFF2-40B4-BE49-F238E27FC236}">
              <a16:creationId xmlns:a16="http://schemas.microsoft.com/office/drawing/2014/main" id="{00000000-0008-0000-0100-0000B6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999" name="Line 6">
          <a:extLst>
            <a:ext uri="{FF2B5EF4-FFF2-40B4-BE49-F238E27FC236}">
              <a16:creationId xmlns:a16="http://schemas.microsoft.com/office/drawing/2014/main" id="{00000000-0008-0000-0100-0000B7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000" name="Line 7">
          <a:extLst>
            <a:ext uri="{FF2B5EF4-FFF2-40B4-BE49-F238E27FC236}">
              <a16:creationId xmlns:a16="http://schemas.microsoft.com/office/drawing/2014/main" id="{00000000-0008-0000-0100-0000B8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001" name="Line 8">
          <a:extLst>
            <a:ext uri="{FF2B5EF4-FFF2-40B4-BE49-F238E27FC236}">
              <a16:creationId xmlns:a16="http://schemas.microsoft.com/office/drawing/2014/main" id="{00000000-0008-0000-0100-0000B9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002" name="Line 9">
          <a:extLst>
            <a:ext uri="{FF2B5EF4-FFF2-40B4-BE49-F238E27FC236}">
              <a16:creationId xmlns:a16="http://schemas.microsoft.com/office/drawing/2014/main" id="{00000000-0008-0000-0100-0000BA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003" name="Line 10">
          <a:extLst>
            <a:ext uri="{FF2B5EF4-FFF2-40B4-BE49-F238E27FC236}">
              <a16:creationId xmlns:a16="http://schemas.microsoft.com/office/drawing/2014/main" id="{00000000-0008-0000-0100-0000BB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004" name="Line 11">
          <a:extLst>
            <a:ext uri="{FF2B5EF4-FFF2-40B4-BE49-F238E27FC236}">
              <a16:creationId xmlns:a16="http://schemas.microsoft.com/office/drawing/2014/main" id="{00000000-0008-0000-0100-0000BC0B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005" name="Line 12">
          <a:extLst>
            <a:ext uri="{FF2B5EF4-FFF2-40B4-BE49-F238E27FC236}">
              <a16:creationId xmlns:a16="http://schemas.microsoft.com/office/drawing/2014/main" id="{00000000-0008-0000-0100-0000BD0B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006" name="Line 13">
          <a:extLst>
            <a:ext uri="{FF2B5EF4-FFF2-40B4-BE49-F238E27FC236}">
              <a16:creationId xmlns:a16="http://schemas.microsoft.com/office/drawing/2014/main" id="{00000000-0008-0000-0100-0000BE0B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07" name="Line 14">
          <a:extLst>
            <a:ext uri="{FF2B5EF4-FFF2-40B4-BE49-F238E27FC236}">
              <a16:creationId xmlns:a16="http://schemas.microsoft.com/office/drawing/2014/main" id="{00000000-0008-0000-0100-0000BF0B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008" name="Line 15">
          <a:extLst>
            <a:ext uri="{FF2B5EF4-FFF2-40B4-BE49-F238E27FC236}">
              <a16:creationId xmlns:a16="http://schemas.microsoft.com/office/drawing/2014/main" id="{00000000-0008-0000-0100-0000C00B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09" name="Line 16">
          <a:extLst>
            <a:ext uri="{FF2B5EF4-FFF2-40B4-BE49-F238E27FC236}">
              <a16:creationId xmlns:a16="http://schemas.microsoft.com/office/drawing/2014/main" id="{00000000-0008-0000-0100-0000C10B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010" name="Line 17">
          <a:extLst>
            <a:ext uri="{FF2B5EF4-FFF2-40B4-BE49-F238E27FC236}">
              <a16:creationId xmlns:a16="http://schemas.microsoft.com/office/drawing/2014/main" id="{00000000-0008-0000-0100-0000C20B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011" name="Line 18">
          <a:extLst>
            <a:ext uri="{FF2B5EF4-FFF2-40B4-BE49-F238E27FC236}">
              <a16:creationId xmlns:a16="http://schemas.microsoft.com/office/drawing/2014/main" id="{00000000-0008-0000-0100-0000C30B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012" name="Line 19">
          <a:extLst>
            <a:ext uri="{FF2B5EF4-FFF2-40B4-BE49-F238E27FC236}">
              <a16:creationId xmlns:a16="http://schemas.microsoft.com/office/drawing/2014/main" id="{00000000-0008-0000-0100-0000C40B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013" name="Line 20">
          <a:extLst>
            <a:ext uri="{FF2B5EF4-FFF2-40B4-BE49-F238E27FC236}">
              <a16:creationId xmlns:a16="http://schemas.microsoft.com/office/drawing/2014/main" id="{00000000-0008-0000-0100-0000C50B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014" name="Line 21">
          <a:extLst>
            <a:ext uri="{FF2B5EF4-FFF2-40B4-BE49-F238E27FC236}">
              <a16:creationId xmlns:a16="http://schemas.microsoft.com/office/drawing/2014/main" id="{00000000-0008-0000-0100-0000C60B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015" name="Line 22">
          <a:extLst>
            <a:ext uri="{FF2B5EF4-FFF2-40B4-BE49-F238E27FC236}">
              <a16:creationId xmlns:a16="http://schemas.microsoft.com/office/drawing/2014/main" id="{00000000-0008-0000-0100-0000C70B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016" name="Line 23">
          <a:extLst>
            <a:ext uri="{FF2B5EF4-FFF2-40B4-BE49-F238E27FC236}">
              <a16:creationId xmlns:a16="http://schemas.microsoft.com/office/drawing/2014/main" id="{00000000-0008-0000-0100-0000C80B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017" name="Line 24">
          <a:extLst>
            <a:ext uri="{FF2B5EF4-FFF2-40B4-BE49-F238E27FC236}">
              <a16:creationId xmlns:a16="http://schemas.microsoft.com/office/drawing/2014/main" id="{00000000-0008-0000-0100-0000C90B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018" name="Line 25">
          <a:extLst>
            <a:ext uri="{FF2B5EF4-FFF2-40B4-BE49-F238E27FC236}">
              <a16:creationId xmlns:a16="http://schemas.microsoft.com/office/drawing/2014/main" id="{00000000-0008-0000-0100-0000CA0B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019" name="Line 26">
          <a:extLst>
            <a:ext uri="{FF2B5EF4-FFF2-40B4-BE49-F238E27FC236}">
              <a16:creationId xmlns:a16="http://schemas.microsoft.com/office/drawing/2014/main" id="{00000000-0008-0000-0100-0000CB0B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020" name="Line 27">
          <a:extLst>
            <a:ext uri="{FF2B5EF4-FFF2-40B4-BE49-F238E27FC236}">
              <a16:creationId xmlns:a16="http://schemas.microsoft.com/office/drawing/2014/main" id="{00000000-0008-0000-0100-0000CC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021" name="Line 28">
          <a:extLst>
            <a:ext uri="{FF2B5EF4-FFF2-40B4-BE49-F238E27FC236}">
              <a16:creationId xmlns:a16="http://schemas.microsoft.com/office/drawing/2014/main" id="{00000000-0008-0000-0100-0000CD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22" name="Line 29">
          <a:extLst>
            <a:ext uri="{FF2B5EF4-FFF2-40B4-BE49-F238E27FC236}">
              <a16:creationId xmlns:a16="http://schemas.microsoft.com/office/drawing/2014/main" id="{00000000-0008-0000-0100-0000CE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023" name="Line 30">
          <a:extLst>
            <a:ext uri="{FF2B5EF4-FFF2-40B4-BE49-F238E27FC236}">
              <a16:creationId xmlns:a16="http://schemas.microsoft.com/office/drawing/2014/main" id="{00000000-0008-0000-0100-0000CF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024" name="Line 31">
          <a:extLst>
            <a:ext uri="{FF2B5EF4-FFF2-40B4-BE49-F238E27FC236}">
              <a16:creationId xmlns:a16="http://schemas.microsoft.com/office/drawing/2014/main" id="{00000000-0008-0000-0100-0000D0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025" name="Line 32">
          <a:extLst>
            <a:ext uri="{FF2B5EF4-FFF2-40B4-BE49-F238E27FC236}">
              <a16:creationId xmlns:a16="http://schemas.microsoft.com/office/drawing/2014/main" id="{00000000-0008-0000-0100-0000D1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026" name="Line 33">
          <a:extLst>
            <a:ext uri="{FF2B5EF4-FFF2-40B4-BE49-F238E27FC236}">
              <a16:creationId xmlns:a16="http://schemas.microsoft.com/office/drawing/2014/main" id="{00000000-0008-0000-0100-0000D2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027" name="Line 34">
          <a:extLst>
            <a:ext uri="{FF2B5EF4-FFF2-40B4-BE49-F238E27FC236}">
              <a16:creationId xmlns:a16="http://schemas.microsoft.com/office/drawing/2014/main" id="{00000000-0008-0000-0100-0000D3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028" name="Line 35">
          <a:extLst>
            <a:ext uri="{FF2B5EF4-FFF2-40B4-BE49-F238E27FC236}">
              <a16:creationId xmlns:a16="http://schemas.microsoft.com/office/drawing/2014/main" id="{00000000-0008-0000-0100-0000D4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029" name="Line 36">
          <a:extLst>
            <a:ext uri="{FF2B5EF4-FFF2-40B4-BE49-F238E27FC236}">
              <a16:creationId xmlns:a16="http://schemas.microsoft.com/office/drawing/2014/main" id="{00000000-0008-0000-0100-0000D5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030" name="Line 37">
          <a:extLst>
            <a:ext uri="{FF2B5EF4-FFF2-40B4-BE49-F238E27FC236}">
              <a16:creationId xmlns:a16="http://schemas.microsoft.com/office/drawing/2014/main" id="{00000000-0008-0000-0100-0000D6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031" name="Line 38">
          <a:extLst>
            <a:ext uri="{FF2B5EF4-FFF2-40B4-BE49-F238E27FC236}">
              <a16:creationId xmlns:a16="http://schemas.microsoft.com/office/drawing/2014/main" id="{00000000-0008-0000-0100-0000D7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032" name="Line 39">
          <a:extLst>
            <a:ext uri="{FF2B5EF4-FFF2-40B4-BE49-F238E27FC236}">
              <a16:creationId xmlns:a16="http://schemas.microsoft.com/office/drawing/2014/main" id="{00000000-0008-0000-0100-0000D8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033" name="Line 40">
          <a:extLst>
            <a:ext uri="{FF2B5EF4-FFF2-40B4-BE49-F238E27FC236}">
              <a16:creationId xmlns:a16="http://schemas.microsoft.com/office/drawing/2014/main" id="{00000000-0008-0000-0100-0000D9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034" name="Line 41">
          <a:extLst>
            <a:ext uri="{FF2B5EF4-FFF2-40B4-BE49-F238E27FC236}">
              <a16:creationId xmlns:a16="http://schemas.microsoft.com/office/drawing/2014/main" id="{00000000-0008-0000-0100-0000DA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035" name="Rectangle 42">
          <a:extLst>
            <a:ext uri="{FF2B5EF4-FFF2-40B4-BE49-F238E27FC236}">
              <a16:creationId xmlns:a16="http://schemas.microsoft.com/office/drawing/2014/main" id="{00000000-0008-0000-0100-0000DB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036" name="Line 43">
          <a:extLst>
            <a:ext uri="{FF2B5EF4-FFF2-40B4-BE49-F238E27FC236}">
              <a16:creationId xmlns:a16="http://schemas.microsoft.com/office/drawing/2014/main" id="{00000000-0008-0000-0100-0000DC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037" name="Line 44">
          <a:extLst>
            <a:ext uri="{FF2B5EF4-FFF2-40B4-BE49-F238E27FC236}">
              <a16:creationId xmlns:a16="http://schemas.microsoft.com/office/drawing/2014/main" id="{00000000-0008-0000-0100-0000DD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038" name="Line 45">
          <a:extLst>
            <a:ext uri="{FF2B5EF4-FFF2-40B4-BE49-F238E27FC236}">
              <a16:creationId xmlns:a16="http://schemas.microsoft.com/office/drawing/2014/main" id="{00000000-0008-0000-0100-0000DE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039" name="Line 46">
          <a:extLst>
            <a:ext uri="{FF2B5EF4-FFF2-40B4-BE49-F238E27FC236}">
              <a16:creationId xmlns:a16="http://schemas.microsoft.com/office/drawing/2014/main" id="{00000000-0008-0000-0100-0000DF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040" name="Line 47">
          <a:extLst>
            <a:ext uri="{FF2B5EF4-FFF2-40B4-BE49-F238E27FC236}">
              <a16:creationId xmlns:a16="http://schemas.microsoft.com/office/drawing/2014/main" id="{00000000-0008-0000-0100-0000E0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041" name="Line 48">
          <a:extLst>
            <a:ext uri="{FF2B5EF4-FFF2-40B4-BE49-F238E27FC236}">
              <a16:creationId xmlns:a16="http://schemas.microsoft.com/office/drawing/2014/main" id="{00000000-0008-0000-0100-0000E1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042" name="Line 49">
          <a:extLst>
            <a:ext uri="{FF2B5EF4-FFF2-40B4-BE49-F238E27FC236}">
              <a16:creationId xmlns:a16="http://schemas.microsoft.com/office/drawing/2014/main" id="{00000000-0008-0000-0100-0000E2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043" name="Line 50">
          <a:extLst>
            <a:ext uri="{FF2B5EF4-FFF2-40B4-BE49-F238E27FC236}">
              <a16:creationId xmlns:a16="http://schemas.microsoft.com/office/drawing/2014/main" id="{00000000-0008-0000-0100-0000E3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044" name="Line 51">
          <a:extLst>
            <a:ext uri="{FF2B5EF4-FFF2-40B4-BE49-F238E27FC236}">
              <a16:creationId xmlns:a16="http://schemas.microsoft.com/office/drawing/2014/main" id="{00000000-0008-0000-0100-0000E4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045" name="Line 52">
          <a:extLst>
            <a:ext uri="{FF2B5EF4-FFF2-40B4-BE49-F238E27FC236}">
              <a16:creationId xmlns:a16="http://schemas.microsoft.com/office/drawing/2014/main" id="{00000000-0008-0000-0100-0000E5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046" name="Line 53">
          <a:extLst>
            <a:ext uri="{FF2B5EF4-FFF2-40B4-BE49-F238E27FC236}">
              <a16:creationId xmlns:a16="http://schemas.microsoft.com/office/drawing/2014/main" id="{00000000-0008-0000-0100-0000E6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047" name="Line 54">
          <a:extLst>
            <a:ext uri="{FF2B5EF4-FFF2-40B4-BE49-F238E27FC236}">
              <a16:creationId xmlns:a16="http://schemas.microsoft.com/office/drawing/2014/main" id="{00000000-0008-0000-0100-0000E7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048" name="Line 55">
          <a:extLst>
            <a:ext uri="{FF2B5EF4-FFF2-40B4-BE49-F238E27FC236}">
              <a16:creationId xmlns:a16="http://schemas.microsoft.com/office/drawing/2014/main" id="{00000000-0008-0000-0100-0000E8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049" name="Line 56">
          <a:extLst>
            <a:ext uri="{FF2B5EF4-FFF2-40B4-BE49-F238E27FC236}">
              <a16:creationId xmlns:a16="http://schemas.microsoft.com/office/drawing/2014/main" id="{00000000-0008-0000-0100-0000E9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050" name="Rectangle 57">
          <a:extLst>
            <a:ext uri="{FF2B5EF4-FFF2-40B4-BE49-F238E27FC236}">
              <a16:creationId xmlns:a16="http://schemas.microsoft.com/office/drawing/2014/main" id="{00000000-0008-0000-0100-0000EA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051" name="Line 58">
          <a:extLst>
            <a:ext uri="{FF2B5EF4-FFF2-40B4-BE49-F238E27FC236}">
              <a16:creationId xmlns:a16="http://schemas.microsoft.com/office/drawing/2014/main" id="{00000000-0008-0000-0100-0000EB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052" name="Line 59">
          <a:extLst>
            <a:ext uri="{FF2B5EF4-FFF2-40B4-BE49-F238E27FC236}">
              <a16:creationId xmlns:a16="http://schemas.microsoft.com/office/drawing/2014/main" id="{00000000-0008-0000-0100-0000EC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053" name="Line 60">
          <a:extLst>
            <a:ext uri="{FF2B5EF4-FFF2-40B4-BE49-F238E27FC236}">
              <a16:creationId xmlns:a16="http://schemas.microsoft.com/office/drawing/2014/main" id="{00000000-0008-0000-0100-0000ED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054" name="Line 61">
          <a:extLst>
            <a:ext uri="{FF2B5EF4-FFF2-40B4-BE49-F238E27FC236}">
              <a16:creationId xmlns:a16="http://schemas.microsoft.com/office/drawing/2014/main" id="{00000000-0008-0000-0100-0000EE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055" name="Line 62">
          <a:extLst>
            <a:ext uri="{FF2B5EF4-FFF2-40B4-BE49-F238E27FC236}">
              <a16:creationId xmlns:a16="http://schemas.microsoft.com/office/drawing/2014/main" id="{00000000-0008-0000-0100-0000EF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056" name="Line 63">
          <a:extLst>
            <a:ext uri="{FF2B5EF4-FFF2-40B4-BE49-F238E27FC236}">
              <a16:creationId xmlns:a16="http://schemas.microsoft.com/office/drawing/2014/main" id="{00000000-0008-0000-0100-0000F0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057" name="Line 64">
          <a:extLst>
            <a:ext uri="{FF2B5EF4-FFF2-40B4-BE49-F238E27FC236}">
              <a16:creationId xmlns:a16="http://schemas.microsoft.com/office/drawing/2014/main" id="{00000000-0008-0000-0100-0000F1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058" name="Line 65">
          <a:extLst>
            <a:ext uri="{FF2B5EF4-FFF2-40B4-BE49-F238E27FC236}">
              <a16:creationId xmlns:a16="http://schemas.microsoft.com/office/drawing/2014/main" id="{00000000-0008-0000-0100-0000F2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059" name="Line 66">
          <a:extLst>
            <a:ext uri="{FF2B5EF4-FFF2-40B4-BE49-F238E27FC236}">
              <a16:creationId xmlns:a16="http://schemas.microsoft.com/office/drawing/2014/main" id="{00000000-0008-0000-0100-0000F3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060" name="Line 67">
          <a:extLst>
            <a:ext uri="{FF2B5EF4-FFF2-40B4-BE49-F238E27FC236}">
              <a16:creationId xmlns:a16="http://schemas.microsoft.com/office/drawing/2014/main" id="{00000000-0008-0000-0100-0000F4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061" name="Line 68">
          <a:extLst>
            <a:ext uri="{FF2B5EF4-FFF2-40B4-BE49-F238E27FC236}">
              <a16:creationId xmlns:a16="http://schemas.microsoft.com/office/drawing/2014/main" id="{00000000-0008-0000-0100-0000F5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062" name="Line 1">
          <a:extLst>
            <a:ext uri="{FF2B5EF4-FFF2-40B4-BE49-F238E27FC236}">
              <a16:creationId xmlns:a16="http://schemas.microsoft.com/office/drawing/2014/main" id="{00000000-0008-0000-0100-0000F6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063" name="Drawing 16">
          <a:extLst>
            <a:ext uri="{FF2B5EF4-FFF2-40B4-BE49-F238E27FC236}">
              <a16:creationId xmlns:a16="http://schemas.microsoft.com/office/drawing/2014/main" id="{00000000-0008-0000-0100-0000F7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064" name="Line 3">
          <a:extLst>
            <a:ext uri="{FF2B5EF4-FFF2-40B4-BE49-F238E27FC236}">
              <a16:creationId xmlns:a16="http://schemas.microsoft.com/office/drawing/2014/main" id="{00000000-0008-0000-0100-0000F8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065" name="Line 4">
          <a:extLst>
            <a:ext uri="{FF2B5EF4-FFF2-40B4-BE49-F238E27FC236}">
              <a16:creationId xmlns:a16="http://schemas.microsoft.com/office/drawing/2014/main" id="{00000000-0008-0000-0100-0000F9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066" name="Line 5">
          <a:extLst>
            <a:ext uri="{FF2B5EF4-FFF2-40B4-BE49-F238E27FC236}">
              <a16:creationId xmlns:a16="http://schemas.microsoft.com/office/drawing/2014/main" id="{00000000-0008-0000-0100-0000FA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067" name="Line 6">
          <a:extLst>
            <a:ext uri="{FF2B5EF4-FFF2-40B4-BE49-F238E27FC236}">
              <a16:creationId xmlns:a16="http://schemas.microsoft.com/office/drawing/2014/main" id="{00000000-0008-0000-0100-0000FB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068" name="Line 7">
          <a:extLst>
            <a:ext uri="{FF2B5EF4-FFF2-40B4-BE49-F238E27FC236}">
              <a16:creationId xmlns:a16="http://schemas.microsoft.com/office/drawing/2014/main" id="{00000000-0008-0000-0100-0000FC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069" name="Line 8">
          <a:extLst>
            <a:ext uri="{FF2B5EF4-FFF2-40B4-BE49-F238E27FC236}">
              <a16:creationId xmlns:a16="http://schemas.microsoft.com/office/drawing/2014/main" id="{00000000-0008-0000-0100-0000FD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070" name="Line 9">
          <a:extLst>
            <a:ext uri="{FF2B5EF4-FFF2-40B4-BE49-F238E27FC236}">
              <a16:creationId xmlns:a16="http://schemas.microsoft.com/office/drawing/2014/main" id="{00000000-0008-0000-0100-0000FE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071" name="Line 10">
          <a:extLst>
            <a:ext uri="{FF2B5EF4-FFF2-40B4-BE49-F238E27FC236}">
              <a16:creationId xmlns:a16="http://schemas.microsoft.com/office/drawing/2014/main" id="{00000000-0008-0000-0100-0000FF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072" name="Line 11">
          <a:extLst>
            <a:ext uri="{FF2B5EF4-FFF2-40B4-BE49-F238E27FC236}">
              <a16:creationId xmlns:a16="http://schemas.microsoft.com/office/drawing/2014/main" id="{00000000-0008-0000-0100-000000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073" name="Line 12">
          <a:extLst>
            <a:ext uri="{FF2B5EF4-FFF2-40B4-BE49-F238E27FC236}">
              <a16:creationId xmlns:a16="http://schemas.microsoft.com/office/drawing/2014/main" id="{00000000-0008-0000-0100-000001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074" name="Line 13">
          <a:extLst>
            <a:ext uri="{FF2B5EF4-FFF2-40B4-BE49-F238E27FC236}">
              <a16:creationId xmlns:a16="http://schemas.microsoft.com/office/drawing/2014/main" id="{00000000-0008-0000-0100-000002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75" name="Line 14">
          <a:extLst>
            <a:ext uri="{FF2B5EF4-FFF2-40B4-BE49-F238E27FC236}">
              <a16:creationId xmlns:a16="http://schemas.microsoft.com/office/drawing/2014/main" id="{00000000-0008-0000-0100-000003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076" name="Line 15">
          <a:extLst>
            <a:ext uri="{FF2B5EF4-FFF2-40B4-BE49-F238E27FC236}">
              <a16:creationId xmlns:a16="http://schemas.microsoft.com/office/drawing/2014/main" id="{00000000-0008-0000-0100-000004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77" name="Line 16">
          <a:extLst>
            <a:ext uri="{FF2B5EF4-FFF2-40B4-BE49-F238E27FC236}">
              <a16:creationId xmlns:a16="http://schemas.microsoft.com/office/drawing/2014/main" id="{00000000-0008-0000-0100-000005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078" name="Line 17">
          <a:extLst>
            <a:ext uri="{FF2B5EF4-FFF2-40B4-BE49-F238E27FC236}">
              <a16:creationId xmlns:a16="http://schemas.microsoft.com/office/drawing/2014/main" id="{00000000-0008-0000-0100-000006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079" name="Line 18">
          <a:extLst>
            <a:ext uri="{FF2B5EF4-FFF2-40B4-BE49-F238E27FC236}">
              <a16:creationId xmlns:a16="http://schemas.microsoft.com/office/drawing/2014/main" id="{00000000-0008-0000-0100-000007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080" name="Line 19">
          <a:extLst>
            <a:ext uri="{FF2B5EF4-FFF2-40B4-BE49-F238E27FC236}">
              <a16:creationId xmlns:a16="http://schemas.microsoft.com/office/drawing/2014/main" id="{00000000-0008-0000-0100-000008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081" name="Line 20">
          <a:extLst>
            <a:ext uri="{FF2B5EF4-FFF2-40B4-BE49-F238E27FC236}">
              <a16:creationId xmlns:a16="http://schemas.microsoft.com/office/drawing/2014/main" id="{00000000-0008-0000-0100-000009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082" name="Line 21">
          <a:extLst>
            <a:ext uri="{FF2B5EF4-FFF2-40B4-BE49-F238E27FC236}">
              <a16:creationId xmlns:a16="http://schemas.microsoft.com/office/drawing/2014/main" id="{00000000-0008-0000-0100-00000A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083" name="Line 22">
          <a:extLst>
            <a:ext uri="{FF2B5EF4-FFF2-40B4-BE49-F238E27FC236}">
              <a16:creationId xmlns:a16="http://schemas.microsoft.com/office/drawing/2014/main" id="{00000000-0008-0000-0100-00000B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084" name="Line 23">
          <a:extLst>
            <a:ext uri="{FF2B5EF4-FFF2-40B4-BE49-F238E27FC236}">
              <a16:creationId xmlns:a16="http://schemas.microsoft.com/office/drawing/2014/main" id="{00000000-0008-0000-0100-00000C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085" name="Line 24">
          <a:extLst>
            <a:ext uri="{FF2B5EF4-FFF2-40B4-BE49-F238E27FC236}">
              <a16:creationId xmlns:a16="http://schemas.microsoft.com/office/drawing/2014/main" id="{00000000-0008-0000-0100-00000D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086" name="Line 25">
          <a:extLst>
            <a:ext uri="{FF2B5EF4-FFF2-40B4-BE49-F238E27FC236}">
              <a16:creationId xmlns:a16="http://schemas.microsoft.com/office/drawing/2014/main" id="{00000000-0008-0000-0100-00000E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087" name="Line 26">
          <a:extLst>
            <a:ext uri="{FF2B5EF4-FFF2-40B4-BE49-F238E27FC236}">
              <a16:creationId xmlns:a16="http://schemas.microsoft.com/office/drawing/2014/main" id="{00000000-0008-0000-0100-00000F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088" name="Line 27">
          <a:extLst>
            <a:ext uri="{FF2B5EF4-FFF2-40B4-BE49-F238E27FC236}">
              <a16:creationId xmlns:a16="http://schemas.microsoft.com/office/drawing/2014/main" id="{00000000-0008-0000-0100-000010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089" name="Line 28">
          <a:extLst>
            <a:ext uri="{FF2B5EF4-FFF2-40B4-BE49-F238E27FC236}">
              <a16:creationId xmlns:a16="http://schemas.microsoft.com/office/drawing/2014/main" id="{00000000-0008-0000-0100-000011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90" name="Line 29">
          <a:extLst>
            <a:ext uri="{FF2B5EF4-FFF2-40B4-BE49-F238E27FC236}">
              <a16:creationId xmlns:a16="http://schemas.microsoft.com/office/drawing/2014/main" id="{00000000-0008-0000-0100-000012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091" name="Line 30">
          <a:extLst>
            <a:ext uri="{FF2B5EF4-FFF2-40B4-BE49-F238E27FC236}">
              <a16:creationId xmlns:a16="http://schemas.microsoft.com/office/drawing/2014/main" id="{00000000-0008-0000-0100-000013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092" name="Line 31">
          <a:extLst>
            <a:ext uri="{FF2B5EF4-FFF2-40B4-BE49-F238E27FC236}">
              <a16:creationId xmlns:a16="http://schemas.microsoft.com/office/drawing/2014/main" id="{00000000-0008-0000-0100-000014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093" name="Line 32">
          <a:extLst>
            <a:ext uri="{FF2B5EF4-FFF2-40B4-BE49-F238E27FC236}">
              <a16:creationId xmlns:a16="http://schemas.microsoft.com/office/drawing/2014/main" id="{00000000-0008-0000-0100-000015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094" name="Line 33">
          <a:extLst>
            <a:ext uri="{FF2B5EF4-FFF2-40B4-BE49-F238E27FC236}">
              <a16:creationId xmlns:a16="http://schemas.microsoft.com/office/drawing/2014/main" id="{00000000-0008-0000-0100-000016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095" name="Line 34">
          <a:extLst>
            <a:ext uri="{FF2B5EF4-FFF2-40B4-BE49-F238E27FC236}">
              <a16:creationId xmlns:a16="http://schemas.microsoft.com/office/drawing/2014/main" id="{00000000-0008-0000-0100-000017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096" name="Line 35">
          <a:extLst>
            <a:ext uri="{FF2B5EF4-FFF2-40B4-BE49-F238E27FC236}">
              <a16:creationId xmlns:a16="http://schemas.microsoft.com/office/drawing/2014/main" id="{00000000-0008-0000-0100-000018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097" name="Line 36">
          <a:extLst>
            <a:ext uri="{FF2B5EF4-FFF2-40B4-BE49-F238E27FC236}">
              <a16:creationId xmlns:a16="http://schemas.microsoft.com/office/drawing/2014/main" id="{00000000-0008-0000-0100-000019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098" name="Line 37">
          <a:extLst>
            <a:ext uri="{FF2B5EF4-FFF2-40B4-BE49-F238E27FC236}">
              <a16:creationId xmlns:a16="http://schemas.microsoft.com/office/drawing/2014/main" id="{00000000-0008-0000-0100-00001A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099" name="Line 38">
          <a:extLst>
            <a:ext uri="{FF2B5EF4-FFF2-40B4-BE49-F238E27FC236}">
              <a16:creationId xmlns:a16="http://schemas.microsoft.com/office/drawing/2014/main" id="{00000000-0008-0000-0100-00001B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100" name="Line 39">
          <a:extLst>
            <a:ext uri="{FF2B5EF4-FFF2-40B4-BE49-F238E27FC236}">
              <a16:creationId xmlns:a16="http://schemas.microsoft.com/office/drawing/2014/main" id="{00000000-0008-0000-0100-00001C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101" name="Line 40">
          <a:extLst>
            <a:ext uri="{FF2B5EF4-FFF2-40B4-BE49-F238E27FC236}">
              <a16:creationId xmlns:a16="http://schemas.microsoft.com/office/drawing/2014/main" id="{00000000-0008-0000-0100-00001D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102" name="Line 41">
          <a:extLst>
            <a:ext uri="{FF2B5EF4-FFF2-40B4-BE49-F238E27FC236}">
              <a16:creationId xmlns:a16="http://schemas.microsoft.com/office/drawing/2014/main" id="{00000000-0008-0000-0100-00001E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103" name="Rectangle 42">
          <a:extLst>
            <a:ext uri="{FF2B5EF4-FFF2-40B4-BE49-F238E27FC236}">
              <a16:creationId xmlns:a16="http://schemas.microsoft.com/office/drawing/2014/main" id="{00000000-0008-0000-0100-00001F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04" name="Line 43">
          <a:extLst>
            <a:ext uri="{FF2B5EF4-FFF2-40B4-BE49-F238E27FC236}">
              <a16:creationId xmlns:a16="http://schemas.microsoft.com/office/drawing/2014/main" id="{00000000-0008-0000-0100-000020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05" name="Line 44">
          <a:extLst>
            <a:ext uri="{FF2B5EF4-FFF2-40B4-BE49-F238E27FC236}">
              <a16:creationId xmlns:a16="http://schemas.microsoft.com/office/drawing/2014/main" id="{00000000-0008-0000-0100-000021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106" name="Line 45">
          <a:extLst>
            <a:ext uri="{FF2B5EF4-FFF2-40B4-BE49-F238E27FC236}">
              <a16:creationId xmlns:a16="http://schemas.microsoft.com/office/drawing/2014/main" id="{00000000-0008-0000-0100-000022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107" name="Line 46">
          <a:extLst>
            <a:ext uri="{FF2B5EF4-FFF2-40B4-BE49-F238E27FC236}">
              <a16:creationId xmlns:a16="http://schemas.microsoft.com/office/drawing/2014/main" id="{00000000-0008-0000-0100-000023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108" name="Line 47">
          <a:extLst>
            <a:ext uri="{FF2B5EF4-FFF2-40B4-BE49-F238E27FC236}">
              <a16:creationId xmlns:a16="http://schemas.microsoft.com/office/drawing/2014/main" id="{00000000-0008-0000-0100-000024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109" name="Line 48">
          <a:extLst>
            <a:ext uri="{FF2B5EF4-FFF2-40B4-BE49-F238E27FC236}">
              <a16:creationId xmlns:a16="http://schemas.microsoft.com/office/drawing/2014/main" id="{00000000-0008-0000-0100-000025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110" name="Line 49">
          <a:extLst>
            <a:ext uri="{FF2B5EF4-FFF2-40B4-BE49-F238E27FC236}">
              <a16:creationId xmlns:a16="http://schemas.microsoft.com/office/drawing/2014/main" id="{00000000-0008-0000-0100-000026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111" name="Line 50">
          <a:extLst>
            <a:ext uri="{FF2B5EF4-FFF2-40B4-BE49-F238E27FC236}">
              <a16:creationId xmlns:a16="http://schemas.microsoft.com/office/drawing/2014/main" id="{00000000-0008-0000-0100-000027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112" name="Line 51">
          <a:extLst>
            <a:ext uri="{FF2B5EF4-FFF2-40B4-BE49-F238E27FC236}">
              <a16:creationId xmlns:a16="http://schemas.microsoft.com/office/drawing/2014/main" id="{00000000-0008-0000-0100-000028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113" name="Line 52">
          <a:extLst>
            <a:ext uri="{FF2B5EF4-FFF2-40B4-BE49-F238E27FC236}">
              <a16:creationId xmlns:a16="http://schemas.microsoft.com/office/drawing/2014/main" id="{00000000-0008-0000-0100-000029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114" name="Line 53">
          <a:extLst>
            <a:ext uri="{FF2B5EF4-FFF2-40B4-BE49-F238E27FC236}">
              <a16:creationId xmlns:a16="http://schemas.microsoft.com/office/drawing/2014/main" id="{00000000-0008-0000-0100-00002A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115" name="Line 54">
          <a:extLst>
            <a:ext uri="{FF2B5EF4-FFF2-40B4-BE49-F238E27FC236}">
              <a16:creationId xmlns:a16="http://schemas.microsoft.com/office/drawing/2014/main" id="{00000000-0008-0000-0100-00002B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116" name="Line 55">
          <a:extLst>
            <a:ext uri="{FF2B5EF4-FFF2-40B4-BE49-F238E27FC236}">
              <a16:creationId xmlns:a16="http://schemas.microsoft.com/office/drawing/2014/main" id="{00000000-0008-0000-0100-00002C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117" name="Line 56">
          <a:extLst>
            <a:ext uri="{FF2B5EF4-FFF2-40B4-BE49-F238E27FC236}">
              <a16:creationId xmlns:a16="http://schemas.microsoft.com/office/drawing/2014/main" id="{00000000-0008-0000-0100-00002D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118" name="Rectangle 57">
          <a:extLst>
            <a:ext uri="{FF2B5EF4-FFF2-40B4-BE49-F238E27FC236}">
              <a16:creationId xmlns:a16="http://schemas.microsoft.com/office/drawing/2014/main" id="{00000000-0008-0000-0100-00002E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119" name="Line 58">
          <a:extLst>
            <a:ext uri="{FF2B5EF4-FFF2-40B4-BE49-F238E27FC236}">
              <a16:creationId xmlns:a16="http://schemas.microsoft.com/office/drawing/2014/main" id="{00000000-0008-0000-0100-00002F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120" name="Line 59">
          <a:extLst>
            <a:ext uri="{FF2B5EF4-FFF2-40B4-BE49-F238E27FC236}">
              <a16:creationId xmlns:a16="http://schemas.microsoft.com/office/drawing/2014/main" id="{00000000-0008-0000-0100-000030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121" name="Line 60">
          <a:extLst>
            <a:ext uri="{FF2B5EF4-FFF2-40B4-BE49-F238E27FC236}">
              <a16:creationId xmlns:a16="http://schemas.microsoft.com/office/drawing/2014/main" id="{00000000-0008-0000-0100-000031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122" name="Line 61">
          <a:extLst>
            <a:ext uri="{FF2B5EF4-FFF2-40B4-BE49-F238E27FC236}">
              <a16:creationId xmlns:a16="http://schemas.microsoft.com/office/drawing/2014/main" id="{00000000-0008-0000-0100-000032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123" name="Line 62">
          <a:extLst>
            <a:ext uri="{FF2B5EF4-FFF2-40B4-BE49-F238E27FC236}">
              <a16:creationId xmlns:a16="http://schemas.microsoft.com/office/drawing/2014/main" id="{00000000-0008-0000-0100-000033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124" name="Line 63">
          <a:extLst>
            <a:ext uri="{FF2B5EF4-FFF2-40B4-BE49-F238E27FC236}">
              <a16:creationId xmlns:a16="http://schemas.microsoft.com/office/drawing/2014/main" id="{00000000-0008-0000-0100-0000340C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125" name="Line 64">
          <a:extLst>
            <a:ext uri="{FF2B5EF4-FFF2-40B4-BE49-F238E27FC236}">
              <a16:creationId xmlns:a16="http://schemas.microsoft.com/office/drawing/2014/main" id="{00000000-0008-0000-0100-0000350C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126" name="Line 65">
          <a:extLst>
            <a:ext uri="{FF2B5EF4-FFF2-40B4-BE49-F238E27FC236}">
              <a16:creationId xmlns:a16="http://schemas.microsoft.com/office/drawing/2014/main" id="{00000000-0008-0000-0100-0000360C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127" name="Line 66">
          <a:extLst>
            <a:ext uri="{FF2B5EF4-FFF2-40B4-BE49-F238E27FC236}">
              <a16:creationId xmlns:a16="http://schemas.microsoft.com/office/drawing/2014/main" id="{00000000-0008-0000-0100-0000370C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128" name="Line 67">
          <a:extLst>
            <a:ext uri="{FF2B5EF4-FFF2-40B4-BE49-F238E27FC236}">
              <a16:creationId xmlns:a16="http://schemas.microsoft.com/office/drawing/2014/main" id="{00000000-0008-0000-0100-0000380C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129" name="Line 68">
          <a:extLst>
            <a:ext uri="{FF2B5EF4-FFF2-40B4-BE49-F238E27FC236}">
              <a16:creationId xmlns:a16="http://schemas.microsoft.com/office/drawing/2014/main" id="{00000000-0008-0000-0100-0000390C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130" name="Line 1">
          <a:extLst>
            <a:ext uri="{FF2B5EF4-FFF2-40B4-BE49-F238E27FC236}">
              <a16:creationId xmlns:a16="http://schemas.microsoft.com/office/drawing/2014/main" id="{00000000-0008-0000-0100-00003A0C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131" name="Drawing 16">
          <a:extLst>
            <a:ext uri="{FF2B5EF4-FFF2-40B4-BE49-F238E27FC236}">
              <a16:creationId xmlns:a16="http://schemas.microsoft.com/office/drawing/2014/main" id="{00000000-0008-0000-0100-00003B0C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132" name="Line 3">
          <a:extLst>
            <a:ext uri="{FF2B5EF4-FFF2-40B4-BE49-F238E27FC236}">
              <a16:creationId xmlns:a16="http://schemas.microsoft.com/office/drawing/2014/main" id="{00000000-0008-0000-0100-00003C0C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133" name="Line 4">
          <a:extLst>
            <a:ext uri="{FF2B5EF4-FFF2-40B4-BE49-F238E27FC236}">
              <a16:creationId xmlns:a16="http://schemas.microsoft.com/office/drawing/2014/main" id="{00000000-0008-0000-0100-00003D0C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134" name="Line 5">
          <a:extLst>
            <a:ext uri="{FF2B5EF4-FFF2-40B4-BE49-F238E27FC236}">
              <a16:creationId xmlns:a16="http://schemas.microsoft.com/office/drawing/2014/main" id="{00000000-0008-0000-0100-00003E0C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135" name="Line 6">
          <a:extLst>
            <a:ext uri="{FF2B5EF4-FFF2-40B4-BE49-F238E27FC236}">
              <a16:creationId xmlns:a16="http://schemas.microsoft.com/office/drawing/2014/main" id="{00000000-0008-0000-0100-00003F0C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136" name="Line 7">
          <a:extLst>
            <a:ext uri="{FF2B5EF4-FFF2-40B4-BE49-F238E27FC236}">
              <a16:creationId xmlns:a16="http://schemas.microsoft.com/office/drawing/2014/main" id="{00000000-0008-0000-0100-0000400C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137" name="Line 8">
          <a:extLst>
            <a:ext uri="{FF2B5EF4-FFF2-40B4-BE49-F238E27FC236}">
              <a16:creationId xmlns:a16="http://schemas.microsoft.com/office/drawing/2014/main" id="{00000000-0008-0000-0100-0000410C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138" name="Line 9">
          <a:extLst>
            <a:ext uri="{FF2B5EF4-FFF2-40B4-BE49-F238E27FC236}">
              <a16:creationId xmlns:a16="http://schemas.microsoft.com/office/drawing/2014/main" id="{00000000-0008-0000-0100-0000420C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139" name="Line 10">
          <a:extLst>
            <a:ext uri="{FF2B5EF4-FFF2-40B4-BE49-F238E27FC236}">
              <a16:creationId xmlns:a16="http://schemas.microsoft.com/office/drawing/2014/main" id="{00000000-0008-0000-0100-0000430C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140" name="Line 11">
          <a:extLst>
            <a:ext uri="{FF2B5EF4-FFF2-40B4-BE49-F238E27FC236}">
              <a16:creationId xmlns:a16="http://schemas.microsoft.com/office/drawing/2014/main" id="{00000000-0008-0000-0100-000044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141" name="Line 12">
          <a:extLst>
            <a:ext uri="{FF2B5EF4-FFF2-40B4-BE49-F238E27FC236}">
              <a16:creationId xmlns:a16="http://schemas.microsoft.com/office/drawing/2014/main" id="{00000000-0008-0000-0100-000045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142" name="Line 13">
          <a:extLst>
            <a:ext uri="{FF2B5EF4-FFF2-40B4-BE49-F238E27FC236}">
              <a16:creationId xmlns:a16="http://schemas.microsoft.com/office/drawing/2014/main" id="{00000000-0008-0000-0100-000046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143" name="Line 14">
          <a:extLst>
            <a:ext uri="{FF2B5EF4-FFF2-40B4-BE49-F238E27FC236}">
              <a16:creationId xmlns:a16="http://schemas.microsoft.com/office/drawing/2014/main" id="{00000000-0008-0000-0100-000047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144" name="Line 15">
          <a:extLst>
            <a:ext uri="{FF2B5EF4-FFF2-40B4-BE49-F238E27FC236}">
              <a16:creationId xmlns:a16="http://schemas.microsoft.com/office/drawing/2014/main" id="{00000000-0008-0000-0100-000048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145" name="Line 16">
          <a:extLst>
            <a:ext uri="{FF2B5EF4-FFF2-40B4-BE49-F238E27FC236}">
              <a16:creationId xmlns:a16="http://schemas.microsoft.com/office/drawing/2014/main" id="{00000000-0008-0000-0100-000049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146" name="Line 17">
          <a:extLst>
            <a:ext uri="{FF2B5EF4-FFF2-40B4-BE49-F238E27FC236}">
              <a16:creationId xmlns:a16="http://schemas.microsoft.com/office/drawing/2014/main" id="{00000000-0008-0000-0100-00004A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147" name="Line 18">
          <a:extLst>
            <a:ext uri="{FF2B5EF4-FFF2-40B4-BE49-F238E27FC236}">
              <a16:creationId xmlns:a16="http://schemas.microsoft.com/office/drawing/2014/main" id="{00000000-0008-0000-0100-00004B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148" name="Line 19">
          <a:extLst>
            <a:ext uri="{FF2B5EF4-FFF2-40B4-BE49-F238E27FC236}">
              <a16:creationId xmlns:a16="http://schemas.microsoft.com/office/drawing/2014/main" id="{00000000-0008-0000-0100-00004C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149" name="Line 20">
          <a:extLst>
            <a:ext uri="{FF2B5EF4-FFF2-40B4-BE49-F238E27FC236}">
              <a16:creationId xmlns:a16="http://schemas.microsoft.com/office/drawing/2014/main" id="{00000000-0008-0000-0100-00004D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150" name="Line 21">
          <a:extLst>
            <a:ext uri="{FF2B5EF4-FFF2-40B4-BE49-F238E27FC236}">
              <a16:creationId xmlns:a16="http://schemas.microsoft.com/office/drawing/2014/main" id="{00000000-0008-0000-0100-00004E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151" name="Line 22">
          <a:extLst>
            <a:ext uri="{FF2B5EF4-FFF2-40B4-BE49-F238E27FC236}">
              <a16:creationId xmlns:a16="http://schemas.microsoft.com/office/drawing/2014/main" id="{00000000-0008-0000-0100-00004F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152" name="Line 23">
          <a:extLst>
            <a:ext uri="{FF2B5EF4-FFF2-40B4-BE49-F238E27FC236}">
              <a16:creationId xmlns:a16="http://schemas.microsoft.com/office/drawing/2014/main" id="{00000000-0008-0000-0100-000050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153" name="Line 24">
          <a:extLst>
            <a:ext uri="{FF2B5EF4-FFF2-40B4-BE49-F238E27FC236}">
              <a16:creationId xmlns:a16="http://schemas.microsoft.com/office/drawing/2014/main" id="{00000000-0008-0000-0100-000051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154" name="Line 25">
          <a:extLst>
            <a:ext uri="{FF2B5EF4-FFF2-40B4-BE49-F238E27FC236}">
              <a16:creationId xmlns:a16="http://schemas.microsoft.com/office/drawing/2014/main" id="{00000000-0008-0000-0100-000052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155" name="Line 26">
          <a:extLst>
            <a:ext uri="{FF2B5EF4-FFF2-40B4-BE49-F238E27FC236}">
              <a16:creationId xmlns:a16="http://schemas.microsoft.com/office/drawing/2014/main" id="{00000000-0008-0000-0100-000053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156" name="Line 27">
          <a:extLst>
            <a:ext uri="{FF2B5EF4-FFF2-40B4-BE49-F238E27FC236}">
              <a16:creationId xmlns:a16="http://schemas.microsoft.com/office/drawing/2014/main" id="{00000000-0008-0000-0100-000054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157" name="Line 28">
          <a:extLst>
            <a:ext uri="{FF2B5EF4-FFF2-40B4-BE49-F238E27FC236}">
              <a16:creationId xmlns:a16="http://schemas.microsoft.com/office/drawing/2014/main" id="{00000000-0008-0000-0100-000055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158" name="Line 29">
          <a:extLst>
            <a:ext uri="{FF2B5EF4-FFF2-40B4-BE49-F238E27FC236}">
              <a16:creationId xmlns:a16="http://schemas.microsoft.com/office/drawing/2014/main" id="{00000000-0008-0000-0100-000056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159" name="Line 30">
          <a:extLst>
            <a:ext uri="{FF2B5EF4-FFF2-40B4-BE49-F238E27FC236}">
              <a16:creationId xmlns:a16="http://schemas.microsoft.com/office/drawing/2014/main" id="{00000000-0008-0000-0100-000057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160" name="Line 31">
          <a:extLst>
            <a:ext uri="{FF2B5EF4-FFF2-40B4-BE49-F238E27FC236}">
              <a16:creationId xmlns:a16="http://schemas.microsoft.com/office/drawing/2014/main" id="{00000000-0008-0000-0100-000058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161" name="Line 32">
          <a:extLst>
            <a:ext uri="{FF2B5EF4-FFF2-40B4-BE49-F238E27FC236}">
              <a16:creationId xmlns:a16="http://schemas.microsoft.com/office/drawing/2014/main" id="{00000000-0008-0000-0100-000059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162" name="Line 33">
          <a:extLst>
            <a:ext uri="{FF2B5EF4-FFF2-40B4-BE49-F238E27FC236}">
              <a16:creationId xmlns:a16="http://schemas.microsoft.com/office/drawing/2014/main" id="{00000000-0008-0000-0100-00005A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163" name="Line 34">
          <a:extLst>
            <a:ext uri="{FF2B5EF4-FFF2-40B4-BE49-F238E27FC236}">
              <a16:creationId xmlns:a16="http://schemas.microsoft.com/office/drawing/2014/main" id="{00000000-0008-0000-0100-00005B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164" name="Line 35">
          <a:extLst>
            <a:ext uri="{FF2B5EF4-FFF2-40B4-BE49-F238E27FC236}">
              <a16:creationId xmlns:a16="http://schemas.microsoft.com/office/drawing/2014/main" id="{00000000-0008-0000-0100-00005C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165" name="Line 36">
          <a:extLst>
            <a:ext uri="{FF2B5EF4-FFF2-40B4-BE49-F238E27FC236}">
              <a16:creationId xmlns:a16="http://schemas.microsoft.com/office/drawing/2014/main" id="{00000000-0008-0000-0100-00005D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166" name="Line 37">
          <a:extLst>
            <a:ext uri="{FF2B5EF4-FFF2-40B4-BE49-F238E27FC236}">
              <a16:creationId xmlns:a16="http://schemas.microsoft.com/office/drawing/2014/main" id="{00000000-0008-0000-0100-00005E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167" name="Line 38">
          <a:extLst>
            <a:ext uri="{FF2B5EF4-FFF2-40B4-BE49-F238E27FC236}">
              <a16:creationId xmlns:a16="http://schemas.microsoft.com/office/drawing/2014/main" id="{00000000-0008-0000-0100-00005F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168" name="Line 39">
          <a:extLst>
            <a:ext uri="{FF2B5EF4-FFF2-40B4-BE49-F238E27FC236}">
              <a16:creationId xmlns:a16="http://schemas.microsoft.com/office/drawing/2014/main" id="{00000000-0008-0000-0100-000060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169" name="Line 40">
          <a:extLst>
            <a:ext uri="{FF2B5EF4-FFF2-40B4-BE49-F238E27FC236}">
              <a16:creationId xmlns:a16="http://schemas.microsoft.com/office/drawing/2014/main" id="{00000000-0008-0000-0100-000061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170" name="Line 41">
          <a:extLst>
            <a:ext uri="{FF2B5EF4-FFF2-40B4-BE49-F238E27FC236}">
              <a16:creationId xmlns:a16="http://schemas.microsoft.com/office/drawing/2014/main" id="{00000000-0008-0000-0100-000062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171" name="Rectangle 42">
          <a:extLst>
            <a:ext uri="{FF2B5EF4-FFF2-40B4-BE49-F238E27FC236}">
              <a16:creationId xmlns:a16="http://schemas.microsoft.com/office/drawing/2014/main" id="{00000000-0008-0000-0100-000063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72" name="Line 43">
          <a:extLst>
            <a:ext uri="{FF2B5EF4-FFF2-40B4-BE49-F238E27FC236}">
              <a16:creationId xmlns:a16="http://schemas.microsoft.com/office/drawing/2014/main" id="{00000000-0008-0000-0100-000064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73" name="Line 44">
          <a:extLst>
            <a:ext uri="{FF2B5EF4-FFF2-40B4-BE49-F238E27FC236}">
              <a16:creationId xmlns:a16="http://schemas.microsoft.com/office/drawing/2014/main" id="{00000000-0008-0000-0100-000065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174" name="Line 45">
          <a:extLst>
            <a:ext uri="{FF2B5EF4-FFF2-40B4-BE49-F238E27FC236}">
              <a16:creationId xmlns:a16="http://schemas.microsoft.com/office/drawing/2014/main" id="{00000000-0008-0000-0100-000066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175" name="Line 46">
          <a:extLst>
            <a:ext uri="{FF2B5EF4-FFF2-40B4-BE49-F238E27FC236}">
              <a16:creationId xmlns:a16="http://schemas.microsoft.com/office/drawing/2014/main" id="{00000000-0008-0000-0100-000067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176" name="Line 47">
          <a:extLst>
            <a:ext uri="{FF2B5EF4-FFF2-40B4-BE49-F238E27FC236}">
              <a16:creationId xmlns:a16="http://schemas.microsoft.com/office/drawing/2014/main" id="{00000000-0008-0000-0100-000068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177" name="Line 48">
          <a:extLst>
            <a:ext uri="{FF2B5EF4-FFF2-40B4-BE49-F238E27FC236}">
              <a16:creationId xmlns:a16="http://schemas.microsoft.com/office/drawing/2014/main" id="{00000000-0008-0000-0100-000069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178" name="Line 49">
          <a:extLst>
            <a:ext uri="{FF2B5EF4-FFF2-40B4-BE49-F238E27FC236}">
              <a16:creationId xmlns:a16="http://schemas.microsoft.com/office/drawing/2014/main" id="{00000000-0008-0000-0100-00006A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179" name="Line 50">
          <a:extLst>
            <a:ext uri="{FF2B5EF4-FFF2-40B4-BE49-F238E27FC236}">
              <a16:creationId xmlns:a16="http://schemas.microsoft.com/office/drawing/2014/main" id="{00000000-0008-0000-0100-00006B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180" name="Line 51">
          <a:extLst>
            <a:ext uri="{FF2B5EF4-FFF2-40B4-BE49-F238E27FC236}">
              <a16:creationId xmlns:a16="http://schemas.microsoft.com/office/drawing/2014/main" id="{00000000-0008-0000-0100-00006C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181" name="Line 52">
          <a:extLst>
            <a:ext uri="{FF2B5EF4-FFF2-40B4-BE49-F238E27FC236}">
              <a16:creationId xmlns:a16="http://schemas.microsoft.com/office/drawing/2014/main" id="{00000000-0008-0000-0100-00006D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182" name="Line 53">
          <a:extLst>
            <a:ext uri="{FF2B5EF4-FFF2-40B4-BE49-F238E27FC236}">
              <a16:creationId xmlns:a16="http://schemas.microsoft.com/office/drawing/2014/main" id="{00000000-0008-0000-0100-00006E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183" name="Line 54">
          <a:extLst>
            <a:ext uri="{FF2B5EF4-FFF2-40B4-BE49-F238E27FC236}">
              <a16:creationId xmlns:a16="http://schemas.microsoft.com/office/drawing/2014/main" id="{00000000-0008-0000-0100-00006F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184" name="Line 55">
          <a:extLst>
            <a:ext uri="{FF2B5EF4-FFF2-40B4-BE49-F238E27FC236}">
              <a16:creationId xmlns:a16="http://schemas.microsoft.com/office/drawing/2014/main" id="{00000000-0008-0000-0100-000070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185" name="Line 56">
          <a:extLst>
            <a:ext uri="{FF2B5EF4-FFF2-40B4-BE49-F238E27FC236}">
              <a16:creationId xmlns:a16="http://schemas.microsoft.com/office/drawing/2014/main" id="{00000000-0008-0000-0100-000071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186" name="Rectangle 57">
          <a:extLst>
            <a:ext uri="{FF2B5EF4-FFF2-40B4-BE49-F238E27FC236}">
              <a16:creationId xmlns:a16="http://schemas.microsoft.com/office/drawing/2014/main" id="{00000000-0008-0000-0100-000072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187" name="Line 58">
          <a:extLst>
            <a:ext uri="{FF2B5EF4-FFF2-40B4-BE49-F238E27FC236}">
              <a16:creationId xmlns:a16="http://schemas.microsoft.com/office/drawing/2014/main" id="{00000000-0008-0000-0100-000073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188" name="Line 59">
          <a:extLst>
            <a:ext uri="{FF2B5EF4-FFF2-40B4-BE49-F238E27FC236}">
              <a16:creationId xmlns:a16="http://schemas.microsoft.com/office/drawing/2014/main" id="{00000000-0008-0000-0100-000074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189" name="Line 60">
          <a:extLst>
            <a:ext uri="{FF2B5EF4-FFF2-40B4-BE49-F238E27FC236}">
              <a16:creationId xmlns:a16="http://schemas.microsoft.com/office/drawing/2014/main" id="{00000000-0008-0000-0100-000075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190" name="Line 61">
          <a:extLst>
            <a:ext uri="{FF2B5EF4-FFF2-40B4-BE49-F238E27FC236}">
              <a16:creationId xmlns:a16="http://schemas.microsoft.com/office/drawing/2014/main" id="{00000000-0008-0000-0100-000076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191" name="Line 62">
          <a:extLst>
            <a:ext uri="{FF2B5EF4-FFF2-40B4-BE49-F238E27FC236}">
              <a16:creationId xmlns:a16="http://schemas.microsoft.com/office/drawing/2014/main" id="{00000000-0008-0000-0100-000077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192" name="Line 63">
          <a:extLst>
            <a:ext uri="{FF2B5EF4-FFF2-40B4-BE49-F238E27FC236}">
              <a16:creationId xmlns:a16="http://schemas.microsoft.com/office/drawing/2014/main" id="{00000000-0008-0000-0100-0000780C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193" name="Line 64">
          <a:extLst>
            <a:ext uri="{FF2B5EF4-FFF2-40B4-BE49-F238E27FC236}">
              <a16:creationId xmlns:a16="http://schemas.microsoft.com/office/drawing/2014/main" id="{00000000-0008-0000-0100-0000790C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194" name="Line 65">
          <a:extLst>
            <a:ext uri="{FF2B5EF4-FFF2-40B4-BE49-F238E27FC236}">
              <a16:creationId xmlns:a16="http://schemas.microsoft.com/office/drawing/2014/main" id="{00000000-0008-0000-0100-00007A0C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195" name="Line 66">
          <a:extLst>
            <a:ext uri="{FF2B5EF4-FFF2-40B4-BE49-F238E27FC236}">
              <a16:creationId xmlns:a16="http://schemas.microsoft.com/office/drawing/2014/main" id="{00000000-0008-0000-0100-00007B0C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196" name="Line 67">
          <a:extLst>
            <a:ext uri="{FF2B5EF4-FFF2-40B4-BE49-F238E27FC236}">
              <a16:creationId xmlns:a16="http://schemas.microsoft.com/office/drawing/2014/main" id="{00000000-0008-0000-0100-00007C0C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197" name="Line 68">
          <a:extLst>
            <a:ext uri="{FF2B5EF4-FFF2-40B4-BE49-F238E27FC236}">
              <a16:creationId xmlns:a16="http://schemas.microsoft.com/office/drawing/2014/main" id="{00000000-0008-0000-0100-00007D0C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198" name="Line 1">
          <a:extLst>
            <a:ext uri="{FF2B5EF4-FFF2-40B4-BE49-F238E27FC236}">
              <a16:creationId xmlns:a16="http://schemas.microsoft.com/office/drawing/2014/main" id="{00000000-0008-0000-0100-00007E0C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199" name="Drawing 16">
          <a:extLst>
            <a:ext uri="{FF2B5EF4-FFF2-40B4-BE49-F238E27FC236}">
              <a16:creationId xmlns:a16="http://schemas.microsoft.com/office/drawing/2014/main" id="{00000000-0008-0000-0100-00007F0C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200" name="Line 3">
          <a:extLst>
            <a:ext uri="{FF2B5EF4-FFF2-40B4-BE49-F238E27FC236}">
              <a16:creationId xmlns:a16="http://schemas.microsoft.com/office/drawing/2014/main" id="{00000000-0008-0000-0100-0000800C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201" name="Line 4">
          <a:extLst>
            <a:ext uri="{FF2B5EF4-FFF2-40B4-BE49-F238E27FC236}">
              <a16:creationId xmlns:a16="http://schemas.microsoft.com/office/drawing/2014/main" id="{00000000-0008-0000-0100-0000810C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202" name="Line 5">
          <a:extLst>
            <a:ext uri="{FF2B5EF4-FFF2-40B4-BE49-F238E27FC236}">
              <a16:creationId xmlns:a16="http://schemas.microsoft.com/office/drawing/2014/main" id="{00000000-0008-0000-0100-0000820C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203" name="Line 6">
          <a:extLst>
            <a:ext uri="{FF2B5EF4-FFF2-40B4-BE49-F238E27FC236}">
              <a16:creationId xmlns:a16="http://schemas.microsoft.com/office/drawing/2014/main" id="{00000000-0008-0000-0100-0000830C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204" name="Line 7">
          <a:extLst>
            <a:ext uri="{FF2B5EF4-FFF2-40B4-BE49-F238E27FC236}">
              <a16:creationId xmlns:a16="http://schemas.microsoft.com/office/drawing/2014/main" id="{00000000-0008-0000-0100-0000840C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205" name="Line 8">
          <a:extLst>
            <a:ext uri="{FF2B5EF4-FFF2-40B4-BE49-F238E27FC236}">
              <a16:creationId xmlns:a16="http://schemas.microsoft.com/office/drawing/2014/main" id="{00000000-0008-0000-0100-0000850C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206" name="Line 9">
          <a:extLst>
            <a:ext uri="{FF2B5EF4-FFF2-40B4-BE49-F238E27FC236}">
              <a16:creationId xmlns:a16="http://schemas.microsoft.com/office/drawing/2014/main" id="{00000000-0008-0000-0100-0000860C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207" name="Line 10">
          <a:extLst>
            <a:ext uri="{FF2B5EF4-FFF2-40B4-BE49-F238E27FC236}">
              <a16:creationId xmlns:a16="http://schemas.microsoft.com/office/drawing/2014/main" id="{00000000-0008-0000-0100-0000870C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208" name="Line 11">
          <a:extLst>
            <a:ext uri="{FF2B5EF4-FFF2-40B4-BE49-F238E27FC236}">
              <a16:creationId xmlns:a16="http://schemas.microsoft.com/office/drawing/2014/main" id="{00000000-0008-0000-0100-000088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209" name="Line 12">
          <a:extLst>
            <a:ext uri="{FF2B5EF4-FFF2-40B4-BE49-F238E27FC236}">
              <a16:creationId xmlns:a16="http://schemas.microsoft.com/office/drawing/2014/main" id="{00000000-0008-0000-0100-000089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210" name="Line 13">
          <a:extLst>
            <a:ext uri="{FF2B5EF4-FFF2-40B4-BE49-F238E27FC236}">
              <a16:creationId xmlns:a16="http://schemas.microsoft.com/office/drawing/2014/main" id="{00000000-0008-0000-0100-00008A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11" name="Line 14">
          <a:extLst>
            <a:ext uri="{FF2B5EF4-FFF2-40B4-BE49-F238E27FC236}">
              <a16:creationId xmlns:a16="http://schemas.microsoft.com/office/drawing/2014/main" id="{00000000-0008-0000-0100-00008B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212" name="Line 15">
          <a:extLst>
            <a:ext uri="{FF2B5EF4-FFF2-40B4-BE49-F238E27FC236}">
              <a16:creationId xmlns:a16="http://schemas.microsoft.com/office/drawing/2014/main" id="{00000000-0008-0000-0100-00008C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13" name="Line 16">
          <a:extLst>
            <a:ext uri="{FF2B5EF4-FFF2-40B4-BE49-F238E27FC236}">
              <a16:creationId xmlns:a16="http://schemas.microsoft.com/office/drawing/2014/main" id="{00000000-0008-0000-0100-00008D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214" name="Line 17">
          <a:extLst>
            <a:ext uri="{FF2B5EF4-FFF2-40B4-BE49-F238E27FC236}">
              <a16:creationId xmlns:a16="http://schemas.microsoft.com/office/drawing/2014/main" id="{00000000-0008-0000-0100-00008E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215" name="Line 18">
          <a:extLst>
            <a:ext uri="{FF2B5EF4-FFF2-40B4-BE49-F238E27FC236}">
              <a16:creationId xmlns:a16="http://schemas.microsoft.com/office/drawing/2014/main" id="{00000000-0008-0000-0100-00008F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216" name="Line 19">
          <a:extLst>
            <a:ext uri="{FF2B5EF4-FFF2-40B4-BE49-F238E27FC236}">
              <a16:creationId xmlns:a16="http://schemas.microsoft.com/office/drawing/2014/main" id="{00000000-0008-0000-0100-000090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217" name="Line 20">
          <a:extLst>
            <a:ext uri="{FF2B5EF4-FFF2-40B4-BE49-F238E27FC236}">
              <a16:creationId xmlns:a16="http://schemas.microsoft.com/office/drawing/2014/main" id="{00000000-0008-0000-0100-000091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218" name="Line 21">
          <a:extLst>
            <a:ext uri="{FF2B5EF4-FFF2-40B4-BE49-F238E27FC236}">
              <a16:creationId xmlns:a16="http://schemas.microsoft.com/office/drawing/2014/main" id="{00000000-0008-0000-0100-000092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219" name="Line 22">
          <a:extLst>
            <a:ext uri="{FF2B5EF4-FFF2-40B4-BE49-F238E27FC236}">
              <a16:creationId xmlns:a16="http://schemas.microsoft.com/office/drawing/2014/main" id="{00000000-0008-0000-0100-000093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220" name="Line 23">
          <a:extLst>
            <a:ext uri="{FF2B5EF4-FFF2-40B4-BE49-F238E27FC236}">
              <a16:creationId xmlns:a16="http://schemas.microsoft.com/office/drawing/2014/main" id="{00000000-0008-0000-0100-000094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221" name="Line 24">
          <a:extLst>
            <a:ext uri="{FF2B5EF4-FFF2-40B4-BE49-F238E27FC236}">
              <a16:creationId xmlns:a16="http://schemas.microsoft.com/office/drawing/2014/main" id="{00000000-0008-0000-0100-000095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222" name="Line 25">
          <a:extLst>
            <a:ext uri="{FF2B5EF4-FFF2-40B4-BE49-F238E27FC236}">
              <a16:creationId xmlns:a16="http://schemas.microsoft.com/office/drawing/2014/main" id="{00000000-0008-0000-0100-000096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223" name="Line 26">
          <a:extLst>
            <a:ext uri="{FF2B5EF4-FFF2-40B4-BE49-F238E27FC236}">
              <a16:creationId xmlns:a16="http://schemas.microsoft.com/office/drawing/2014/main" id="{00000000-0008-0000-0100-000097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224" name="Line 27">
          <a:extLst>
            <a:ext uri="{FF2B5EF4-FFF2-40B4-BE49-F238E27FC236}">
              <a16:creationId xmlns:a16="http://schemas.microsoft.com/office/drawing/2014/main" id="{00000000-0008-0000-0100-000098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225" name="Line 28">
          <a:extLst>
            <a:ext uri="{FF2B5EF4-FFF2-40B4-BE49-F238E27FC236}">
              <a16:creationId xmlns:a16="http://schemas.microsoft.com/office/drawing/2014/main" id="{00000000-0008-0000-0100-000099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226" name="Line 29">
          <a:extLst>
            <a:ext uri="{FF2B5EF4-FFF2-40B4-BE49-F238E27FC236}">
              <a16:creationId xmlns:a16="http://schemas.microsoft.com/office/drawing/2014/main" id="{00000000-0008-0000-0100-00009A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227" name="Line 30">
          <a:extLst>
            <a:ext uri="{FF2B5EF4-FFF2-40B4-BE49-F238E27FC236}">
              <a16:creationId xmlns:a16="http://schemas.microsoft.com/office/drawing/2014/main" id="{00000000-0008-0000-0100-00009B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228" name="Line 31">
          <a:extLst>
            <a:ext uri="{FF2B5EF4-FFF2-40B4-BE49-F238E27FC236}">
              <a16:creationId xmlns:a16="http://schemas.microsoft.com/office/drawing/2014/main" id="{00000000-0008-0000-0100-00009C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229" name="Line 32">
          <a:extLst>
            <a:ext uri="{FF2B5EF4-FFF2-40B4-BE49-F238E27FC236}">
              <a16:creationId xmlns:a16="http://schemas.microsoft.com/office/drawing/2014/main" id="{00000000-0008-0000-0100-00009D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230" name="Line 33">
          <a:extLst>
            <a:ext uri="{FF2B5EF4-FFF2-40B4-BE49-F238E27FC236}">
              <a16:creationId xmlns:a16="http://schemas.microsoft.com/office/drawing/2014/main" id="{00000000-0008-0000-0100-00009E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231" name="Line 34">
          <a:extLst>
            <a:ext uri="{FF2B5EF4-FFF2-40B4-BE49-F238E27FC236}">
              <a16:creationId xmlns:a16="http://schemas.microsoft.com/office/drawing/2014/main" id="{00000000-0008-0000-0100-00009F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232" name="Line 35">
          <a:extLst>
            <a:ext uri="{FF2B5EF4-FFF2-40B4-BE49-F238E27FC236}">
              <a16:creationId xmlns:a16="http://schemas.microsoft.com/office/drawing/2014/main" id="{00000000-0008-0000-0100-0000A0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233" name="Line 36">
          <a:extLst>
            <a:ext uri="{FF2B5EF4-FFF2-40B4-BE49-F238E27FC236}">
              <a16:creationId xmlns:a16="http://schemas.microsoft.com/office/drawing/2014/main" id="{00000000-0008-0000-0100-0000A1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234" name="Line 37">
          <a:extLst>
            <a:ext uri="{FF2B5EF4-FFF2-40B4-BE49-F238E27FC236}">
              <a16:creationId xmlns:a16="http://schemas.microsoft.com/office/drawing/2014/main" id="{00000000-0008-0000-0100-0000A2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235" name="Line 38">
          <a:extLst>
            <a:ext uri="{FF2B5EF4-FFF2-40B4-BE49-F238E27FC236}">
              <a16:creationId xmlns:a16="http://schemas.microsoft.com/office/drawing/2014/main" id="{00000000-0008-0000-0100-0000A3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236" name="Line 39">
          <a:extLst>
            <a:ext uri="{FF2B5EF4-FFF2-40B4-BE49-F238E27FC236}">
              <a16:creationId xmlns:a16="http://schemas.microsoft.com/office/drawing/2014/main" id="{00000000-0008-0000-0100-0000A4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237" name="Line 40">
          <a:extLst>
            <a:ext uri="{FF2B5EF4-FFF2-40B4-BE49-F238E27FC236}">
              <a16:creationId xmlns:a16="http://schemas.microsoft.com/office/drawing/2014/main" id="{00000000-0008-0000-0100-0000A5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238" name="Line 41">
          <a:extLst>
            <a:ext uri="{FF2B5EF4-FFF2-40B4-BE49-F238E27FC236}">
              <a16:creationId xmlns:a16="http://schemas.microsoft.com/office/drawing/2014/main" id="{00000000-0008-0000-0100-0000A6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239" name="Rectangle 42">
          <a:extLst>
            <a:ext uri="{FF2B5EF4-FFF2-40B4-BE49-F238E27FC236}">
              <a16:creationId xmlns:a16="http://schemas.microsoft.com/office/drawing/2014/main" id="{00000000-0008-0000-0100-0000A7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240" name="Line 43">
          <a:extLst>
            <a:ext uri="{FF2B5EF4-FFF2-40B4-BE49-F238E27FC236}">
              <a16:creationId xmlns:a16="http://schemas.microsoft.com/office/drawing/2014/main" id="{00000000-0008-0000-0100-0000A8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241" name="Line 44">
          <a:extLst>
            <a:ext uri="{FF2B5EF4-FFF2-40B4-BE49-F238E27FC236}">
              <a16:creationId xmlns:a16="http://schemas.microsoft.com/office/drawing/2014/main" id="{00000000-0008-0000-0100-0000A9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242" name="Line 45">
          <a:extLst>
            <a:ext uri="{FF2B5EF4-FFF2-40B4-BE49-F238E27FC236}">
              <a16:creationId xmlns:a16="http://schemas.microsoft.com/office/drawing/2014/main" id="{00000000-0008-0000-0100-0000AA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243" name="Line 46">
          <a:extLst>
            <a:ext uri="{FF2B5EF4-FFF2-40B4-BE49-F238E27FC236}">
              <a16:creationId xmlns:a16="http://schemas.microsoft.com/office/drawing/2014/main" id="{00000000-0008-0000-0100-0000AB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244" name="Line 47">
          <a:extLst>
            <a:ext uri="{FF2B5EF4-FFF2-40B4-BE49-F238E27FC236}">
              <a16:creationId xmlns:a16="http://schemas.microsoft.com/office/drawing/2014/main" id="{00000000-0008-0000-0100-0000AC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245" name="Line 48">
          <a:extLst>
            <a:ext uri="{FF2B5EF4-FFF2-40B4-BE49-F238E27FC236}">
              <a16:creationId xmlns:a16="http://schemas.microsoft.com/office/drawing/2014/main" id="{00000000-0008-0000-0100-0000AD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246" name="Line 49">
          <a:extLst>
            <a:ext uri="{FF2B5EF4-FFF2-40B4-BE49-F238E27FC236}">
              <a16:creationId xmlns:a16="http://schemas.microsoft.com/office/drawing/2014/main" id="{00000000-0008-0000-0100-0000AE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247" name="Line 50">
          <a:extLst>
            <a:ext uri="{FF2B5EF4-FFF2-40B4-BE49-F238E27FC236}">
              <a16:creationId xmlns:a16="http://schemas.microsoft.com/office/drawing/2014/main" id="{00000000-0008-0000-0100-0000AF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248" name="Line 51">
          <a:extLst>
            <a:ext uri="{FF2B5EF4-FFF2-40B4-BE49-F238E27FC236}">
              <a16:creationId xmlns:a16="http://schemas.microsoft.com/office/drawing/2014/main" id="{00000000-0008-0000-0100-0000B0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249" name="Line 52">
          <a:extLst>
            <a:ext uri="{FF2B5EF4-FFF2-40B4-BE49-F238E27FC236}">
              <a16:creationId xmlns:a16="http://schemas.microsoft.com/office/drawing/2014/main" id="{00000000-0008-0000-0100-0000B1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250" name="Line 53">
          <a:extLst>
            <a:ext uri="{FF2B5EF4-FFF2-40B4-BE49-F238E27FC236}">
              <a16:creationId xmlns:a16="http://schemas.microsoft.com/office/drawing/2014/main" id="{00000000-0008-0000-0100-0000B2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251" name="Line 54">
          <a:extLst>
            <a:ext uri="{FF2B5EF4-FFF2-40B4-BE49-F238E27FC236}">
              <a16:creationId xmlns:a16="http://schemas.microsoft.com/office/drawing/2014/main" id="{00000000-0008-0000-0100-0000B3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252" name="Line 55">
          <a:extLst>
            <a:ext uri="{FF2B5EF4-FFF2-40B4-BE49-F238E27FC236}">
              <a16:creationId xmlns:a16="http://schemas.microsoft.com/office/drawing/2014/main" id="{00000000-0008-0000-0100-0000B4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253" name="Line 56">
          <a:extLst>
            <a:ext uri="{FF2B5EF4-FFF2-40B4-BE49-F238E27FC236}">
              <a16:creationId xmlns:a16="http://schemas.microsoft.com/office/drawing/2014/main" id="{00000000-0008-0000-0100-0000B5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254" name="Rectangle 57">
          <a:extLst>
            <a:ext uri="{FF2B5EF4-FFF2-40B4-BE49-F238E27FC236}">
              <a16:creationId xmlns:a16="http://schemas.microsoft.com/office/drawing/2014/main" id="{00000000-0008-0000-0100-0000B6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255" name="Line 58">
          <a:extLst>
            <a:ext uri="{FF2B5EF4-FFF2-40B4-BE49-F238E27FC236}">
              <a16:creationId xmlns:a16="http://schemas.microsoft.com/office/drawing/2014/main" id="{00000000-0008-0000-0100-0000B7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256" name="Line 59">
          <a:extLst>
            <a:ext uri="{FF2B5EF4-FFF2-40B4-BE49-F238E27FC236}">
              <a16:creationId xmlns:a16="http://schemas.microsoft.com/office/drawing/2014/main" id="{00000000-0008-0000-0100-0000B8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257" name="Line 60">
          <a:extLst>
            <a:ext uri="{FF2B5EF4-FFF2-40B4-BE49-F238E27FC236}">
              <a16:creationId xmlns:a16="http://schemas.microsoft.com/office/drawing/2014/main" id="{00000000-0008-0000-0100-0000B9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258" name="Line 61">
          <a:extLst>
            <a:ext uri="{FF2B5EF4-FFF2-40B4-BE49-F238E27FC236}">
              <a16:creationId xmlns:a16="http://schemas.microsoft.com/office/drawing/2014/main" id="{00000000-0008-0000-0100-0000BA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259" name="Line 62">
          <a:extLst>
            <a:ext uri="{FF2B5EF4-FFF2-40B4-BE49-F238E27FC236}">
              <a16:creationId xmlns:a16="http://schemas.microsoft.com/office/drawing/2014/main" id="{00000000-0008-0000-0100-0000BB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260" name="Line 63">
          <a:extLst>
            <a:ext uri="{FF2B5EF4-FFF2-40B4-BE49-F238E27FC236}">
              <a16:creationId xmlns:a16="http://schemas.microsoft.com/office/drawing/2014/main" id="{00000000-0008-0000-0100-0000BC0C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261" name="Line 64">
          <a:extLst>
            <a:ext uri="{FF2B5EF4-FFF2-40B4-BE49-F238E27FC236}">
              <a16:creationId xmlns:a16="http://schemas.microsoft.com/office/drawing/2014/main" id="{00000000-0008-0000-0100-0000BD0C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262" name="Line 65">
          <a:extLst>
            <a:ext uri="{FF2B5EF4-FFF2-40B4-BE49-F238E27FC236}">
              <a16:creationId xmlns:a16="http://schemas.microsoft.com/office/drawing/2014/main" id="{00000000-0008-0000-0100-0000BE0C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263" name="Line 66">
          <a:extLst>
            <a:ext uri="{FF2B5EF4-FFF2-40B4-BE49-F238E27FC236}">
              <a16:creationId xmlns:a16="http://schemas.microsoft.com/office/drawing/2014/main" id="{00000000-0008-0000-0100-0000BF0C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264" name="Line 67">
          <a:extLst>
            <a:ext uri="{FF2B5EF4-FFF2-40B4-BE49-F238E27FC236}">
              <a16:creationId xmlns:a16="http://schemas.microsoft.com/office/drawing/2014/main" id="{00000000-0008-0000-0100-0000C00C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265" name="Line 68">
          <a:extLst>
            <a:ext uri="{FF2B5EF4-FFF2-40B4-BE49-F238E27FC236}">
              <a16:creationId xmlns:a16="http://schemas.microsoft.com/office/drawing/2014/main" id="{00000000-0008-0000-0100-0000C10C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266" name="Line 1">
          <a:extLst>
            <a:ext uri="{FF2B5EF4-FFF2-40B4-BE49-F238E27FC236}">
              <a16:creationId xmlns:a16="http://schemas.microsoft.com/office/drawing/2014/main" id="{00000000-0008-0000-0100-0000C20C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267" name="Drawing 16">
          <a:extLst>
            <a:ext uri="{FF2B5EF4-FFF2-40B4-BE49-F238E27FC236}">
              <a16:creationId xmlns:a16="http://schemas.microsoft.com/office/drawing/2014/main" id="{00000000-0008-0000-0100-0000C30C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268" name="Line 3">
          <a:extLst>
            <a:ext uri="{FF2B5EF4-FFF2-40B4-BE49-F238E27FC236}">
              <a16:creationId xmlns:a16="http://schemas.microsoft.com/office/drawing/2014/main" id="{00000000-0008-0000-0100-0000C40C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269" name="Line 4">
          <a:extLst>
            <a:ext uri="{FF2B5EF4-FFF2-40B4-BE49-F238E27FC236}">
              <a16:creationId xmlns:a16="http://schemas.microsoft.com/office/drawing/2014/main" id="{00000000-0008-0000-0100-0000C50C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270" name="Line 5">
          <a:extLst>
            <a:ext uri="{FF2B5EF4-FFF2-40B4-BE49-F238E27FC236}">
              <a16:creationId xmlns:a16="http://schemas.microsoft.com/office/drawing/2014/main" id="{00000000-0008-0000-0100-0000C60C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271" name="Line 6">
          <a:extLst>
            <a:ext uri="{FF2B5EF4-FFF2-40B4-BE49-F238E27FC236}">
              <a16:creationId xmlns:a16="http://schemas.microsoft.com/office/drawing/2014/main" id="{00000000-0008-0000-0100-0000C70C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272" name="Line 7">
          <a:extLst>
            <a:ext uri="{FF2B5EF4-FFF2-40B4-BE49-F238E27FC236}">
              <a16:creationId xmlns:a16="http://schemas.microsoft.com/office/drawing/2014/main" id="{00000000-0008-0000-0100-0000C80C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273" name="Line 8">
          <a:extLst>
            <a:ext uri="{FF2B5EF4-FFF2-40B4-BE49-F238E27FC236}">
              <a16:creationId xmlns:a16="http://schemas.microsoft.com/office/drawing/2014/main" id="{00000000-0008-0000-0100-0000C90C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274" name="Line 9">
          <a:extLst>
            <a:ext uri="{FF2B5EF4-FFF2-40B4-BE49-F238E27FC236}">
              <a16:creationId xmlns:a16="http://schemas.microsoft.com/office/drawing/2014/main" id="{00000000-0008-0000-0100-0000CA0C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275" name="Line 10">
          <a:extLst>
            <a:ext uri="{FF2B5EF4-FFF2-40B4-BE49-F238E27FC236}">
              <a16:creationId xmlns:a16="http://schemas.microsoft.com/office/drawing/2014/main" id="{00000000-0008-0000-0100-0000CB0C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276" name="Line 11">
          <a:extLst>
            <a:ext uri="{FF2B5EF4-FFF2-40B4-BE49-F238E27FC236}">
              <a16:creationId xmlns:a16="http://schemas.microsoft.com/office/drawing/2014/main" id="{00000000-0008-0000-0100-0000CC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277" name="Line 12">
          <a:extLst>
            <a:ext uri="{FF2B5EF4-FFF2-40B4-BE49-F238E27FC236}">
              <a16:creationId xmlns:a16="http://schemas.microsoft.com/office/drawing/2014/main" id="{00000000-0008-0000-0100-0000CD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278" name="Line 13">
          <a:extLst>
            <a:ext uri="{FF2B5EF4-FFF2-40B4-BE49-F238E27FC236}">
              <a16:creationId xmlns:a16="http://schemas.microsoft.com/office/drawing/2014/main" id="{00000000-0008-0000-0100-0000CE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79" name="Line 14">
          <a:extLst>
            <a:ext uri="{FF2B5EF4-FFF2-40B4-BE49-F238E27FC236}">
              <a16:creationId xmlns:a16="http://schemas.microsoft.com/office/drawing/2014/main" id="{00000000-0008-0000-0100-0000CF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280" name="Line 15">
          <a:extLst>
            <a:ext uri="{FF2B5EF4-FFF2-40B4-BE49-F238E27FC236}">
              <a16:creationId xmlns:a16="http://schemas.microsoft.com/office/drawing/2014/main" id="{00000000-0008-0000-0100-0000D0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81" name="Line 16">
          <a:extLst>
            <a:ext uri="{FF2B5EF4-FFF2-40B4-BE49-F238E27FC236}">
              <a16:creationId xmlns:a16="http://schemas.microsoft.com/office/drawing/2014/main" id="{00000000-0008-0000-0100-0000D1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282" name="Line 17">
          <a:extLst>
            <a:ext uri="{FF2B5EF4-FFF2-40B4-BE49-F238E27FC236}">
              <a16:creationId xmlns:a16="http://schemas.microsoft.com/office/drawing/2014/main" id="{00000000-0008-0000-0100-0000D2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283" name="Line 18">
          <a:extLst>
            <a:ext uri="{FF2B5EF4-FFF2-40B4-BE49-F238E27FC236}">
              <a16:creationId xmlns:a16="http://schemas.microsoft.com/office/drawing/2014/main" id="{00000000-0008-0000-0100-0000D3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284" name="Line 19">
          <a:extLst>
            <a:ext uri="{FF2B5EF4-FFF2-40B4-BE49-F238E27FC236}">
              <a16:creationId xmlns:a16="http://schemas.microsoft.com/office/drawing/2014/main" id="{00000000-0008-0000-0100-0000D4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285" name="Line 20">
          <a:extLst>
            <a:ext uri="{FF2B5EF4-FFF2-40B4-BE49-F238E27FC236}">
              <a16:creationId xmlns:a16="http://schemas.microsoft.com/office/drawing/2014/main" id="{00000000-0008-0000-0100-0000D5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286" name="Line 21">
          <a:extLst>
            <a:ext uri="{FF2B5EF4-FFF2-40B4-BE49-F238E27FC236}">
              <a16:creationId xmlns:a16="http://schemas.microsoft.com/office/drawing/2014/main" id="{00000000-0008-0000-0100-0000D6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287" name="Line 22">
          <a:extLst>
            <a:ext uri="{FF2B5EF4-FFF2-40B4-BE49-F238E27FC236}">
              <a16:creationId xmlns:a16="http://schemas.microsoft.com/office/drawing/2014/main" id="{00000000-0008-0000-0100-0000D7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288" name="Line 23">
          <a:extLst>
            <a:ext uri="{FF2B5EF4-FFF2-40B4-BE49-F238E27FC236}">
              <a16:creationId xmlns:a16="http://schemas.microsoft.com/office/drawing/2014/main" id="{00000000-0008-0000-0100-0000D8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289" name="Line 24">
          <a:extLst>
            <a:ext uri="{FF2B5EF4-FFF2-40B4-BE49-F238E27FC236}">
              <a16:creationId xmlns:a16="http://schemas.microsoft.com/office/drawing/2014/main" id="{00000000-0008-0000-0100-0000D9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290" name="Line 25">
          <a:extLst>
            <a:ext uri="{FF2B5EF4-FFF2-40B4-BE49-F238E27FC236}">
              <a16:creationId xmlns:a16="http://schemas.microsoft.com/office/drawing/2014/main" id="{00000000-0008-0000-0100-0000DA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291" name="Line 26">
          <a:extLst>
            <a:ext uri="{FF2B5EF4-FFF2-40B4-BE49-F238E27FC236}">
              <a16:creationId xmlns:a16="http://schemas.microsoft.com/office/drawing/2014/main" id="{00000000-0008-0000-0100-0000DB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292" name="Line 27">
          <a:extLst>
            <a:ext uri="{FF2B5EF4-FFF2-40B4-BE49-F238E27FC236}">
              <a16:creationId xmlns:a16="http://schemas.microsoft.com/office/drawing/2014/main" id="{00000000-0008-0000-0100-0000DC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293" name="Line 28">
          <a:extLst>
            <a:ext uri="{FF2B5EF4-FFF2-40B4-BE49-F238E27FC236}">
              <a16:creationId xmlns:a16="http://schemas.microsoft.com/office/drawing/2014/main" id="{00000000-0008-0000-0100-0000DD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294" name="Line 29">
          <a:extLst>
            <a:ext uri="{FF2B5EF4-FFF2-40B4-BE49-F238E27FC236}">
              <a16:creationId xmlns:a16="http://schemas.microsoft.com/office/drawing/2014/main" id="{00000000-0008-0000-0100-0000DE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295" name="Line 30">
          <a:extLst>
            <a:ext uri="{FF2B5EF4-FFF2-40B4-BE49-F238E27FC236}">
              <a16:creationId xmlns:a16="http://schemas.microsoft.com/office/drawing/2014/main" id="{00000000-0008-0000-0100-0000DF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296" name="Line 31">
          <a:extLst>
            <a:ext uri="{FF2B5EF4-FFF2-40B4-BE49-F238E27FC236}">
              <a16:creationId xmlns:a16="http://schemas.microsoft.com/office/drawing/2014/main" id="{00000000-0008-0000-0100-0000E0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297" name="Line 32">
          <a:extLst>
            <a:ext uri="{FF2B5EF4-FFF2-40B4-BE49-F238E27FC236}">
              <a16:creationId xmlns:a16="http://schemas.microsoft.com/office/drawing/2014/main" id="{00000000-0008-0000-0100-0000E1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298" name="Line 33">
          <a:extLst>
            <a:ext uri="{FF2B5EF4-FFF2-40B4-BE49-F238E27FC236}">
              <a16:creationId xmlns:a16="http://schemas.microsoft.com/office/drawing/2014/main" id="{00000000-0008-0000-0100-0000E2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299" name="Line 34">
          <a:extLst>
            <a:ext uri="{FF2B5EF4-FFF2-40B4-BE49-F238E27FC236}">
              <a16:creationId xmlns:a16="http://schemas.microsoft.com/office/drawing/2014/main" id="{00000000-0008-0000-0100-0000E3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300" name="Line 35">
          <a:extLst>
            <a:ext uri="{FF2B5EF4-FFF2-40B4-BE49-F238E27FC236}">
              <a16:creationId xmlns:a16="http://schemas.microsoft.com/office/drawing/2014/main" id="{00000000-0008-0000-0100-0000E4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301" name="Line 36">
          <a:extLst>
            <a:ext uri="{FF2B5EF4-FFF2-40B4-BE49-F238E27FC236}">
              <a16:creationId xmlns:a16="http://schemas.microsoft.com/office/drawing/2014/main" id="{00000000-0008-0000-0100-0000E5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302" name="Line 37">
          <a:extLst>
            <a:ext uri="{FF2B5EF4-FFF2-40B4-BE49-F238E27FC236}">
              <a16:creationId xmlns:a16="http://schemas.microsoft.com/office/drawing/2014/main" id="{00000000-0008-0000-0100-0000E6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303" name="Line 38">
          <a:extLst>
            <a:ext uri="{FF2B5EF4-FFF2-40B4-BE49-F238E27FC236}">
              <a16:creationId xmlns:a16="http://schemas.microsoft.com/office/drawing/2014/main" id="{00000000-0008-0000-0100-0000E7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304" name="Line 39">
          <a:extLst>
            <a:ext uri="{FF2B5EF4-FFF2-40B4-BE49-F238E27FC236}">
              <a16:creationId xmlns:a16="http://schemas.microsoft.com/office/drawing/2014/main" id="{00000000-0008-0000-0100-0000E8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305" name="Line 40">
          <a:extLst>
            <a:ext uri="{FF2B5EF4-FFF2-40B4-BE49-F238E27FC236}">
              <a16:creationId xmlns:a16="http://schemas.microsoft.com/office/drawing/2014/main" id="{00000000-0008-0000-0100-0000E9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306" name="Line 41">
          <a:extLst>
            <a:ext uri="{FF2B5EF4-FFF2-40B4-BE49-F238E27FC236}">
              <a16:creationId xmlns:a16="http://schemas.microsoft.com/office/drawing/2014/main" id="{00000000-0008-0000-0100-0000EA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307" name="Rectangle 1130">
          <a:extLst>
            <a:ext uri="{FF2B5EF4-FFF2-40B4-BE49-F238E27FC236}">
              <a16:creationId xmlns:a16="http://schemas.microsoft.com/office/drawing/2014/main" id="{00000000-0008-0000-0100-0000EB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08" name="Line 43">
          <a:extLst>
            <a:ext uri="{FF2B5EF4-FFF2-40B4-BE49-F238E27FC236}">
              <a16:creationId xmlns:a16="http://schemas.microsoft.com/office/drawing/2014/main" id="{00000000-0008-0000-0100-0000EC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09" name="Line 44">
          <a:extLst>
            <a:ext uri="{FF2B5EF4-FFF2-40B4-BE49-F238E27FC236}">
              <a16:creationId xmlns:a16="http://schemas.microsoft.com/office/drawing/2014/main" id="{00000000-0008-0000-0100-0000ED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310" name="Line 45">
          <a:extLst>
            <a:ext uri="{FF2B5EF4-FFF2-40B4-BE49-F238E27FC236}">
              <a16:creationId xmlns:a16="http://schemas.microsoft.com/office/drawing/2014/main" id="{00000000-0008-0000-0100-0000EE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311" name="Line 46">
          <a:extLst>
            <a:ext uri="{FF2B5EF4-FFF2-40B4-BE49-F238E27FC236}">
              <a16:creationId xmlns:a16="http://schemas.microsoft.com/office/drawing/2014/main" id="{00000000-0008-0000-0100-0000EF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312" name="Line 47">
          <a:extLst>
            <a:ext uri="{FF2B5EF4-FFF2-40B4-BE49-F238E27FC236}">
              <a16:creationId xmlns:a16="http://schemas.microsoft.com/office/drawing/2014/main" id="{00000000-0008-0000-0100-0000F0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313" name="Line 48">
          <a:extLst>
            <a:ext uri="{FF2B5EF4-FFF2-40B4-BE49-F238E27FC236}">
              <a16:creationId xmlns:a16="http://schemas.microsoft.com/office/drawing/2014/main" id="{00000000-0008-0000-0100-0000F1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314" name="Line 49">
          <a:extLst>
            <a:ext uri="{FF2B5EF4-FFF2-40B4-BE49-F238E27FC236}">
              <a16:creationId xmlns:a16="http://schemas.microsoft.com/office/drawing/2014/main" id="{00000000-0008-0000-0100-0000F2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315" name="Line 50">
          <a:extLst>
            <a:ext uri="{FF2B5EF4-FFF2-40B4-BE49-F238E27FC236}">
              <a16:creationId xmlns:a16="http://schemas.microsoft.com/office/drawing/2014/main" id="{00000000-0008-0000-0100-0000F3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316" name="Line 51">
          <a:extLst>
            <a:ext uri="{FF2B5EF4-FFF2-40B4-BE49-F238E27FC236}">
              <a16:creationId xmlns:a16="http://schemas.microsoft.com/office/drawing/2014/main" id="{00000000-0008-0000-0100-0000F4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317" name="Line 52">
          <a:extLst>
            <a:ext uri="{FF2B5EF4-FFF2-40B4-BE49-F238E27FC236}">
              <a16:creationId xmlns:a16="http://schemas.microsoft.com/office/drawing/2014/main" id="{00000000-0008-0000-0100-0000F5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318" name="Line 53">
          <a:extLst>
            <a:ext uri="{FF2B5EF4-FFF2-40B4-BE49-F238E27FC236}">
              <a16:creationId xmlns:a16="http://schemas.microsoft.com/office/drawing/2014/main" id="{00000000-0008-0000-0100-0000F6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319" name="Line 54">
          <a:extLst>
            <a:ext uri="{FF2B5EF4-FFF2-40B4-BE49-F238E27FC236}">
              <a16:creationId xmlns:a16="http://schemas.microsoft.com/office/drawing/2014/main" id="{00000000-0008-0000-0100-0000F7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320" name="Line 55">
          <a:extLst>
            <a:ext uri="{FF2B5EF4-FFF2-40B4-BE49-F238E27FC236}">
              <a16:creationId xmlns:a16="http://schemas.microsoft.com/office/drawing/2014/main" id="{00000000-0008-0000-0100-0000F8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321" name="Line 56">
          <a:extLst>
            <a:ext uri="{FF2B5EF4-FFF2-40B4-BE49-F238E27FC236}">
              <a16:creationId xmlns:a16="http://schemas.microsoft.com/office/drawing/2014/main" id="{00000000-0008-0000-0100-0000F9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322" name="Rectangle 1145">
          <a:extLst>
            <a:ext uri="{FF2B5EF4-FFF2-40B4-BE49-F238E27FC236}">
              <a16:creationId xmlns:a16="http://schemas.microsoft.com/office/drawing/2014/main" id="{00000000-0008-0000-0100-0000FA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323" name="Line 58">
          <a:extLst>
            <a:ext uri="{FF2B5EF4-FFF2-40B4-BE49-F238E27FC236}">
              <a16:creationId xmlns:a16="http://schemas.microsoft.com/office/drawing/2014/main" id="{00000000-0008-0000-0100-0000FB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324" name="Line 59">
          <a:extLst>
            <a:ext uri="{FF2B5EF4-FFF2-40B4-BE49-F238E27FC236}">
              <a16:creationId xmlns:a16="http://schemas.microsoft.com/office/drawing/2014/main" id="{00000000-0008-0000-0100-0000FC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325" name="Line 60">
          <a:extLst>
            <a:ext uri="{FF2B5EF4-FFF2-40B4-BE49-F238E27FC236}">
              <a16:creationId xmlns:a16="http://schemas.microsoft.com/office/drawing/2014/main" id="{00000000-0008-0000-0100-0000FD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326" name="Line 61">
          <a:extLst>
            <a:ext uri="{FF2B5EF4-FFF2-40B4-BE49-F238E27FC236}">
              <a16:creationId xmlns:a16="http://schemas.microsoft.com/office/drawing/2014/main" id="{00000000-0008-0000-0100-0000FE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327" name="Line 62">
          <a:extLst>
            <a:ext uri="{FF2B5EF4-FFF2-40B4-BE49-F238E27FC236}">
              <a16:creationId xmlns:a16="http://schemas.microsoft.com/office/drawing/2014/main" id="{00000000-0008-0000-0100-0000FF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328" name="Line 63">
          <a:extLst>
            <a:ext uri="{FF2B5EF4-FFF2-40B4-BE49-F238E27FC236}">
              <a16:creationId xmlns:a16="http://schemas.microsoft.com/office/drawing/2014/main" id="{00000000-0008-0000-0100-000000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329" name="Line 64">
          <a:extLst>
            <a:ext uri="{FF2B5EF4-FFF2-40B4-BE49-F238E27FC236}">
              <a16:creationId xmlns:a16="http://schemas.microsoft.com/office/drawing/2014/main" id="{00000000-0008-0000-0100-000001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330" name="Line 65">
          <a:extLst>
            <a:ext uri="{FF2B5EF4-FFF2-40B4-BE49-F238E27FC236}">
              <a16:creationId xmlns:a16="http://schemas.microsoft.com/office/drawing/2014/main" id="{00000000-0008-0000-0100-000002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331" name="Line 66">
          <a:extLst>
            <a:ext uri="{FF2B5EF4-FFF2-40B4-BE49-F238E27FC236}">
              <a16:creationId xmlns:a16="http://schemas.microsoft.com/office/drawing/2014/main" id="{00000000-0008-0000-0100-000003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332" name="Line 67">
          <a:extLst>
            <a:ext uri="{FF2B5EF4-FFF2-40B4-BE49-F238E27FC236}">
              <a16:creationId xmlns:a16="http://schemas.microsoft.com/office/drawing/2014/main" id="{00000000-0008-0000-0100-000004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333" name="Line 68">
          <a:extLst>
            <a:ext uri="{FF2B5EF4-FFF2-40B4-BE49-F238E27FC236}">
              <a16:creationId xmlns:a16="http://schemas.microsoft.com/office/drawing/2014/main" id="{00000000-0008-0000-0100-000005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334" name="Line 1">
          <a:extLst>
            <a:ext uri="{FF2B5EF4-FFF2-40B4-BE49-F238E27FC236}">
              <a16:creationId xmlns:a16="http://schemas.microsoft.com/office/drawing/2014/main" id="{00000000-0008-0000-0100-000006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335" name="Drawing 16">
          <a:extLst>
            <a:ext uri="{FF2B5EF4-FFF2-40B4-BE49-F238E27FC236}">
              <a16:creationId xmlns:a16="http://schemas.microsoft.com/office/drawing/2014/main" id="{00000000-0008-0000-0100-000007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336" name="Line 3">
          <a:extLst>
            <a:ext uri="{FF2B5EF4-FFF2-40B4-BE49-F238E27FC236}">
              <a16:creationId xmlns:a16="http://schemas.microsoft.com/office/drawing/2014/main" id="{00000000-0008-0000-0100-000008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337" name="Line 4">
          <a:extLst>
            <a:ext uri="{FF2B5EF4-FFF2-40B4-BE49-F238E27FC236}">
              <a16:creationId xmlns:a16="http://schemas.microsoft.com/office/drawing/2014/main" id="{00000000-0008-0000-0100-000009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338" name="Line 5">
          <a:extLst>
            <a:ext uri="{FF2B5EF4-FFF2-40B4-BE49-F238E27FC236}">
              <a16:creationId xmlns:a16="http://schemas.microsoft.com/office/drawing/2014/main" id="{00000000-0008-0000-0100-00000A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339" name="Line 6">
          <a:extLst>
            <a:ext uri="{FF2B5EF4-FFF2-40B4-BE49-F238E27FC236}">
              <a16:creationId xmlns:a16="http://schemas.microsoft.com/office/drawing/2014/main" id="{00000000-0008-0000-0100-00000B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340" name="Line 7">
          <a:extLst>
            <a:ext uri="{FF2B5EF4-FFF2-40B4-BE49-F238E27FC236}">
              <a16:creationId xmlns:a16="http://schemas.microsoft.com/office/drawing/2014/main" id="{00000000-0008-0000-0100-00000C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341" name="Line 8">
          <a:extLst>
            <a:ext uri="{FF2B5EF4-FFF2-40B4-BE49-F238E27FC236}">
              <a16:creationId xmlns:a16="http://schemas.microsoft.com/office/drawing/2014/main" id="{00000000-0008-0000-0100-00000D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342" name="Line 9">
          <a:extLst>
            <a:ext uri="{FF2B5EF4-FFF2-40B4-BE49-F238E27FC236}">
              <a16:creationId xmlns:a16="http://schemas.microsoft.com/office/drawing/2014/main" id="{00000000-0008-0000-0100-00000E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343" name="Line 10">
          <a:extLst>
            <a:ext uri="{FF2B5EF4-FFF2-40B4-BE49-F238E27FC236}">
              <a16:creationId xmlns:a16="http://schemas.microsoft.com/office/drawing/2014/main" id="{00000000-0008-0000-0100-00000F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344" name="Line 11">
          <a:extLst>
            <a:ext uri="{FF2B5EF4-FFF2-40B4-BE49-F238E27FC236}">
              <a16:creationId xmlns:a16="http://schemas.microsoft.com/office/drawing/2014/main" id="{00000000-0008-0000-0100-000010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345" name="Line 12">
          <a:extLst>
            <a:ext uri="{FF2B5EF4-FFF2-40B4-BE49-F238E27FC236}">
              <a16:creationId xmlns:a16="http://schemas.microsoft.com/office/drawing/2014/main" id="{00000000-0008-0000-0100-000011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346" name="Line 13">
          <a:extLst>
            <a:ext uri="{FF2B5EF4-FFF2-40B4-BE49-F238E27FC236}">
              <a16:creationId xmlns:a16="http://schemas.microsoft.com/office/drawing/2014/main" id="{00000000-0008-0000-0100-000012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347" name="Line 14">
          <a:extLst>
            <a:ext uri="{FF2B5EF4-FFF2-40B4-BE49-F238E27FC236}">
              <a16:creationId xmlns:a16="http://schemas.microsoft.com/office/drawing/2014/main" id="{00000000-0008-0000-0100-000013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348" name="Line 15">
          <a:extLst>
            <a:ext uri="{FF2B5EF4-FFF2-40B4-BE49-F238E27FC236}">
              <a16:creationId xmlns:a16="http://schemas.microsoft.com/office/drawing/2014/main" id="{00000000-0008-0000-0100-000014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349" name="Line 16">
          <a:extLst>
            <a:ext uri="{FF2B5EF4-FFF2-40B4-BE49-F238E27FC236}">
              <a16:creationId xmlns:a16="http://schemas.microsoft.com/office/drawing/2014/main" id="{00000000-0008-0000-0100-000015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350" name="Line 17">
          <a:extLst>
            <a:ext uri="{FF2B5EF4-FFF2-40B4-BE49-F238E27FC236}">
              <a16:creationId xmlns:a16="http://schemas.microsoft.com/office/drawing/2014/main" id="{00000000-0008-0000-0100-000016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351" name="Line 18">
          <a:extLst>
            <a:ext uri="{FF2B5EF4-FFF2-40B4-BE49-F238E27FC236}">
              <a16:creationId xmlns:a16="http://schemas.microsoft.com/office/drawing/2014/main" id="{00000000-0008-0000-0100-000017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352" name="Line 19">
          <a:extLst>
            <a:ext uri="{FF2B5EF4-FFF2-40B4-BE49-F238E27FC236}">
              <a16:creationId xmlns:a16="http://schemas.microsoft.com/office/drawing/2014/main" id="{00000000-0008-0000-0100-000018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353" name="Line 20">
          <a:extLst>
            <a:ext uri="{FF2B5EF4-FFF2-40B4-BE49-F238E27FC236}">
              <a16:creationId xmlns:a16="http://schemas.microsoft.com/office/drawing/2014/main" id="{00000000-0008-0000-0100-000019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354" name="Line 21">
          <a:extLst>
            <a:ext uri="{FF2B5EF4-FFF2-40B4-BE49-F238E27FC236}">
              <a16:creationId xmlns:a16="http://schemas.microsoft.com/office/drawing/2014/main" id="{00000000-0008-0000-0100-00001A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355" name="Line 22">
          <a:extLst>
            <a:ext uri="{FF2B5EF4-FFF2-40B4-BE49-F238E27FC236}">
              <a16:creationId xmlns:a16="http://schemas.microsoft.com/office/drawing/2014/main" id="{00000000-0008-0000-0100-00001B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356" name="Line 23">
          <a:extLst>
            <a:ext uri="{FF2B5EF4-FFF2-40B4-BE49-F238E27FC236}">
              <a16:creationId xmlns:a16="http://schemas.microsoft.com/office/drawing/2014/main" id="{00000000-0008-0000-0100-00001C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357" name="Line 24">
          <a:extLst>
            <a:ext uri="{FF2B5EF4-FFF2-40B4-BE49-F238E27FC236}">
              <a16:creationId xmlns:a16="http://schemas.microsoft.com/office/drawing/2014/main" id="{00000000-0008-0000-0100-00001D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358" name="Line 25">
          <a:extLst>
            <a:ext uri="{FF2B5EF4-FFF2-40B4-BE49-F238E27FC236}">
              <a16:creationId xmlns:a16="http://schemas.microsoft.com/office/drawing/2014/main" id="{00000000-0008-0000-0100-00001E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359" name="Line 26">
          <a:extLst>
            <a:ext uri="{FF2B5EF4-FFF2-40B4-BE49-F238E27FC236}">
              <a16:creationId xmlns:a16="http://schemas.microsoft.com/office/drawing/2014/main" id="{00000000-0008-0000-0100-00001F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360" name="Line 27">
          <a:extLst>
            <a:ext uri="{FF2B5EF4-FFF2-40B4-BE49-F238E27FC236}">
              <a16:creationId xmlns:a16="http://schemas.microsoft.com/office/drawing/2014/main" id="{00000000-0008-0000-0100-000020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361" name="Line 28">
          <a:extLst>
            <a:ext uri="{FF2B5EF4-FFF2-40B4-BE49-F238E27FC236}">
              <a16:creationId xmlns:a16="http://schemas.microsoft.com/office/drawing/2014/main" id="{00000000-0008-0000-0100-000021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362" name="Line 29">
          <a:extLst>
            <a:ext uri="{FF2B5EF4-FFF2-40B4-BE49-F238E27FC236}">
              <a16:creationId xmlns:a16="http://schemas.microsoft.com/office/drawing/2014/main" id="{00000000-0008-0000-0100-000022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363" name="Line 30">
          <a:extLst>
            <a:ext uri="{FF2B5EF4-FFF2-40B4-BE49-F238E27FC236}">
              <a16:creationId xmlns:a16="http://schemas.microsoft.com/office/drawing/2014/main" id="{00000000-0008-0000-0100-000023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364" name="Line 31">
          <a:extLst>
            <a:ext uri="{FF2B5EF4-FFF2-40B4-BE49-F238E27FC236}">
              <a16:creationId xmlns:a16="http://schemas.microsoft.com/office/drawing/2014/main" id="{00000000-0008-0000-0100-000024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365" name="Line 32">
          <a:extLst>
            <a:ext uri="{FF2B5EF4-FFF2-40B4-BE49-F238E27FC236}">
              <a16:creationId xmlns:a16="http://schemas.microsoft.com/office/drawing/2014/main" id="{00000000-0008-0000-0100-000025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366" name="Line 33">
          <a:extLst>
            <a:ext uri="{FF2B5EF4-FFF2-40B4-BE49-F238E27FC236}">
              <a16:creationId xmlns:a16="http://schemas.microsoft.com/office/drawing/2014/main" id="{00000000-0008-0000-0100-000026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367" name="Line 34">
          <a:extLst>
            <a:ext uri="{FF2B5EF4-FFF2-40B4-BE49-F238E27FC236}">
              <a16:creationId xmlns:a16="http://schemas.microsoft.com/office/drawing/2014/main" id="{00000000-0008-0000-0100-000027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368" name="Line 35">
          <a:extLst>
            <a:ext uri="{FF2B5EF4-FFF2-40B4-BE49-F238E27FC236}">
              <a16:creationId xmlns:a16="http://schemas.microsoft.com/office/drawing/2014/main" id="{00000000-0008-0000-0100-000028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369" name="Line 36">
          <a:extLst>
            <a:ext uri="{FF2B5EF4-FFF2-40B4-BE49-F238E27FC236}">
              <a16:creationId xmlns:a16="http://schemas.microsoft.com/office/drawing/2014/main" id="{00000000-0008-0000-0100-000029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370" name="Line 37">
          <a:extLst>
            <a:ext uri="{FF2B5EF4-FFF2-40B4-BE49-F238E27FC236}">
              <a16:creationId xmlns:a16="http://schemas.microsoft.com/office/drawing/2014/main" id="{00000000-0008-0000-0100-00002A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371" name="Line 38">
          <a:extLst>
            <a:ext uri="{FF2B5EF4-FFF2-40B4-BE49-F238E27FC236}">
              <a16:creationId xmlns:a16="http://schemas.microsoft.com/office/drawing/2014/main" id="{00000000-0008-0000-0100-00002B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372" name="Line 39">
          <a:extLst>
            <a:ext uri="{FF2B5EF4-FFF2-40B4-BE49-F238E27FC236}">
              <a16:creationId xmlns:a16="http://schemas.microsoft.com/office/drawing/2014/main" id="{00000000-0008-0000-0100-00002C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373" name="Line 40">
          <a:extLst>
            <a:ext uri="{FF2B5EF4-FFF2-40B4-BE49-F238E27FC236}">
              <a16:creationId xmlns:a16="http://schemas.microsoft.com/office/drawing/2014/main" id="{00000000-0008-0000-0100-00002D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374" name="Line 41">
          <a:extLst>
            <a:ext uri="{FF2B5EF4-FFF2-40B4-BE49-F238E27FC236}">
              <a16:creationId xmlns:a16="http://schemas.microsoft.com/office/drawing/2014/main" id="{00000000-0008-0000-0100-00002E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375" name="Rectangle 42">
          <a:extLst>
            <a:ext uri="{FF2B5EF4-FFF2-40B4-BE49-F238E27FC236}">
              <a16:creationId xmlns:a16="http://schemas.microsoft.com/office/drawing/2014/main" id="{00000000-0008-0000-0100-00002F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76" name="Line 43">
          <a:extLst>
            <a:ext uri="{FF2B5EF4-FFF2-40B4-BE49-F238E27FC236}">
              <a16:creationId xmlns:a16="http://schemas.microsoft.com/office/drawing/2014/main" id="{00000000-0008-0000-0100-000030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77" name="Line 44">
          <a:extLst>
            <a:ext uri="{FF2B5EF4-FFF2-40B4-BE49-F238E27FC236}">
              <a16:creationId xmlns:a16="http://schemas.microsoft.com/office/drawing/2014/main" id="{00000000-0008-0000-0100-000031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378" name="Line 45">
          <a:extLst>
            <a:ext uri="{FF2B5EF4-FFF2-40B4-BE49-F238E27FC236}">
              <a16:creationId xmlns:a16="http://schemas.microsoft.com/office/drawing/2014/main" id="{00000000-0008-0000-0100-000032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379" name="Line 46">
          <a:extLst>
            <a:ext uri="{FF2B5EF4-FFF2-40B4-BE49-F238E27FC236}">
              <a16:creationId xmlns:a16="http://schemas.microsoft.com/office/drawing/2014/main" id="{00000000-0008-0000-0100-000033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380" name="Line 47">
          <a:extLst>
            <a:ext uri="{FF2B5EF4-FFF2-40B4-BE49-F238E27FC236}">
              <a16:creationId xmlns:a16="http://schemas.microsoft.com/office/drawing/2014/main" id="{00000000-0008-0000-0100-0000340D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381" name="Line 48">
          <a:extLst>
            <a:ext uri="{FF2B5EF4-FFF2-40B4-BE49-F238E27FC236}">
              <a16:creationId xmlns:a16="http://schemas.microsoft.com/office/drawing/2014/main" id="{00000000-0008-0000-0100-0000350D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382" name="Line 49">
          <a:extLst>
            <a:ext uri="{FF2B5EF4-FFF2-40B4-BE49-F238E27FC236}">
              <a16:creationId xmlns:a16="http://schemas.microsoft.com/office/drawing/2014/main" id="{00000000-0008-0000-0100-0000360D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383" name="Line 50">
          <a:extLst>
            <a:ext uri="{FF2B5EF4-FFF2-40B4-BE49-F238E27FC236}">
              <a16:creationId xmlns:a16="http://schemas.microsoft.com/office/drawing/2014/main" id="{00000000-0008-0000-0100-0000370D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384" name="Line 51">
          <a:extLst>
            <a:ext uri="{FF2B5EF4-FFF2-40B4-BE49-F238E27FC236}">
              <a16:creationId xmlns:a16="http://schemas.microsoft.com/office/drawing/2014/main" id="{00000000-0008-0000-0100-0000380D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385" name="Line 52">
          <a:extLst>
            <a:ext uri="{FF2B5EF4-FFF2-40B4-BE49-F238E27FC236}">
              <a16:creationId xmlns:a16="http://schemas.microsoft.com/office/drawing/2014/main" id="{00000000-0008-0000-0100-0000390D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386" name="Line 53">
          <a:extLst>
            <a:ext uri="{FF2B5EF4-FFF2-40B4-BE49-F238E27FC236}">
              <a16:creationId xmlns:a16="http://schemas.microsoft.com/office/drawing/2014/main" id="{00000000-0008-0000-0100-00003A0D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387" name="Line 54">
          <a:extLst>
            <a:ext uri="{FF2B5EF4-FFF2-40B4-BE49-F238E27FC236}">
              <a16:creationId xmlns:a16="http://schemas.microsoft.com/office/drawing/2014/main" id="{00000000-0008-0000-0100-00003B0D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388" name="Line 55">
          <a:extLst>
            <a:ext uri="{FF2B5EF4-FFF2-40B4-BE49-F238E27FC236}">
              <a16:creationId xmlns:a16="http://schemas.microsoft.com/office/drawing/2014/main" id="{00000000-0008-0000-0100-00003C0D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389" name="Line 56">
          <a:extLst>
            <a:ext uri="{FF2B5EF4-FFF2-40B4-BE49-F238E27FC236}">
              <a16:creationId xmlns:a16="http://schemas.microsoft.com/office/drawing/2014/main" id="{00000000-0008-0000-0100-00003D0D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390" name="Rectangle 57">
          <a:extLst>
            <a:ext uri="{FF2B5EF4-FFF2-40B4-BE49-F238E27FC236}">
              <a16:creationId xmlns:a16="http://schemas.microsoft.com/office/drawing/2014/main" id="{00000000-0008-0000-0100-00003E0D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391" name="Line 58">
          <a:extLst>
            <a:ext uri="{FF2B5EF4-FFF2-40B4-BE49-F238E27FC236}">
              <a16:creationId xmlns:a16="http://schemas.microsoft.com/office/drawing/2014/main" id="{00000000-0008-0000-0100-00003F0D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392" name="Line 59">
          <a:extLst>
            <a:ext uri="{FF2B5EF4-FFF2-40B4-BE49-F238E27FC236}">
              <a16:creationId xmlns:a16="http://schemas.microsoft.com/office/drawing/2014/main" id="{00000000-0008-0000-0100-0000400D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393" name="Line 60">
          <a:extLst>
            <a:ext uri="{FF2B5EF4-FFF2-40B4-BE49-F238E27FC236}">
              <a16:creationId xmlns:a16="http://schemas.microsoft.com/office/drawing/2014/main" id="{00000000-0008-0000-0100-0000410D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394" name="Line 61">
          <a:extLst>
            <a:ext uri="{FF2B5EF4-FFF2-40B4-BE49-F238E27FC236}">
              <a16:creationId xmlns:a16="http://schemas.microsoft.com/office/drawing/2014/main" id="{00000000-0008-0000-0100-000042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395" name="Line 62">
          <a:extLst>
            <a:ext uri="{FF2B5EF4-FFF2-40B4-BE49-F238E27FC236}">
              <a16:creationId xmlns:a16="http://schemas.microsoft.com/office/drawing/2014/main" id="{00000000-0008-0000-0100-000043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396" name="Line 63">
          <a:extLst>
            <a:ext uri="{FF2B5EF4-FFF2-40B4-BE49-F238E27FC236}">
              <a16:creationId xmlns:a16="http://schemas.microsoft.com/office/drawing/2014/main" id="{00000000-0008-0000-0100-000044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397" name="Line 64">
          <a:extLst>
            <a:ext uri="{FF2B5EF4-FFF2-40B4-BE49-F238E27FC236}">
              <a16:creationId xmlns:a16="http://schemas.microsoft.com/office/drawing/2014/main" id="{00000000-0008-0000-0100-000045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398" name="Line 65">
          <a:extLst>
            <a:ext uri="{FF2B5EF4-FFF2-40B4-BE49-F238E27FC236}">
              <a16:creationId xmlns:a16="http://schemas.microsoft.com/office/drawing/2014/main" id="{00000000-0008-0000-0100-000046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399" name="Line 66">
          <a:extLst>
            <a:ext uri="{FF2B5EF4-FFF2-40B4-BE49-F238E27FC236}">
              <a16:creationId xmlns:a16="http://schemas.microsoft.com/office/drawing/2014/main" id="{00000000-0008-0000-0100-000047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400" name="Line 67">
          <a:extLst>
            <a:ext uri="{FF2B5EF4-FFF2-40B4-BE49-F238E27FC236}">
              <a16:creationId xmlns:a16="http://schemas.microsoft.com/office/drawing/2014/main" id="{00000000-0008-0000-0100-000048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401" name="Line 68">
          <a:extLst>
            <a:ext uri="{FF2B5EF4-FFF2-40B4-BE49-F238E27FC236}">
              <a16:creationId xmlns:a16="http://schemas.microsoft.com/office/drawing/2014/main" id="{00000000-0008-0000-0100-000049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402" name="Line 1">
          <a:extLst>
            <a:ext uri="{FF2B5EF4-FFF2-40B4-BE49-F238E27FC236}">
              <a16:creationId xmlns:a16="http://schemas.microsoft.com/office/drawing/2014/main" id="{00000000-0008-0000-0100-00004A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403" name="Drawing 16">
          <a:extLst>
            <a:ext uri="{FF2B5EF4-FFF2-40B4-BE49-F238E27FC236}">
              <a16:creationId xmlns:a16="http://schemas.microsoft.com/office/drawing/2014/main" id="{00000000-0008-0000-0100-00004B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404" name="Line 3">
          <a:extLst>
            <a:ext uri="{FF2B5EF4-FFF2-40B4-BE49-F238E27FC236}">
              <a16:creationId xmlns:a16="http://schemas.microsoft.com/office/drawing/2014/main" id="{00000000-0008-0000-0100-00004C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405" name="Line 4">
          <a:extLst>
            <a:ext uri="{FF2B5EF4-FFF2-40B4-BE49-F238E27FC236}">
              <a16:creationId xmlns:a16="http://schemas.microsoft.com/office/drawing/2014/main" id="{00000000-0008-0000-0100-00004D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406" name="Line 5">
          <a:extLst>
            <a:ext uri="{FF2B5EF4-FFF2-40B4-BE49-F238E27FC236}">
              <a16:creationId xmlns:a16="http://schemas.microsoft.com/office/drawing/2014/main" id="{00000000-0008-0000-0100-00004E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407" name="Line 6">
          <a:extLst>
            <a:ext uri="{FF2B5EF4-FFF2-40B4-BE49-F238E27FC236}">
              <a16:creationId xmlns:a16="http://schemas.microsoft.com/office/drawing/2014/main" id="{00000000-0008-0000-0100-00004F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408" name="Line 7">
          <a:extLst>
            <a:ext uri="{FF2B5EF4-FFF2-40B4-BE49-F238E27FC236}">
              <a16:creationId xmlns:a16="http://schemas.microsoft.com/office/drawing/2014/main" id="{00000000-0008-0000-0100-000050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409" name="Line 8">
          <a:extLst>
            <a:ext uri="{FF2B5EF4-FFF2-40B4-BE49-F238E27FC236}">
              <a16:creationId xmlns:a16="http://schemas.microsoft.com/office/drawing/2014/main" id="{00000000-0008-0000-0100-000051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410" name="Line 9">
          <a:extLst>
            <a:ext uri="{FF2B5EF4-FFF2-40B4-BE49-F238E27FC236}">
              <a16:creationId xmlns:a16="http://schemas.microsoft.com/office/drawing/2014/main" id="{00000000-0008-0000-0100-000052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411" name="Line 10">
          <a:extLst>
            <a:ext uri="{FF2B5EF4-FFF2-40B4-BE49-F238E27FC236}">
              <a16:creationId xmlns:a16="http://schemas.microsoft.com/office/drawing/2014/main" id="{00000000-0008-0000-0100-000053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412" name="Line 11">
          <a:extLst>
            <a:ext uri="{FF2B5EF4-FFF2-40B4-BE49-F238E27FC236}">
              <a16:creationId xmlns:a16="http://schemas.microsoft.com/office/drawing/2014/main" id="{00000000-0008-0000-0100-000054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413" name="Line 12">
          <a:extLst>
            <a:ext uri="{FF2B5EF4-FFF2-40B4-BE49-F238E27FC236}">
              <a16:creationId xmlns:a16="http://schemas.microsoft.com/office/drawing/2014/main" id="{00000000-0008-0000-0100-000055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414" name="Line 13">
          <a:extLst>
            <a:ext uri="{FF2B5EF4-FFF2-40B4-BE49-F238E27FC236}">
              <a16:creationId xmlns:a16="http://schemas.microsoft.com/office/drawing/2014/main" id="{00000000-0008-0000-0100-000056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15" name="Line 14">
          <a:extLst>
            <a:ext uri="{FF2B5EF4-FFF2-40B4-BE49-F238E27FC236}">
              <a16:creationId xmlns:a16="http://schemas.microsoft.com/office/drawing/2014/main" id="{00000000-0008-0000-0100-000057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416" name="Line 15">
          <a:extLst>
            <a:ext uri="{FF2B5EF4-FFF2-40B4-BE49-F238E27FC236}">
              <a16:creationId xmlns:a16="http://schemas.microsoft.com/office/drawing/2014/main" id="{00000000-0008-0000-0100-000058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17" name="Line 16">
          <a:extLst>
            <a:ext uri="{FF2B5EF4-FFF2-40B4-BE49-F238E27FC236}">
              <a16:creationId xmlns:a16="http://schemas.microsoft.com/office/drawing/2014/main" id="{00000000-0008-0000-0100-000059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418" name="Line 17">
          <a:extLst>
            <a:ext uri="{FF2B5EF4-FFF2-40B4-BE49-F238E27FC236}">
              <a16:creationId xmlns:a16="http://schemas.microsoft.com/office/drawing/2014/main" id="{00000000-0008-0000-0100-00005A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419" name="Line 18">
          <a:extLst>
            <a:ext uri="{FF2B5EF4-FFF2-40B4-BE49-F238E27FC236}">
              <a16:creationId xmlns:a16="http://schemas.microsoft.com/office/drawing/2014/main" id="{00000000-0008-0000-0100-00005B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420" name="Line 19">
          <a:extLst>
            <a:ext uri="{FF2B5EF4-FFF2-40B4-BE49-F238E27FC236}">
              <a16:creationId xmlns:a16="http://schemas.microsoft.com/office/drawing/2014/main" id="{00000000-0008-0000-0100-00005C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421" name="Line 20">
          <a:extLst>
            <a:ext uri="{FF2B5EF4-FFF2-40B4-BE49-F238E27FC236}">
              <a16:creationId xmlns:a16="http://schemas.microsoft.com/office/drawing/2014/main" id="{00000000-0008-0000-0100-00005D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422" name="Line 21">
          <a:extLst>
            <a:ext uri="{FF2B5EF4-FFF2-40B4-BE49-F238E27FC236}">
              <a16:creationId xmlns:a16="http://schemas.microsoft.com/office/drawing/2014/main" id="{00000000-0008-0000-0100-00005E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423" name="Line 22">
          <a:extLst>
            <a:ext uri="{FF2B5EF4-FFF2-40B4-BE49-F238E27FC236}">
              <a16:creationId xmlns:a16="http://schemas.microsoft.com/office/drawing/2014/main" id="{00000000-0008-0000-0100-00005F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424" name="Line 23">
          <a:extLst>
            <a:ext uri="{FF2B5EF4-FFF2-40B4-BE49-F238E27FC236}">
              <a16:creationId xmlns:a16="http://schemas.microsoft.com/office/drawing/2014/main" id="{00000000-0008-0000-0100-000060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425" name="Line 24">
          <a:extLst>
            <a:ext uri="{FF2B5EF4-FFF2-40B4-BE49-F238E27FC236}">
              <a16:creationId xmlns:a16="http://schemas.microsoft.com/office/drawing/2014/main" id="{00000000-0008-0000-0100-000061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426" name="Line 25">
          <a:extLst>
            <a:ext uri="{FF2B5EF4-FFF2-40B4-BE49-F238E27FC236}">
              <a16:creationId xmlns:a16="http://schemas.microsoft.com/office/drawing/2014/main" id="{00000000-0008-0000-0100-000062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427" name="Line 26">
          <a:extLst>
            <a:ext uri="{FF2B5EF4-FFF2-40B4-BE49-F238E27FC236}">
              <a16:creationId xmlns:a16="http://schemas.microsoft.com/office/drawing/2014/main" id="{00000000-0008-0000-0100-000063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428" name="Line 27">
          <a:extLst>
            <a:ext uri="{FF2B5EF4-FFF2-40B4-BE49-F238E27FC236}">
              <a16:creationId xmlns:a16="http://schemas.microsoft.com/office/drawing/2014/main" id="{00000000-0008-0000-0100-000064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429" name="Line 28">
          <a:extLst>
            <a:ext uri="{FF2B5EF4-FFF2-40B4-BE49-F238E27FC236}">
              <a16:creationId xmlns:a16="http://schemas.microsoft.com/office/drawing/2014/main" id="{00000000-0008-0000-0100-000065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430" name="Line 29">
          <a:extLst>
            <a:ext uri="{FF2B5EF4-FFF2-40B4-BE49-F238E27FC236}">
              <a16:creationId xmlns:a16="http://schemas.microsoft.com/office/drawing/2014/main" id="{00000000-0008-0000-0100-000066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431" name="Line 30">
          <a:extLst>
            <a:ext uri="{FF2B5EF4-FFF2-40B4-BE49-F238E27FC236}">
              <a16:creationId xmlns:a16="http://schemas.microsoft.com/office/drawing/2014/main" id="{00000000-0008-0000-0100-000067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432" name="Line 31">
          <a:extLst>
            <a:ext uri="{FF2B5EF4-FFF2-40B4-BE49-F238E27FC236}">
              <a16:creationId xmlns:a16="http://schemas.microsoft.com/office/drawing/2014/main" id="{00000000-0008-0000-0100-000068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433" name="Line 32">
          <a:extLst>
            <a:ext uri="{FF2B5EF4-FFF2-40B4-BE49-F238E27FC236}">
              <a16:creationId xmlns:a16="http://schemas.microsoft.com/office/drawing/2014/main" id="{00000000-0008-0000-0100-000069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434" name="Line 33">
          <a:extLst>
            <a:ext uri="{FF2B5EF4-FFF2-40B4-BE49-F238E27FC236}">
              <a16:creationId xmlns:a16="http://schemas.microsoft.com/office/drawing/2014/main" id="{00000000-0008-0000-0100-00006A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435" name="Line 34">
          <a:extLst>
            <a:ext uri="{FF2B5EF4-FFF2-40B4-BE49-F238E27FC236}">
              <a16:creationId xmlns:a16="http://schemas.microsoft.com/office/drawing/2014/main" id="{00000000-0008-0000-0100-00006B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436" name="Line 35">
          <a:extLst>
            <a:ext uri="{FF2B5EF4-FFF2-40B4-BE49-F238E27FC236}">
              <a16:creationId xmlns:a16="http://schemas.microsoft.com/office/drawing/2014/main" id="{00000000-0008-0000-0100-00006C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437" name="Line 36">
          <a:extLst>
            <a:ext uri="{FF2B5EF4-FFF2-40B4-BE49-F238E27FC236}">
              <a16:creationId xmlns:a16="http://schemas.microsoft.com/office/drawing/2014/main" id="{00000000-0008-0000-0100-00006D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438" name="Line 37">
          <a:extLst>
            <a:ext uri="{FF2B5EF4-FFF2-40B4-BE49-F238E27FC236}">
              <a16:creationId xmlns:a16="http://schemas.microsoft.com/office/drawing/2014/main" id="{00000000-0008-0000-0100-00006E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439" name="Line 38">
          <a:extLst>
            <a:ext uri="{FF2B5EF4-FFF2-40B4-BE49-F238E27FC236}">
              <a16:creationId xmlns:a16="http://schemas.microsoft.com/office/drawing/2014/main" id="{00000000-0008-0000-0100-00006F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440" name="Line 39">
          <a:extLst>
            <a:ext uri="{FF2B5EF4-FFF2-40B4-BE49-F238E27FC236}">
              <a16:creationId xmlns:a16="http://schemas.microsoft.com/office/drawing/2014/main" id="{00000000-0008-0000-0100-000070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441" name="Line 40">
          <a:extLst>
            <a:ext uri="{FF2B5EF4-FFF2-40B4-BE49-F238E27FC236}">
              <a16:creationId xmlns:a16="http://schemas.microsoft.com/office/drawing/2014/main" id="{00000000-0008-0000-0100-000071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442" name="Line 41">
          <a:extLst>
            <a:ext uri="{FF2B5EF4-FFF2-40B4-BE49-F238E27FC236}">
              <a16:creationId xmlns:a16="http://schemas.microsoft.com/office/drawing/2014/main" id="{00000000-0008-0000-0100-000072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443" name="Rectangle 42">
          <a:extLst>
            <a:ext uri="{FF2B5EF4-FFF2-40B4-BE49-F238E27FC236}">
              <a16:creationId xmlns:a16="http://schemas.microsoft.com/office/drawing/2014/main" id="{00000000-0008-0000-0100-000073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444" name="Line 43">
          <a:extLst>
            <a:ext uri="{FF2B5EF4-FFF2-40B4-BE49-F238E27FC236}">
              <a16:creationId xmlns:a16="http://schemas.microsoft.com/office/drawing/2014/main" id="{00000000-0008-0000-0100-000074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445" name="Line 44">
          <a:extLst>
            <a:ext uri="{FF2B5EF4-FFF2-40B4-BE49-F238E27FC236}">
              <a16:creationId xmlns:a16="http://schemas.microsoft.com/office/drawing/2014/main" id="{00000000-0008-0000-0100-000075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446" name="Line 45">
          <a:extLst>
            <a:ext uri="{FF2B5EF4-FFF2-40B4-BE49-F238E27FC236}">
              <a16:creationId xmlns:a16="http://schemas.microsoft.com/office/drawing/2014/main" id="{00000000-0008-0000-0100-000076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447" name="Line 46">
          <a:extLst>
            <a:ext uri="{FF2B5EF4-FFF2-40B4-BE49-F238E27FC236}">
              <a16:creationId xmlns:a16="http://schemas.microsoft.com/office/drawing/2014/main" id="{00000000-0008-0000-0100-000077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448" name="Line 47">
          <a:extLst>
            <a:ext uri="{FF2B5EF4-FFF2-40B4-BE49-F238E27FC236}">
              <a16:creationId xmlns:a16="http://schemas.microsoft.com/office/drawing/2014/main" id="{00000000-0008-0000-0100-0000780D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449" name="Line 48">
          <a:extLst>
            <a:ext uri="{FF2B5EF4-FFF2-40B4-BE49-F238E27FC236}">
              <a16:creationId xmlns:a16="http://schemas.microsoft.com/office/drawing/2014/main" id="{00000000-0008-0000-0100-0000790D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450" name="Line 49">
          <a:extLst>
            <a:ext uri="{FF2B5EF4-FFF2-40B4-BE49-F238E27FC236}">
              <a16:creationId xmlns:a16="http://schemas.microsoft.com/office/drawing/2014/main" id="{00000000-0008-0000-0100-00007A0D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451" name="Line 50">
          <a:extLst>
            <a:ext uri="{FF2B5EF4-FFF2-40B4-BE49-F238E27FC236}">
              <a16:creationId xmlns:a16="http://schemas.microsoft.com/office/drawing/2014/main" id="{00000000-0008-0000-0100-00007B0D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452" name="Line 51">
          <a:extLst>
            <a:ext uri="{FF2B5EF4-FFF2-40B4-BE49-F238E27FC236}">
              <a16:creationId xmlns:a16="http://schemas.microsoft.com/office/drawing/2014/main" id="{00000000-0008-0000-0100-00007C0D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453" name="Line 52">
          <a:extLst>
            <a:ext uri="{FF2B5EF4-FFF2-40B4-BE49-F238E27FC236}">
              <a16:creationId xmlns:a16="http://schemas.microsoft.com/office/drawing/2014/main" id="{00000000-0008-0000-0100-00007D0D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454" name="Line 53">
          <a:extLst>
            <a:ext uri="{FF2B5EF4-FFF2-40B4-BE49-F238E27FC236}">
              <a16:creationId xmlns:a16="http://schemas.microsoft.com/office/drawing/2014/main" id="{00000000-0008-0000-0100-00007E0D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455" name="Line 54">
          <a:extLst>
            <a:ext uri="{FF2B5EF4-FFF2-40B4-BE49-F238E27FC236}">
              <a16:creationId xmlns:a16="http://schemas.microsoft.com/office/drawing/2014/main" id="{00000000-0008-0000-0100-00007F0D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456" name="Line 55">
          <a:extLst>
            <a:ext uri="{FF2B5EF4-FFF2-40B4-BE49-F238E27FC236}">
              <a16:creationId xmlns:a16="http://schemas.microsoft.com/office/drawing/2014/main" id="{00000000-0008-0000-0100-0000800D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457" name="Line 56">
          <a:extLst>
            <a:ext uri="{FF2B5EF4-FFF2-40B4-BE49-F238E27FC236}">
              <a16:creationId xmlns:a16="http://schemas.microsoft.com/office/drawing/2014/main" id="{00000000-0008-0000-0100-0000810D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458" name="Rectangle 57">
          <a:extLst>
            <a:ext uri="{FF2B5EF4-FFF2-40B4-BE49-F238E27FC236}">
              <a16:creationId xmlns:a16="http://schemas.microsoft.com/office/drawing/2014/main" id="{00000000-0008-0000-0100-0000820D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459" name="Line 58">
          <a:extLst>
            <a:ext uri="{FF2B5EF4-FFF2-40B4-BE49-F238E27FC236}">
              <a16:creationId xmlns:a16="http://schemas.microsoft.com/office/drawing/2014/main" id="{00000000-0008-0000-0100-0000830D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460" name="Line 59">
          <a:extLst>
            <a:ext uri="{FF2B5EF4-FFF2-40B4-BE49-F238E27FC236}">
              <a16:creationId xmlns:a16="http://schemas.microsoft.com/office/drawing/2014/main" id="{00000000-0008-0000-0100-0000840D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461" name="Line 60">
          <a:extLst>
            <a:ext uri="{FF2B5EF4-FFF2-40B4-BE49-F238E27FC236}">
              <a16:creationId xmlns:a16="http://schemas.microsoft.com/office/drawing/2014/main" id="{00000000-0008-0000-0100-0000850D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462" name="Line 61">
          <a:extLst>
            <a:ext uri="{FF2B5EF4-FFF2-40B4-BE49-F238E27FC236}">
              <a16:creationId xmlns:a16="http://schemas.microsoft.com/office/drawing/2014/main" id="{00000000-0008-0000-0100-000086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463" name="Line 62">
          <a:extLst>
            <a:ext uri="{FF2B5EF4-FFF2-40B4-BE49-F238E27FC236}">
              <a16:creationId xmlns:a16="http://schemas.microsoft.com/office/drawing/2014/main" id="{00000000-0008-0000-0100-000087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464" name="Line 63">
          <a:extLst>
            <a:ext uri="{FF2B5EF4-FFF2-40B4-BE49-F238E27FC236}">
              <a16:creationId xmlns:a16="http://schemas.microsoft.com/office/drawing/2014/main" id="{00000000-0008-0000-0100-000088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465" name="Line 64">
          <a:extLst>
            <a:ext uri="{FF2B5EF4-FFF2-40B4-BE49-F238E27FC236}">
              <a16:creationId xmlns:a16="http://schemas.microsoft.com/office/drawing/2014/main" id="{00000000-0008-0000-0100-000089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466" name="Line 65">
          <a:extLst>
            <a:ext uri="{FF2B5EF4-FFF2-40B4-BE49-F238E27FC236}">
              <a16:creationId xmlns:a16="http://schemas.microsoft.com/office/drawing/2014/main" id="{00000000-0008-0000-0100-00008A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467" name="Line 66">
          <a:extLst>
            <a:ext uri="{FF2B5EF4-FFF2-40B4-BE49-F238E27FC236}">
              <a16:creationId xmlns:a16="http://schemas.microsoft.com/office/drawing/2014/main" id="{00000000-0008-0000-0100-00008B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468" name="Line 67">
          <a:extLst>
            <a:ext uri="{FF2B5EF4-FFF2-40B4-BE49-F238E27FC236}">
              <a16:creationId xmlns:a16="http://schemas.microsoft.com/office/drawing/2014/main" id="{00000000-0008-0000-0100-00008C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469" name="Line 68">
          <a:extLst>
            <a:ext uri="{FF2B5EF4-FFF2-40B4-BE49-F238E27FC236}">
              <a16:creationId xmlns:a16="http://schemas.microsoft.com/office/drawing/2014/main" id="{00000000-0008-0000-0100-00008D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470" name="Line 1">
          <a:extLst>
            <a:ext uri="{FF2B5EF4-FFF2-40B4-BE49-F238E27FC236}">
              <a16:creationId xmlns:a16="http://schemas.microsoft.com/office/drawing/2014/main" id="{00000000-0008-0000-0100-00008E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471" name="Drawing 16">
          <a:extLst>
            <a:ext uri="{FF2B5EF4-FFF2-40B4-BE49-F238E27FC236}">
              <a16:creationId xmlns:a16="http://schemas.microsoft.com/office/drawing/2014/main" id="{00000000-0008-0000-0100-00008F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472" name="Line 3">
          <a:extLst>
            <a:ext uri="{FF2B5EF4-FFF2-40B4-BE49-F238E27FC236}">
              <a16:creationId xmlns:a16="http://schemas.microsoft.com/office/drawing/2014/main" id="{00000000-0008-0000-0100-000090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473" name="Line 4">
          <a:extLst>
            <a:ext uri="{FF2B5EF4-FFF2-40B4-BE49-F238E27FC236}">
              <a16:creationId xmlns:a16="http://schemas.microsoft.com/office/drawing/2014/main" id="{00000000-0008-0000-0100-000091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474" name="Line 5">
          <a:extLst>
            <a:ext uri="{FF2B5EF4-FFF2-40B4-BE49-F238E27FC236}">
              <a16:creationId xmlns:a16="http://schemas.microsoft.com/office/drawing/2014/main" id="{00000000-0008-0000-0100-000092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475" name="Line 6">
          <a:extLst>
            <a:ext uri="{FF2B5EF4-FFF2-40B4-BE49-F238E27FC236}">
              <a16:creationId xmlns:a16="http://schemas.microsoft.com/office/drawing/2014/main" id="{00000000-0008-0000-0100-000093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476" name="Line 7">
          <a:extLst>
            <a:ext uri="{FF2B5EF4-FFF2-40B4-BE49-F238E27FC236}">
              <a16:creationId xmlns:a16="http://schemas.microsoft.com/office/drawing/2014/main" id="{00000000-0008-0000-0100-000094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477" name="Line 8">
          <a:extLst>
            <a:ext uri="{FF2B5EF4-FFF2-40B4-BE49-F238E27FC236}">
              <a16:creationId xmlns:a16="http://schemas.microsoft.com/office/drawing/2014/main" id="{00000000-0008-0000-0100-000095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478" name="Line 9">
          <a:extLst>
            <a:ext uri="{FF2B5EF4-FFF2-40B4-BE49-F238E27FC236}">
              <a16:creationId xmlns:a16="http://schemas.microsoft.com/office/drawing/2014/main" id="{00000000-0008-0000-0100-000096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479" name="Line 10">
          <a:extLst>
            <a:ext uri="{FF2B5EF4-FFF2-40B4-BE49-F238E27FC236}">
              <a16:creationId xmlns:a16="http://schemas.microsoft.com/office/drawing/2014/main" id="{00000000-0008-0000-0100-000097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480" name="Line 11">
          <a:extLst>
            <a:ext uri="{FF2B5EF4-FFF2-40B4-BE49-F238E27FC236}">
              <a16:creationId xmlns:a16="http://schemas.microsoft.com/office/drawing/2014/main" id="{00000000-0008-0000-0100-000098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481" name="Line 12">
          <a:extLst>
            <a:ext uri="{FF2B5EF4-FFF2-40B4-BE49-F238E27FC236}">
              <a16:creationId xmlns:a16="http://schemas.microsoft.com/office/drawing/2014/main" id="{00000000-0008-0000-0100-000099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482" name="Line 13">
          <a:extLst>
            <a:ext uri="{FF2B5EF4-FFF2-40B4-BE49-F238E27FC236}">
              <a16:creationId xmlns:a16="http://schemas.microsoft.com/office/drawing/2014/main" id="{00000000-0008-0000-0100-00009A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83" name="Line 14">
          <a:extLst>
            <a:ext uri="{FF2B5EF4-FFF2-40B4-BE49-F238E27FC236}">
              <a16:creationId xmlns:a16="http://schemas.microsoft.com/office/drawing/2014/main" id="{00000000-0008-0000-0100-00009B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484" name="Line 15">
          <a:extLst>
            <a:ext uri="{FF2B5EF4-FFF2-40B4-BE49-F238E27FC236}">
              <a16:creationId xmlns:a16="http://schemas.microsoft.com/office/drawing/2014/main" id="{00000000-0008-0000-0100-00009C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85" name="Line 16">
          <a:extLst>
            <a:ext uri="{FF2B5EF4-FFF2-40B4-BE49-F238E27FC236}">
              <a16:creationId xmlns:a16="http://schemas.microsoft.com/office/drawing/2014/main" id="{00000000-0008-0000-0100-00009D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486" name="Line 17">
          <a:extLst>
            <a:ext uri="{FF2B5EF4-FFF2-40B4-BE49-F238E27FC236}">
              <a16:creationId xmlns:a16="http://schemas.microsoft.com/office/drawing/2014/main" id="{00000000-0008-0000-0100-00009E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487" name="Line 18">
          <a:extLst>
            <a:ext uri="{FF2B5EF4-FFF2-40B4-BE49-F238E27FC236}">
              <a16:creationId xmlns:a16="http://schemas.microsoft.com/office/drawing/2014/main" id="{00000000-0008-0000-0100-00009F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488" name="Line 19">
          <a:extLst>
            <a:ext uri="{FF2B5EF4-FFF2-40B4-BE49-F238E27FC236}">
              <a16:creationId xmlns:a16="http://schemas.microsoft.com/office/drawing/2014/main" id="{00000000-0008-0000-0100-0000A0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489" name="Line 20">
          <a:extLst>
            <a:ext uri="{FF2B5EF4-FFF2-40B4-BE49-F238E27FC236}">
              <a16:creationId xmlns:a16="http://schemas.microsoft.com/office/drawing/2014/main" id="{00000000-0008-0000-0100-0000A1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490" name="Line 21">
          <a:extLst>
            <a:ext uri="{FF2B5EF4-FFF2-40B4-BE49-F238E27FC236}">
              <a16:creationId xmlns:a16="http://schemas.microsoft.com/office/drawing/2014/main" id="{00000000-0008-0000-0100-0000A2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491" name="Line 22">
          <a:extLst>
            <a:ext uri="{FF2B5EF4-FFF2-40B4-BE49-F238E27FC236}">
              <a16:creationId xmlns:a16="http://schemas.microsoft.com/office/drawing/2014/main" id="{00000000-0008-0000-0100-0000A3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492" name="Line 23">
          <a:extLst>
            <a:ext uri="{FF2B5EF4-FFF2-40B4-BE49-F238E27FC236}">
              <a16:creationId xmlns:a16="http://schemas.microsoft.com/office/drawing/2014/main" id="{00000000-0008-0000-0100-0000A4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493" name="Line 24">
          <a:extLst>
            <a:ext uri="{FF2B5EF4-FFF2-40B4-BE49-F238E27FC236}">
              <a16:creationId xmlns:a16="http://schemas.microsoft.com/office/drawing/2014/main" id="{00000000-0008-0000-0100-0000A5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494" name="Line 25">
          <a:extLst>
            <a:ext uri="{FF2B5EF4-FFF2-40B4-BE49-F238E27FC236}">
              <a16:creationId xmlns:a16="http://schemas.microsoft.com/office/drawing/2014/main" id="{00000000-0008-0000-0100-0000A6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495" name="Line 26">
          <a:extLst>
            <a:ext uri="{FF2B5EF4-FFF2-40B4-BE49-F238E27FC236}">
              <a16:creationId xmlns:a16="http://schemas.microsoft.com/office/drawing/2014/main" id="{00000000-0008-0000-0100-0000A7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496" name="Line 27">
          <a:extLst>
            <a:ext uri="{FF2B5EF4-FFF2-40B4-BE49-F238E27FC236}">
              <a16:creationId xmlns:a16="http://schemas.microsoft.com/office/drawing/2014/main" id="{00000000-0008-0000-0100-0000A8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497" name="Line 28">
          <a:extLst>
            <a:ext uri="{FF2B5EF4-FFF2-40B4-BE49-F238E27FC236}">
              <a16:creationId xmlns:a16="http://schemas.microsoft.com/office/drawing/2014/main" id="{00000000-0008-0000-0100-0000A9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498" name="Line 29">
          <a:extLst>
            <a:ext uri="{FF2B5EF4-FFF2-40B4-BE49-F238E27FC236}">
              <a16:creationId xmlns:a16="http://schemas.microsoft.com/office/drawing/2014/main" id="{00000000-0008-0000-0100-0000AA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499" name="Line 30">
          <a:extLst>
            <a:ext uri="{FF2B5EF4-FFF2-40B4-BE49-F238E27FC236}">
              <a16:creationId xmlns:a16="http://schemas.microsoft.com/office/drawing/2014/main" id="{00000000-0008-0000-0100-0000AB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500" name="Line 31">
          <a:extLst>
            <a:ext uri="{FF2B5EF4-FFF2-40B4-BE49-F238E27FC236}">
              <a16:creationId xmlns:a16="http://schemas.microsoft.com/office/drawing/2014/main" id="{00000000-0008-0000-0100-0000AC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501" name="Line 32">
          <a:extLst>
            <a:ext uri="{FF2B5EF4-FFF2-40B4-BE49-F238E27FC236}">
              <a16:creationId xmlns:a16="http://schemas.microsoft.com/office/drawing/2014/main" id="{00000000-0008-0000-0100-0000AD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502" name="Line 33">
          <a:extLst>
            <a:ext uri="{FF2B5EF4-FFF2-40B4-BE49-F238E27FC236}">
              <a16:creationId xmlns:a16="http://schemas.microsoft.com/office/drawing/2014/main" id="{00000000-0008-0000-0100-0000AE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503" name="Line 34">
          <a:extLst>
            <a:ext uri="{FF2B5EF4-FFF2-40B4-BE49-F238E27FC236}">
              <a16:creationId xmlns:a16="http://schemas.microsoft.com/office/drawing/2014/main" id="{00000000-0008-0000-0100-0000AF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504" name="Line 35">
          <a:extLst>
            <a:ext uri="{FF2B5EF4-FFF2-40B4-BE49-F238E27FC236}">
              <a16:creationId xmlns:a16="http://schemas.microsoft.com/office/drawing/2014/main" id="{00000000-0008-0000-0100-0000B0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505" name="Line 36">
          <a:extLst>
            <a:ext uri="{FF2B5EF4-FFF2-40B4-BE49-F238E27FC236}">
              <a16:creationId xmlns:a16="http://schemas.microsoft.com/office/drawing/2014/main" id="{00000000-0008-0000-0100-0000B1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506" name="Line 37">
          <a:extLst>
            <a:ext uri="{FF2B5EF4-FFF2-40B4-BE49-F238E27FC236}">
              <a16:creationId xmlns:a16="http://schemas.microsoft.com/office/drawing/2014/main" id="{00000000-0008-0000-0100-0000B2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507" name="Line 38">
          <a:extLst>
            <a:ext uri="{FF2B5EF4-FFF2-40B4-BE49-F238E27FC236}">
              <a16:creationId xmlns:a16="http://schemas.microsoft.com/office/drawing/2014/main" id="{00000000-0008-0000-0100-0000B3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508" name="Line 39">
          <a:extLst>
            <a:ext uri="{FF2B5EF4-FFF2-40B4-BE49-F238E27FC236}">
              <a16:creationId xmlns:a16="http://schemas.microsoft.com/office/drawing/2014/main" id="{00000000-0008-0000-0100-0000B4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509" name="Line 40">
          <a:extLst>
            <a:ext uri="{FF2B5EF4-FFF2-40B4-BE49-F238E27FC236}">
              <a16:creationId xmlns:a16="http://schemas.microsoft.com/office/drawing/2014/main" id="{00000000-0008-0000-0100-0000B5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510" name="Line 41">
          <a:extLst>
            <a:ext uri="{FF2B5EF4-FFF2-40B4-BE49-F238E27FC236}">
              <a16:creationId xmlns:a16="http://schemas.microsoft.com/office/drawing/2014/main" id="{00000000-0008-0000-0100-0000B6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511" name="Rectangle 42">
          <a:extLst>
            <a:ext uri="{FF2B5EF4-FFF2-40B4-BE49-F238E27FC236}">
              <a16:creationId xmlns:a16="http://schemas.microsoft.com/office/drawing/2014/main" id="{00000000-0008-0000-0100-0000B7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12" name="Line 43">
          <a:extLst>
            <a:ext uri="{FF2B5EF4-FFF2-40B4-BE49-F238E27FC236}">
              <a16:creationId xmlns:a16="http://schemas.microsoft.com/office/drawing/2014/main" id="{00000000-0008-0000-0100-0000B8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13" name="Line 44">
          <a:extLst>
            <a:ext uri="{FF2B5EF4-FFF2-40B4-BE49-F238E27FC236}">
              <a16:creationId xmlns:a16="http://schemas.microsoft.com/office/drawing/2014/main" id="{00000000-0008-0000-0100-0000B9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514" name="Line 45">
          <a:extLst>
            <a:ext uri="{FF2B5EF4-FFF2-40B4-BE49-F238E27FC236}">
              <a16:creationId xmlns:a16="http://schemas.microsoft.com/office/drawing/2014/main" id="{00000000-0008-0000-0100-0000BA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515" name="Line 46">
          <a:extLst>
            <a:ext uri="{FF2B5EF4-FFF2-40B4-BE49-F238E27FC236}">
              <a16:creationId xmlns:a16="http://schemas.microsoft.com/office/drawing/2014/main" id="{00000000-0008-0000-0100-0000BB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516" name="Line 47">
          <a:extLst>
            <a:ext uri="{FF2B5EF4-FFF2-40B4-BE49-F238E27FC236}">
              <a16:creationId xmlns:a16="http://schemas.microsoft.com/office/drawing/2014/main" id="{00000000-0008-0000-0100-0000BC0D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517" name="Line 48">
          <a:extLst>
            <a:ext uri="{FF2B5EF4-FFF2-40B4-BE49-F238E27FC236}">
              <a16:creationId xmlns:a16="http://schemas.microsoft.com/office/drawing/2014/main" id="{00000000-0008-0000-0100-0000BD0D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518" name="Line 49">
          <a:extLst>
            <a:ext uri="{FF2B5EF4-FFF2-40B4-BE49-F238E27FC236}">
              <a16:creationId xmlns:a16="http://schemas.microsoft.com/office/drawing/2014/main" id="{00000000-0008-0000-0100-0000BE0D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519" name="Line 50">
          <a:extLst>
            <a:ext uri="{FF2B5EF4-FFF2-40B4-BE49-F238E27FC236}">
              <a16:creationId xmlns:a16="http://schemas.microsoft.com/office/drawing/2014/main" id="{00000000-0008-0000-0100-0000BF0D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520" name="Line 51">
          <a:extLst>
            <a:ext uri="{FF2B5EF4-FFF2-40B4-BE49-F238E27FC236}">
              <a16:creationId xmlns:a16="http://schemas.microsoft.com/office/drawing/2014/main" id="{00000000-0008-0000-0100-0000C00D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521" name="Line 52">
          <a:extLst>
            <a:ext uri="{FF2B5EF4-FFF2-40B4-BE49-F238E27FC236}">
              <a16:creationId xmlns:a16="http://schemas.microsoft.com/office/drawing/2014/main" id="{00000000-0008-0000-0100-0000C10D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522" name="Line 53">
          <a:extLst>
            <a:ext uri="{FF2B5EF4-FFF2-40B4-BE49-F238E27FC236}">
              <a16:creationId xmlns:a16="http://schemas.microsoft.com/office/drawing/2014/main" id="{00000000-0008-0000-0100-0000C20D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523" name="Line 54">
          <a:extLst>
            <a:ext uri="{FF2B5EF4-FFF2-40B4-BE49-F238E27FC236}">
              <a16:creationId xmlns:a16="http://schemas.microsoft.com/office/drawing/2014/main" id="{00000000-0008-0000-0100-0000C30D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524" name="Line 55">
          <a:extLst>
            <a:ext uri="{FF2B5EF4-FFF2-40B4-BE49-F238E27FC236}">
              <a16:creationId xmlns:a16="http://schemas.microsoft.com/office/drawing/2014/main" id="{00000000-0008-0000-0100-0000C40D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525" name="Line 56">
          <a:extLst>
            <a:ext uri="{FF2B5EF4-FFF2-40B4-BE49-F238E27FC236}">
              <a16:creationId xmlns:a16="http://schemas.microsoft.com/office/drawing/2014/main" id="{00000000-0008-0000-0100-0000C50D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526" name="Rectangle 57">
          <a:extLst>
            <a:ext uri="{FF2B5EF4-FFF2-40B4-BE49-F238E27FC236}">
              <a16:creationId xmlns:a16="http://schemas.microsoft.com/office/drawing/2014/main" id="{00000000-0008-0000-0100-0000C60D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527" name="Line 58">
          <a:extLst>
            <a:ext uri="{FF2B5EF4-FFF2-40B4-BE49-F238E27FC236}">
              <a16:creationId xmlns:a16="http://schemas.microsoft.com/office/drawing/2014/main" id="{00000000-0008-0000-0100-0000C70D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528" name="Line 59">
          <a:extLst>
            <a:ext uri="{FF2B5EF4-FFF2-40B4-BE49-F238E27FC236}">
              <a16:creationId xmlns:a16="http://schemas.microsoft.com/office/drawing/2014/main" id="{00000000-0008-0000-0100-0000C80D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529" name="Line 60">
          <a:extLst>
            <a:ext uri="{FF2B5EF4-FFF2-40B4-BE49-F238E27FC236}">
              <a16:creationId xmlns:a16="http://schemas.microsoft.com/office/drawing/2014/main" id="{00000000-0008-0000-0100-0000C90D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530" name="Line 61">
          <a:extLst>
            <a:ext uri="{FF2B5EF4-FFF2-40B4-BE49-F238E27FC236}">
              <a16:creationId xmlns:a16="http://schemas.microsoft.com/office/drawing/2014/main" id="{00000000-0008-0000-0100-0000CA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531" name="Line 62">
          <a:extLst>
            <a:ext uri="{FF2B5EF4-FFF2-40B4-BE49-F238E27FC236}">
              <a16:creationId xmlns:a16="http://schemas.microsoft.com/office/drawing/2014/main" id="{00000000-0008-0000-0100-0000CB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532" name="Line 63">
          <a:extLst>
            <a:ext uri="{FF2B5EF4-FFF2-40B4-BE49-F238E27FC236}">
              <a16:creationId xmlns:a16="http://schemas.microsoft.com/office/drawing/2014/main" id="{00000000-0008-0000-0100-0000CC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533" name="Line 64">
          <a:extLst>
            <a:ext uri="{FF2B5EF4-FFF2-40B4-BE49-F238E27FC236}">
              <a16:creationId xmlns:a16="http://schemas.microsoft.com/office/drawing/2014/main" id="{00000000-0008-0000-0100-0000CD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534" name="Line 65">
          <a:extLst>
            <a:ext uri="{FF2B5EF4-FFF2-40B4-BE49-F238E27FC236}">
              <a16:creationId xmlns:a16="http://schemas.microsoft.com/office/drawing/2014/main" id="{00000000-0008-0000-0100-0000CE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535" name="Line 66">
          <a:extLst>
            <a:ext uri="{FF2B5EF4-FFF2-40B4-BE49-F238E27FC236}">
              <a16:creationId xmlns:a16="http://schemas.microsoft.com/office/drawing/2014/main" id="{00000000-0008-0000-0100-0000CF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536" name="Line 67">
          <a:extLst>
            <a:ext uri="{FF2B5EF4-FFF2-40B4-BE49-F238E27FC236}">
              <a16:creationId xmlns:a16="http://schemas.microsoft.com/office/drawing/2014/main" id="{00000000-0008-0000-0100-0000D0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537" name="Line 68">
          <a:extLst>
            <a:ext uri="{FF2B5EF4-FFF2-40B4-BE49-F238E27FC236}">
              <a16:creationId xmlns:a16="http://schemas.microsoft.com/office/drawing/2014/main" id="{00000000-0008-0000-0100-0000D1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538" name="Line 1">
          <a:extLst>
            <a:ext uri="{FF2B5EF4-FFF2-40B4-BE49-F238E27FC236}">
              <a16:creationId xmlns:a16="http://schemas.microsoft.com/office/drawing/2014/main" id="{00000000-0008-0000-0100-0000D2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539" name="Drawing 16">
          <a:extLst>
            <a:ext uri="{FF2B5EF4-FFF2-40B4-BE49-F238E27FC236}">
              <a16:creationId xmlns:a16="http://schemas.microsoft.com/office/drawing/2014/main" id="{00000000-0008-0000-0100-0000D3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540" name="Line 3">
          <a:extLst>
            <a:ext uri="{FF2B5EF4-FFF2-40B4-BE49-F238E27FC236}">
              <a16:creationId xmlns:a16="http://schemas.microsoft.com/office/drawing/2014/main" id="{00000000-0008-0000-0100-0000D4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541" name="Line 4">
          <a:extLst>
            <a:ext uri="{FF2B5EF4-FFF2-40B4-BE49-F238E27FC236}">
              <a16:creationId xmlns:a16="http://schemas.microsoft.com/office/drawing/2014/main" id="{00000000-0008-0000-0100-0000D5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542" name="Line 5">
          <a:extLst>
            <a:ext uri="{FF2B5EF4-FFF2-40B4-BE49-F238E27FC236}">
              <a16:creationId xmlns:a16="http://schemas.microsoft.com/office/drawing/2014/main" id="{00000000-0008-0000-0100-0000D6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543" name="Line 6">
          <a:extLst>
            <a:ext uri="{FF2B5EF4-FFF2-40B4-BE49-F238E27FC236}">
              <a16:creationId xmlns:a16="http://schemas.microsoft.com/office/drawing/2014/main" id="{00000000-0008-0000-0100-0000D7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544" name="Line 7">
          <a:extLst>
            <a:ext uri="{FF2B5EF4-FFF2-40B4-BE49-F238E27FC236}">
              <a16:creationId xmlns:a16="http://schemas.microsoft.com/office/drawing/2014/main" id="{00000000-0008-0000-0100-0000D8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545" name="Line 8">
          <a:extLst>
            <a:ext uri="{FF2B5EF4-FFF2-40B4-BE49-F238E27FC236}">
              <a16:creationId xmlns:a16="http://schemas.microsoft.com/office/drawing/2014/main" id="{00000000-0008-0000-0100-0000D9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546" name="Line 9">
          <a:extLst>
            <a:ext uri="{FF2B5EF4-FFF2-40B4-BE49-F238E27FC236}">
              <a16:creationId xmlns:a16="http://schemas.microsoft.com/office/drawing/2014/main" id="{00000000-0008-0000-0100-0000DA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547" name="Line 10">
          <a:extLst>
            <a:ext uri="{FF2B5EF4-FFF2-40B4-BE49-F238E27FC236}">
              <a16:creationId xmlns:a16="http://schemas.microsoft.com/office/drawing/2014/main" id="{00000000-0008-0000-0100-0000DB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548" name="Line 11">
          <a:extLst>
            <a:ext uri="{FF2B5EF4-FFF2-40B4-BE49-F238E27FC236}">
              <a16:creationId xmlns:a16="http://schemas.microsoft.com/office/drawing/2014/main" id="{00000000-0008-0000-0100-0000DC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549" name="Line 12">
          <a:extLst>
            <a:ext uri="{FF2B5EF4-FFF2-40B4-BE49-F238E27FC236}">
              <a16:creationId xmlns:a16="http://schemas.microsoft.com/office/drawing/2014/main" id="{00000000-0008-0000-0100-0000DD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550" name="Line 13">
          <a:extLst>
            <a:ext uri="{FF2B5EF4-FFF2-40B4-BE49-F238E27FC236}">
              <a16:creationId xmlns:a16="http://schemas.microsoft.com/office/drawing/2014/main" id="{00000000-0008-0000-0100-0000DE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51" name="Line 14">
          <a:extLst>
            <a:ext uri="{FF2B5EF4-FFF2-40B4-BE49-F238E27FC236}">
              <a16:creationId xmlns:a16="http://schemas.microsoft.com/office/drawing/2014/main" id="{00000000-0008-0000-0100-0000DF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552" name="Line 15">
          <a:extLst>
            <a:ext uri="{FF2B5EF4-FFF2-40B4-BE49-F238E27FC236}">
              <a16:creationId xmlns:a16="http://schemas.microsoft.com/office/drawing/2014/main" id="{00000000-0008-0000-0100-0000E0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53" name="Line 16">
          <a:extLst>
            <a:ext uri="{FF2B5EF4-FFF2-40B4-BE49-F238E27FC236}">
              <a16:creationId xmlns:a16="http://schemas.microsoft.com/office/drawing/2014/main" id="{00000000-0008-0000-0100-0000E1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554" name="Line 17">
          <a:extLst>
            <a:ext uri="{FF2B5EF4-FFF2-40B4-BE49-F238E27FC236}">
              <a16:creationId xmlns:a16="http://schemas.microsoft.com/office/drawing/2014/main" id="{00000000-0008-0000-0100-0000E2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555" name="Line 18">
          <a:extLst>
            <a:ext uri="{FF2B5EF4-FFF2-40B4-BE49-F238E27FC236}">
              <a16:creationId xmlns:a16="http://schemas.microsoft.com/office/drawing/2014/main" id="{00000000-0008-0000-0100-0000E3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556" name="Line 19">
          <a:extLst>
            <a:ext uri="{FF2B5EF4-FFF2-40B4-BE49-F238E27FC236}">
              <a16:creationId xmlns:a16="http://schemas.microsoft.com/office/drawing/2014/main" id="{00000000-0008-0000-0100-0000E4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557" name="Line 20">
          <a:extLst>
            <a:ext uri="{FF2B5EF4-FFF2-40B4-BE49-F238E27FC236}">
              <a16:creationId xmlns:a16="http://schemas.microsoft.com/office/drawing/2014/main" id="{00000000-0008-0000-0100-0000E5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558" name="Line 21">
          <a:extLst>
            <a:ext uri="{FF2B5EF4-FFF2-40B4-BE49-F238E27FC236}">
              <a16:creationId xmlns:a16="http://schemas.microsoft.com/office/drawing/2014/main" id="{00000000-0008-0000-0100-0000E6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559" name="Line 22">
          <a:extLst>
            <a:ext uri="{FF2B5EF4-FFF2-40B4-BE49-F238E27FC236}">
              <a16:creationId xmlns:a16="http://schemas.microsoft.com/office/drawing/2014/main" id="{00000000-0008-0000-0100-0000E7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560" name="Line 23">
          <a:extLst>
            <a:ext uri="{FF2B5EF4-FFF2-40B4-BE49-F238E27FC236}">
              <a16:creationId xmlns:a16="http://schemas.microsoft.com/office/drawing/2014/main" id="{00000000-0008-0000-0100-0000E8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561" name="Line 24">
          <a:extLst>
            <a:ext uri="{FF2B5EF4-FFF2-40B4-BE49-F238E27FC236}">
              <a16:creationId xmlns:a16="http://schemas.microsoft.com/office/drawing/2014/main" id="{00000000-0008-0000-0100-0000E9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562" name="Line 25">
          <a:extLst>
            <a:ext uri="{FF2B5EF4-FFF2-40B4-BE49-F238E27FC236}">
              <a16:creationId xmlns:a16="http://schemas.microsoft.com/office/drawing/2014/main" id="{00000000-0008-0000-0100-0000EA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563" name="Line 26">
          <a:extLst>
            <a:ext uri="{FF2B5EF4-FFF2-40B4-BE49-F238E27FC236}">
              <a16:creationId xmlns:a16="http://schemas.microsoft.com/office/drawing/2014/main" id="{00000000-0008-0000-0100-0000EB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564" name="Line 27">
          <a:extLst>
            <a:ext uri="{FF2B5EF4-FFF2-40B4-BE49-F238E27FC236}">
              <a16:creationId xmlns:a16="http://schemas.microsoft.com/office/drawing/2014/main" id="{00000000-0008-0000-0100-0000EC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565" name="Line 28">
          <a:extLst>
            <a:ext uri="{FF2B5EF4-FFF2-40B4-BE49-F238E27FC236}">
              <a16:creationId xmlns:a16="http://schemas.microsoft.com/office/drawing/2014/main" id="{00000000-0008-0000-0100-0000ED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566" name="Line 29">
          <a:extLst>
            <a:ext uri="{FF2B5EF4-FFF2-40B4-BE49-F238E27FC236}">
              <a16:creationId xmlns:a16="http://schemas.microsoft.com/office/drawing/2014/main" id="{00000000-0008-0000-0100-0000EE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567" name="Line 30">
          <a:extLst>
            <a:ext uri="{FF2B5EF4-FFF2-40B4-BE49-F238E27FC236}">
              <a16:creationId xmlns:a16="http://schemas.microsoft.com/office/drawing/2014/main" id="{00000000-0008-0000-0100-0000EF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568" name="Line 31">
          <a:extLst>
            <a:ext uri="{FF2B5EF4-FFF2-40B4-BE49-F238E27FC236}">
              <a16:creationId xmlns:a16="http://schemas.microsoft.com/office/drawing/2014/main" id="{00000000-0008-0000-0100-0000F0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569" name="Line 32">
          <a:extLst>
            <a:ext uri="{FF2B5EF4-FFF2-40B4-BE49-F238E27FC236}">
              <a16:creationId xmlns:a16="http://schemas.microsoft.com/office/drawing/2014/main" id="{00000000-0008-0000-0100-0000F1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570" name="Line 33">
          <a:extLst>
            <a:ext uri="{FF2B5EF4-FFF2-40B4-BE49-F238E27FC236}">
              <a16:creationId xmlns:a16="http://schemas.microsoft.com/office/drawing/2014/main" id="{00000000-0008-0000-0100-0000F2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571" name="Line 34">
          <a:extLst>
            <a:ext uri="{FF2B5EF4-FFF2-40B4-BE49-F238E27FC236}">
              <a16:creationId xmlns:a16="http://schemas.microsoft.com/office/drawing/2014/main" id="{00000000-0008-0000-0100-0000F3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572" name="Line 35">
          <a:extLst>
            <a:ext uri="{FF2B5EF4-FFF2-40B4-BE49-F238E27FC236}">
              <a16:creationId xmlns:a16="http://schemas.microsoft.com/office/drawing/2014/main" id="{00000000-0008-0000-0100-0000F4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573" name="Line 36">
          <a:extLst>
            <a:ext uri="{FF2B5EF4-FFF2-40B4-BE49-F238E27FC236}">
              <a16:creationId xmlns:a16="http://schemas.microsoft.com/office/drawing/2014/main" id="{00000000-0008-0000-0100-0000F5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574" name="Line 37">
          <a:extLst>
            <a:ext uri="{FF2B5EF4-FFF2-40B4-BE49-F238E27FC236}">
              <a16:creationId xmlns:a16="http://schemas.microsoft.com/office/drawing/2014/main" id="{00000000-0008-0000-0100-0000F6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575" name="Line 38">
          <a:extLst>
            <a:ext uri="{FF2B5EF4-FFF2-40B4-BE49-F238E27FC236}">
              <a16:creationId xmlns:a16="http://schemas.microsoft.com/office/drawing/2014/main" id="{00000000-0008-0000-0100-0000F7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576" name="Line 39">
          <a:extLst>
            <a:ext uri="{FF2B5EF4-FFF2-40B4-BE49-F238E27FC236}">
              <a16:creationId xmlns:a16="http://schemas.microsoft.com/office/drawing/2014/main" id="{00000000-0008-0000-0100-0000F8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577" name="Line 40">
          <a:extLst>
            <a:ext uri="{FF2B5EF4-FFF2-40B4-BE49-F238E27FC236}">
              <a16:creationId xmlns:a16="http://schemas.microsoft.com/office/drawing/2014/main" id="{00000000-0008-0000-0100-0000F9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578" name="Line 41">
          <a:extLst>
            <a:ext uri="{FF2B5EF4-FFF2-40B4-BE49-F238E27FC236}">
              <a16:creationId xmlns:a16="http://schemas.microsoft.com/office/drawing/2014/main" id="{00000000-0008-0000-0100-0000FA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579" name="Rectangle 42">
          <a:extLst>
            <a:ext uri="{FF2B5EF4-FFF2-40B4-BE49-F238E27FC236}">
              <a16:creationId xmlns:a16="http://schemas.microsoft.com/office/drawing/2014/main" id="{00000000-0008-0000-0100-0000FB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80" name="Line 43">
          <a:extLst>
            <a:ext uri="{FF2B5EF4-FFF2-40B4-BE49-F238E27FC236}">
              <a16:creationId xmlns:a16="http://schemas.microsoft.com/office/drawing/2014/main" id="{00000000-0008-0000-0100-0000FC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81" name="Line 44">
          <a:extLst>
            <a:ext uri="{FF2B5EF4-FFF2-40B4-BE49-F238E27FC236}">
              <a16:creationId xmlns:a16="http://schemas.microsoft.com/office/drawing/2014/main" id="{00000000-0008-0000-0100-0000FD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582" name="Line 45">
          <a:extLst>
            <a:ext uri="{FF2B5EF4-FFF2-40B4-BE49-F238E27FC236}">
              <a16:creationId xmlns:a16="http://schemas.microsoft.com/office/drawing/2014/main" id="{00000000-0008-0000-0100-0000FE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583" name="Line 46">
          <a:extLst>
            <a:ext uri="{FF2B5EF4-FFF2-40B4-BE49-F238E27FC236}">
              <a16:creationId xmlns:a16="http://schemas.microsoft.com/office/drawing/2014/main" id="{00000000-0008-0000-0100-0000FF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584" name="Line 47">
          <a:extLst>
            <a:ext uri="{FF2B5EF4-FFF2-40B4-BE49-F238E27FC236}">
              <a16:creationId xmlns:a16="http://schemas.microsoft.com/office/drawing/2014/main" id="{00000000-0008-0000-0100-000000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585" name="Line 48">
          <a:extLst>
            <a:ext uri="{FF2B5EF4-FFF2-40B4-BE49-F238E27FC236}">
              <a16:creationId xmlns:a16="http://schemas.microsoft.com/office/drawing/2014/main" id="{00000000-0008-0000-0100-000001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586" name="Line 49">
          <a:extLst>
            <a:ext uri="{FF2B5EF4-FFF2-40B4-BE49-F238E27FC236}">
              <a16:creationId xmlns:a16="http://schemas.microsoft.com/office/drawing/2014/main" id="{00000000-0008-0000-0100-000002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587" name="Line 50">
          <a:extLst>
            <a:ext uri="{FF2B5EF4-FFF2-40B4-BE49-F238E27FC236}">
              <a16:creationId xmlns:a16="http://schemas.microsoft.com/office/drawing/2014/main" id="{00000000-0008-0000-0100-000003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588" name="Line 51">
          <a:extLst>
            <a:ext uri="{FF2B5EF4-FFF2-40B4-BE49-F238E27FC236}">
              <a16:creationId xmlns:a16="http://schemas.microsoft.com/office/drawing/2014/main" id="{00000000-0008-0000-0100-000004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589" name="Line 52">
          <a:extLst>
            <a:ext uri="{FF2B5EF4-FFF2-40B4-BE49-F238E27FC236}">
              <a16:creationId xmlns:a16="http://schemas.microsoft.com/office/drawing/2014/main" id="{00000000-0008-0000-0100-000005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590" name="Line 53">
          <a:extLst>
            <a:ext uri="{FF2B5EF4-FFF2-40B4-BE49-F238E27FC236}">
              <a16:creationId xmlns:a16="http://schemas.microsoft.com/office/drawing/2014/main" id="{00000000-0008-0000-0100-000006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591" name="Line 54">
          <a:extLst>
            <a:ext uri="{FF2B5EF4-FFF2-40B4-BE49-F238E27FC236}">
              <a16:creationId xmlns:a16="http://schemas.microsoft.com/office/drawing/2014/main" id="{00000000-0008-0000-0100-000007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592" name="Line 55">
          <a:extLst>
            <a:ext uri="{FF2B5EF4-FFF2-40B4-BE49-F238E27FC236}">
              <a16:creationId xmlns:a16="http://schemas.microsoft.com/office/drawing/2014/main" id="{00000000-0008-0000-0100-000008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593" name="Line 56">
          <a:extLst>
            <a:ext uri="{FF2B5EF4-FFF2-40B4-BE49-F238E27FC236}">
              <a16:creationId xmlns:a16="http://schemas.microsoft.com/office/drawing/2014/main" id="{00000000-0008-0000-0100-000009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594" name="Rectangle 57">
          <a:extLst>
            <a:ext uri="{FF2B5EF4-FFF2-40B4-BE49-F238E27FC236}">
              <a16:creationId xmlns:a16="http://schemas.microsoft.com/office/drawing/2014/main" id="{00000000-0008-0000-0100-00000A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595" name="Line 58">
          <a:extLst>
            <a:ext uri="{FF2B5EF4-FFF2-40B4-BE49-F238E27FC236}">
              <a16:creationId xmlns:a16="http://schemas.microsoft.com/office/drawing/2014/main" id="{00000000-0008-0000-0100-00000B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596" name="Line 59">
          <a:extLst>
            <a:ext uri="{FF2B5EF4-FFF2-40B4-BE49-F238E27FC236}">
              <a16:creationId xmlns:a16="http://schemas.microsoft.com/office/drawing/2014/main" id="{00000000-0008-0000-0100-00000C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597" name="Line 60">
          <a:extLst>
            <a:ext uri="{FF2B5EF4-FFF2-40B4-BE49-F238E27FC236}">
              <a16:creationId xmlns:a16="http://schemas.microsoft.com/office/drawing/2014/main" id="{00000000-0008-0000-0100-00000D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598" name="Line 61">
          <a:extLst>
            <a:ext uri="{FF2B5EF4-FFF2-40B4-BE49-F238E27FC236}">
              <a16:creationId xmlns:a16="http://schemas.microsoft.com/office/drawing/2014/main" id="{00000000-0008-0000-0100-00000E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599" name="Line 62">
          <a:extLst>
            <a:ext uri="{FF2B5EF4-FFF2-40B4-BE49-F238E27FC236}">
              <a16:creationId xmlns:a16="http://schemas.microsoft.com/office/drawing/2014/main" id="{00000000-0008-0000-0100-00000F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600" name="Line 63">
          <a:extLst>
            <a:ext uri="{FF2B5EF4-FFF2-40B4-BE49-F238E27FC236}">
              <a16:creationId xmlns:a16="http://schemas.microsoft.com/office/drawing/2014/main" id="{00000000-0008-0000-0100-000010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601" name="Line 64">
          <a:extLst>
            <a:ext uri="{FF2B5EF4-FFF2-40B4-BE49-F238E27FC236}">
              <a16:creationId xmlns:a16="http://schemas.microsoft.com/office/drawing/2014/main" id="{00000000-0008-0000-0100-000011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602" name="Line 65">
          <a:extLst>
            <a:ext uri="{FF2B5EF4-FFF2-40B4-BE49-F238E27FC236}">
              <a16:creationId xmlns:a16="http://schemas.microsoft.com/office/drawing/2014/main" id="{00000000-0008-0000-0100-000012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603" name="Line 66">
          <a:extLst>
            <a:ext uri="{FF2B5EF4-FFF2-40B4-BE49-F238E27FC236}">
              <a16:creationId xmlns:a16="http://schemas.microsoft.com/office/drawing/2014/main" id="{00000000-0008-0000-0100-000013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604" name="Line 67">
          <a:extLst>
            <a:ext uri="{FF2B5EF4-FFF2-40B4-BE49-F238E27FC236}">
              <a16:creationId xmlns:a16="http://schemas.microsoft.com/office/drawing/2014/main" id="{00000000-0008-0000-0100-000014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605" name="Line 68">
          <a:extLst>
            <a:ext uri="{FF2B5EF4-FFF2-40B4-BE49-F238E27FC236}">
              <a16:creationId xmlns:a16="http://schemas.microsoft.com/office/drawing/2014/main" id="{00000000-0008-0000-0100-000015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606" name="Line 1">
          <a:extLst>
            <a:ext uri="{FF2B5EF4-FFF2-40B4-BE49-F238E27FC236}">
              <a16:creationId xmlns:a16="http://schemas.microsoft.com/office/drawing/2014/main" id="{00000000-0008-0000-0100-000016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607" name="Drawing 16">
          <a:extLst>
            <a:ext uri="{FF2B5EF4-FFF2-40B4-BE49-F238E27FC236}">
              <a16:creationId xmlns:a16="http://schemas.microsoft.com/office/drawing/2014/main" id="{00000000-0008-0000-0100-000017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608" name="Line 3">
          <a:extLst>
            <a:ext uri="{FF2B5EF4-FFF2-40B4-BE49-F238E27FC236}">
              <a16:creationId xmlns:a16="http://schemas.microsoft.com/office/drawing/2014/main" id="{00000000-0008-0000-0100-000018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609" name="Line 4">
          <a:extLst>
            <a:ext uri="{FF2B5EF4-FFF2-40B4-BE49-F238E27FC236}">
              <a16:creationId xmlns:a16="http://schemas.microsoft.com/office/drawing/2014/main" id="{00000000-0008-0000-0100-000019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610" name="Line 5">
          <a:extLst>
            <a:ext uri="{FF2B5EF4-FFF2-40B4-BE49-F238E27FC236}">
              <a16:creationId xmlns:a16="http://schemas.microsoft.com/office/drawing/2014/main" id="{00000000-0008-0000-0100-00001A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611" name="Line 6">
          <a:extLst>
            <a:ext uri="{FF2B5EF4-FFF2-40B4-BE49-F238E27FC236}">
              <a16:creationId xmlns:a16="http://schemas.microsoft.com/office/drawing/2014/main" id="{00000000-0008-0000-0100-00001B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612" name="Line 7">
          <a:extLst>
            <a:ext uri="{FF2B5EF4-FFF2-40B4-BE49-F238E27FC236}">
              <a16:creationId xmlns:a16="http://schemas.microsoft.com/office/drawing/2014/main" id="{00000000-0008-0000-0100-00001C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613" name="Line 8">
          <a:extLst>
            <a:ext uri="{FF2B5EF4-FFF2-40B4-BE49-F238E27FC236}">
              <a16:creationId xmlns:a16="http://schemas.microsoft.com/office/drawing/2014/main" id="{00000000-0008-0000-0100-00001D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614" name="Line 9">
          <a:extLst>
            <a:ext uri="{FF2B5EF4-FFF2-40B4-BE49-F238E27FC236}">
              <a16:creationId xmlns:a16="http://schemas.microsoft.com/office/drawing/2014/main" id="{00000000-0008-0000-0100-00001E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615" name="Line 10">
          <a:extLst>
            <a:ext uri="{FF2B5EF4-FFF2-40B4-BE49-F238E27FC236}">
              <a16:creationId xmlns:a16="http://schemas.microsoft.com/office/drawing/2014/main" id="{00000000-0008-0000-0100-00001F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616" name="Line 11">
          <a:extLst>
            <a:ext uri="{FF2B5EF4-FFF2-40B4-BE49-F238E27FC236}">
              <a16:creationId xmlns:a16="http://schemas.microsoft.com/office/drawing/2014/main" id="{00000000-0008-0000-0100-000020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617" name="Line 12">
          <a:extLst>
            <a:ext uri="{FF2B5EF4-FFF2-40B4-BE49-F238E27FC236}">
              <a16:creationId xmlns:a16="http://schemas.microsoft.com/office/drawing/2014/main" id="{00000000-0008-0000-0100-000021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618" name="Line 13">
          <a:extLst>
            <a:ext uri="{FF2B5EF4-FFF2-40B4-BE49-F238E27FC236}">
              <a16:creationId xmlns:a16="http://schemas.microsoft.com/office/drawing/2014/main" id="{00000000-0008-0000-0100-000022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19" name="Line 14">
          <a:extLst>
            <a:ext uri="{FF2B5EF4-FFF2-40B4-BE49-F238E27FC236}">
              <a16:creationId xmlns:a16="http://schemas.microsoft.com/office/drawing/2014/main" id="{00000000-0008-0000-0100-000023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620" name="Line 15">
          <a:extLst>
            <a:ext uri="{FF2B5EF4-FFF2-40B4-BE49-F238E27FC236}">
              <a16:creationId xmlns:a16="http://schemas.microsoft.com/office/drawing/2014/main" id="{00000000-0008-0000-0100-000024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21" name="Line 16">
          <a:extLst>
            <a:ext uri="{FF2B5EF4-FFF2-40B4-BE49-F238E27FC236}">
              <a16:creationId xmlns:a16="http://schemas.microsoft.com/office/drawing/2014/main" id="{00000000-0008-0000-0100-000025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622" name="Line 17">
          <a:extLst>
            <a:ext uri="{FF2B5EF4-FFF2-40B4-BE49-F238E27FC236}">
              <a16:creationId xmlns:a16="http://schemas.microsoft.com/office/drawing/2014/main" id="{00000000-0008-0000-0100-000026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623" name="Line 18">
          <a:extLst>
            <a:ext uri="{FF2B5EF4-FFF2-40B4-BE49-F238E27FC236}">
              <a16:creationId xmlns:a16="http://schemas.microsoft.com/office/drawing/2014/main" id="{00000000-0008-0000-0100-000027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624" name="Line 19">
          <a:extLst>
            <a:ext uri="{FF2B5EF4-FFF2-40B4-BE49-F238E27FC236}">
              <a16:creationId xmlns:a16="http://schemas.microsoft.com/office/drawing/2014/main" id="{00000000-0008-0000-0100-000028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625" name="Line 20">
          <a:extLst>
            <a:ext uri="{FF2B5EF4-FFF2-40B4-BE49-F238E27FC236}">
              <a16:creationId xmlns:a16="http://schemas.microsoft.com/office/drawing/2014/main" id="{00000000-0008-0000-0100-000029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626" name="Line 21">
          <a:extLst>
            <a:ext uri="{FF2B5EF4-FFF2-40B4-BE49-F238E27FC236}">
              <a16:creationId xmlns:a16="http://schemas.microsoft.com/office/drawing/2014/main" id="{00000000-0008-0000-0100-00002A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627" name="Line 22">
          <a:extLst>
            <a:ext uri="{FF2B5EF4-FFF2-40B4-BE49-F238E27FC236}">
              <a16:creationId xmlns:a16="http://schemas.microsoft.com/office/drawing/2014/main" id="{00000000-0008-0000-0100-00002B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628" name="Line 23">
          <a:extLst>
            <a:ext uri="{FF2B5EF4-FFF2-40B4-BE49-F238E27FC236}">
              <a16:creationId xmlns:a16="http://schemas.microsoft.com/office/drawing/2014/main" id="{00000000-0008-0000-0100-00002C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629" name="Line 24">
          <a:extLst>
            <a:ext uri="{FF2B5EF4-FFF2-40B4-BE49-F238E27FC236}">
              <a16:creationId xmlns:a16="http://schemas.microsoft.com/office/drawing/2014/main" id="{00000000-0008-0000-0100-00002D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630" name="Line 25">
          <a:extLst>
            <a:ext uri="{FF2B5EF4-FFF2-40B4-BE49-F238E27FC236}">
              <a16:creationId xmlns:a16="http://schemas.microsoft.com/office/drawing/2014/main" id="{00000000-0008-0000-0100-00002E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631" name="Line 26">
          <a:extLst>
            <a:ext uri="{FF2B5EF4-FFF2-40B4-BE49-F238E27FC236}">
              <a16:creationId xmlns:a16="http://schemas.microsoft.com/office/drawing/2014/main" id="{00000000-0008-0000-0100-00002F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632" name="Line 27">
          <a:extLst>
            <a:ext uri="{FF2B5EF4-FFF2-40B4-BE49-F238E27FC236}">
              <a16:creationId xmlns:a16="http://schemas.microsoft.com/office/drawing/2014/main" id="{00000000-0008-0000-0100-000030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633" name="Line 28">
          <a:extLst>
            <a:ext uri="{FF2B5EF4-FFF2-40B4-BE49-F238E27FC236}">
              <a16:creationId xmlns:a16="http://schemas.microsoft.com/office/drawing/2014/main" id="{00000000-0008-0000-0100-000031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634" name="Line 29">
          <a:extLst>
            <a:ext uri="{FF2B5EF4-FFF2-40B4-BE49-F238E27FC236}">
              <a16:creationId xmlns:a16="http://schemas.microsoft.com/office/drawing/2014/main" id="{00000000-0008-0000-0100-000032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635" name="Line 30">
          <a:extLst>
            <a:ext uri="{FF2B5EF4-FFF2-40B4-BE49-F238E27FC236}">
              <a16:creationId xmlns:a16="http://schemas.microsoft.com/office/drawing/2014/main" id="{00000000-0008-0000-0100-000033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636" name="Line 31">
          <a:extLst>
            <a:ext uri="{FF2B5EF4-FFF2-40B4-BE49-F238E27FC236}">
              <a16:creationId xmlns:a16="http://schemas.microsoft.com/office/drawing/2014/main" id="{00000000-0008-0000-0100-0000340E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637" name="Line 32">
          <a:extLst>
            <a:ext uri="{FF2B5EF4-FFF2-40B4-BE49-F238E27FC236}">
              <a16:creationId xmlns:a16="http://schemas.microsoft.com/office/drawing/2014/main" id="{00000000-0008-0000-0100-0000350E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638" name="Line 33">
          <a:extLst>
            <a:ext uri="{FF2B5EF4-FFF2-40B4-BE49-F238E27FC236}">
              <a16:creationId xmlns:a16="http://schemas.microsoft.com/office/drawing/2014/main" id="{00000000-0008-0000-0100-0000360E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639" name="Line 34">
          <a:extLst>
            <a:ext uri="{FF2B5EF4-FFF2-40B4-BE49-F238E27FC236}">
              <a16:creationId xmlns:a16="http://schemas.microsoft.com/office/drawing/2014/main" id="{00000000-0008-0000-0100-0000370E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640" name="Line 35">
          <a:extLst>
            <a:ext uri="{FF2B5EF4-FFF2-40B4-BE49-F238E27FC236}">
              <a16:creationId xmlns:a16="http://schemas.microsoft.com/office/drawing/2014/main" id="{00000000-0008-0000-0100-0000380E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641" name="Line 36">
          <a:extLst>
            <a:ext uri="{FF2B5EF4-FFF2-40B4-BE49-F238E27FC236}">
              <a16:creationId xmlns:a16="http://schemas.microsoft.com/office/drawing/2014/main" id="{00000000-0008-0000-0100-0000390E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642" name="Line 37">
          <a:extLst>
            <a:ext uri="{FF2B5EF4-FFF2-40B4-BE49-F238E27FC236}">
              <a16:creationId xmlns:a16="http://schemas.microsoft.com/office/drawing/2014/main" id="{00000000-0008-0000-0100-00003A0E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643" name="Line 38">
          <a:extLst>
            <a:ext uri="{FF2B5EF4-FFF2-40B4-BE49-F238E27FC236}">
              <a16:creationId xmlns:a16="http://schemas.microsoft.com/office/drawing/2014/main" id="{00000000-0008-0000-0100-00003B0E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644" name="Line 39">
          <a:extLst>
            <a:ext uri="{FF2B5EF4-FFF2-40B4-BE49-F238E27FC236}">
              <a16:creationId xmlns:a16="http://schemas.microsoft.com/office/drawing/2014/main" id="{00000000-0008-0000-0100-00003C0E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645" name="Line 40">
          <a:extLst>
            <a:ext uri="{FF2B5EF4-FFF2-40B4-BE49-F238E27FC236}">
              <a16:creationId xmlns:a16="http://schemas.microsoft.com/office/drawing/2014/main" id="{00000000-0008-0000-0100-00003D0E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646" name="Line 41">
          <a:extLst>
            <a:ext uri="{FF2B5EF4-FFF2-40B4-BE49-F238E27FC236}">
              <a16:creationId xmlns:a16="http://schemas.microsoft.com/office/drawing/2014/main" id="{00000000-0008-0000-0100-00003E0E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647" name="Rectangle 42">
          <a:extLst>
            <a:ext uri="{FF2B5EF4-FFF2-40B4-BE49-F238E27FC236}">
              <a16:creationId xmlns:a16="http://schemas.microsoft.com/office/drawing/2014/main" id="{00000000-0008-0000-0100-00003F0E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648" name="Line 43">
          <a:extLst>
            <a:ext uri="{FF2B5EF4-FFF2-40B4-BE49-F238E27FC236}">
              <a16:creationId xmlns:a16="http://schemas.microsoft.com/office/drawing/2014/main" id="{00000000-0008-0000-0100-0000400E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649" name="Line 44">
          <a:extLst>
            <a:ext uri="{FF2B5EF4-FFF2-40B4-BE49-F238E27FC236}">
              <a16:creationId xmlns:a16="http://schemas.microsoft.com/office/drawing/2014/main" id="{00000000-0008-0000-0100-000041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650" name="Line 45">
          <a:extLst>
            <a:ext uri="{FF2B5EF4-FFF2-40B4-BE49-F238E27FC236}">
              <a16:creationId xmlns:a16="http://schemas.microsoft.com/office/drawing/2014/main" id="{00000000-0008-0000-0100-0000420E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651" name="Line 46">
          <a:extLst>
            <a:ext uri="{FF2B5EF4-FFF2-40B4-BE49-F238E27FC236}">
              <a16:creationId xmlns:a16="http://schemas.microsoft.com/office/drawing/2014/main" id="{00000000-0008-0000-0100-000043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652" name="Line 47">
          <a:extLst>
            <a:ext uri="{FF2B5EF4-FFF2-40B4-BE49-F238E27FC236}">
              <a16:creationId xmlns:a16="http://schemas.microsoft.com/office/drawing/2014/main" id="{00000000-0008-0000-0100-000044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653" name="Line 48">
          <a:extLst>
            <a:ext uri="{FF2B5EF4-FFF2-40B4-BE49-F238E27FC236}">
              <a16:creationId xmlns:a16="http://schemas.microsoft.com/office/drawing/2014/main" id="{00000000-0008-0000-0100-000045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654" name="Line 49">
          <a:extLst>
            <a:ext uri="{FF2B5EF4-FFF2-40B4-BE49-F238E27FC236}">
              <a16:creationId xmlns:a16="http://schemas.microsoft.com/office/drawing/2014/main" id="{00000000-0008-0000-0100-000046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655" name="Line 50">
          <a:extLst>
            <a:ext uri="{FF2B5EF4-FFF2-40B4-BE49-F238E27FC236}">
              <a16:creationId xmlns:a16="http://schemas.microsoft.com/office/drawing/2014/main" id="{00000000-0008-0000-0100-000047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656" name="Line 51">
          <a:extLst>
            <a:ext uri="{FF2B5EF4-FFF2-40B4-BE49-F238E27FC236}">
              <a16:creationId xmlns:a16="http://schemas.microsoft.com/office/drawing/2014/main" id="{00000000-0008-0000-0100-000048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657" name="Line 52">
          <a:extLst>
            <a:ext uri="{FF2B5EF4-FFF2-40B4-BE49-F238E27FC236}">
              <a16:creationId xmlns:a16="http://schemas.microsoft.com/office/drawing/2014/main" id="{00000000-0008-0000-0100-000049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658" name="Line 53">
          <a:extLst>
            <a:ext uri="{FF2B5EF4-FFF2-40B4-BE49-F238E27FC236}">
              <a16:creationId xmlns:a16="http://schemas.microsoft.com/office/drawing/2014/main" id="{00000000-0008-0000-0100-00004A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659" name="Line 54">
          <a:extLst>
            <a:ext uri="{FF2B5EF4-FFF2-40B4-BE49-F238E27FC236}">
              <a16:creationId xmlns:a16="http://schemas.microsoft.com/office/drawing/2014/main" id="{00000000-0008-0000-0100-00004B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660" name="Line 55">
          <a:extLst>
            <a:ext uri="{FF2B5EF4-FFF2-40B4-BE49-F238E27FC236}">
              <a16:creationId xmlns:a16="http://schemas.microsoft.com/office/drawing/2014/main" id="{00000000-0008-0000-0100-00004C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661" name="Line 56">
          <a:extLst>
            <a:ext uri="{FF2B5EF4-FFF2-40B4-BE49-F238E27FC236}">
              <a16:creationId xmlns:a16="http://schemas.microsoft.com/office/drawing/2014/main" id="{00000000-0008-0000-0100-00004D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662" name="Rectangle 57">
          <a:extLst>
            <a:ext uri="{FF2B5EF4-FFF2-40B4-BE49-F238E27FC236}">
              <a16:creationId xmlns:a16="http://schemas.microsoft.com/office/drawing/2014/main" id="{00000000-0008-0000-0100-00004E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663" name="Line 58">
          <a:extLst>
            <a:ext uri="{FF2B5EF4-FFF2-40B4-BE49-F238E27FC236}">
              <a16:creationId xmlns:a16="http://schemas.microsoft.com/office/drawing/2014/main" id="{00000000-0008-0000-0100-00004F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664" name="Line 59">
          <a:extLst>
            <a:ext uri="{FF2B5EF4-FFF2-40B4-BE49-F238E27FC236}">
              <a16:creationId xmlns:a16="http://schemas.microsoft.com/office/drawing/2014/main" id="{00000000-0008-0000-0100-000050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665" name="Line 60">
          <a:extLst>
            <a:ext uri="{FF2B5EF4-FFF2-40B4-BE49-F238E27FC236}">
              <a16:creationId xmlns:a16="http://schemas.microsoft.com/office/drawing/2014/main" id="{00000000-0008-0000-0100-000051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666" name="Line 61">
          <a:extLst>
            <a:ext uri="{FF2B5EF4-FFF2-40B4-BE49-F238E27FC236}">
              <a16:creationId xmlns:a16="http://schemas.microsoft.com/office/drawing/2014/main" id="{00000000-0008-0000-0100-000052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667" name="Line 62">
          <a:extLst>
            <a:ext uri="{FF2B5EF4-FFF2-40B4-BE49-F238E27FC236}">
              <a16:creationId xmlns:a16="http://schemas.microsoft.com/office/drawing/2014/main" id="{00000000-0008-0000-0100-000053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668" name="Line 63">
          <a:extLst>
            <a:ext uri="{FF2B5EF4-FFF2-40B4-BE49-F238E27FC236}">
              <a16:creationId xmlns:a16="http://schemas.microsoft.com/office/drawing/2014/main" id="{00000000-0008-0000-0100-000054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669" name="Line 64">
          <a:extLst>
            <a:ext uri="{FF2B5EF4-FFF2-40B4-BE49-F238E27FC236}">
              <a16:creationId xmlns:a16="http://schemas.microsoft.com/office/drawing/2014/main" id="{00000000-0008-0000-0100-000055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670" name="Line 65">
          <a:extLst>
            <a:ext uri="{FF2B5EF4-FFF2-40B4-BE49-F238E27FC236}">
              <a16:creationId xmlns:a16="http://schemas.microsoft.com/office/drawing/2014/main" id="{00000000-0008-0000-0100-000056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671" name="Line 66">
          <a:extLst>
            <a:ext uri="{FF2B5EF4-FFF2-40B4-BE49-F238E27FC236}">
              <a16:creationId xmlns:a16="http://schemas.microsoft.com/office/drawing/2014/main" id="{00000000-0008-0000-0100-000057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672" name="Line 67">
          <a:extLst>
            <a:ext uri="{FF2B5EF4-FFF2-40B4-BE49-F238E27FC236}">
              <a16:creationId xmlns:a16="http://schemas.microsoft.com/office/drawing/2014/main" id="{00000000-0008-0000-0100-000058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673" name="Line 68">
          <a:extLst>
            <a:ext uri="{FF2B5EF4-FFF2-40B4-BE49-F238E27FC236}">
              <a16:creationId xmlns:a16="http://schemas.microsoft.com/office/drawing/2014/main" id="{00000000-0008-0000-0100-000059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674" name="Line 1">
          <a:extLst>
            <a:ext uri="{FF2B5EF4-FFF2-40B4-BE49-F238E27FC236}">
              <a16:creationId xmlns:a16="http://schemas.microsoft.com/office/drawing/2014/main" id="{00000000-0008-0000-0100-00005A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675" name="Drawing 16">
          <a:extLst>
            <a:ext uri="{FF2B5EF4-FFF2-40B4-BE49-F238E27FC236}">
              <a16:creationId xmlns:a16="http://schemas.microsoft.com/office/drawing/2014/main" id="{00000000-0008-0000-0100-00005B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676" name="Line 3">
          <a:extLst>
            <a:ext uri="{FF2B5EF4-FFF2-40B4-BE49-F238E27FC236}">
              <a16:creationId xmlns:a16="http://schemas.microsoft.com/office/drawing/2014/main" id="{00000000-0008-0000-0100-00005C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677" name="Line 4">
          <a:extLst>
            <a:ext uri="{FF2B5EF4-FFF2-40B4-BE49-F238E27FC236}">
              <a16:creationId xmlns:a16="http://schemas.microsoft.com/office/drawing/2014/main" id="{00000000-0008-0000-0100-00005D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678" name="Line 5">
          <a:extLst>
            <a:ext uri="{FF2B5EF4-FFF2-40B4-BE49-F238E27FC236}">
              <a16:creationId xmlns:a16="http://schemas.microsoft.com/office/drawing/2014/main" id="{00000000-0008-0000-0100-00005E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679" name="Line 6">
          <a:extLst>
            <a:ext uri="{FF2B5EF4-FFF2-40B4-BE49-F238E27FC236}">
              <a16:creationId xmlns:a16="http://schemas.microsoft.com/office/drawing/2014/main" id="{00000000-0008-0000-0100-00005F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680" name="Line 7">
          <a:extLst>
            <a:ext uri="{FF2B5EF4-FFF2-40B4-BE49-F238E27FC236}">
              <a16:creationId xmlns:a16="http://schemas.microsoft.com/office/drawing/2014/main" id="{00000000-0008-0000-0100-000060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681" name="Line 8">
          <a:extLst>
            <a:ext uri="{FF2B5EF4-FFF2-40B4-BE49-F238E27FC236}">
              <a16:creationId xmlns:a16="http://schemas.microsoft.com/office/drawing/2014/main" id="{00000000-0008-0000-0100-000061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682" name="Line 9">
          <a:extLst>
            <a:ext uri="{FF2B5EF4-FFF2-40B4-BE49-F238E27FC236}">
              <a16:creationId xmlns:a16="http://schemas.microsoft.com/office/drawing/2014/main" id="{00000000-0008-0000-0100-000062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683" name="Line 10">
          <a:extLst>
            <a:ext uri="{FF2B5EF4-FFF2-40B4-BE49-F238E27FC236}">
              <a16:creationId xmlns:a16="http://schemas.microsoft.com/office/drawing/2014/main" id="{00000000-0008-0000-0100-000063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684" name="Line 11">
          <a:extLst>
            <a:ext uri="{FF2B5EF4-FFF2-40B4-BE49-F238E27FC236}">
              <a16:creationId xmlns:a16="http://schemas.microsoft.com/office/drawing/2014/main" id="{00000000-0008-0000-0100-000064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685" name="Line 12">
          <a:extLst>
            <a:ext uri="{FF2B5EF4-FFF2-40B4-BE49-F238E27FC236}">
              <a16:creationId xmlns:a16="http://schemas.microsoft.com/office/drawing/2014/main" id="{00000000-0008-0000-0100-000065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686" name="Line 13">
          <a:extLst>
            <a:ext uri="{FF2B5EF4-FFF2-40B4-BE49-F238E27FC236}">
              <a16:creationId xmlns:a16="http://schemas.microsoft.com/office/drawing/2014/main" id="{00000000-0008-0000-0100-000066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87" name="Line 14">
          <a:extLst>
            <a:ext uri="{FF2B5EF4-FFF2-40B4-BE49-F238E27FC236}">
              <a16:creationId xmlns:a16="http://schemas.microsoft.com/office/drawing/2014/main" id="{00000000-0008-0000-0100-000067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688" name="Line 15">
          <a:extLst>
            <a:ext uri="{FF2B5EF4-FFF2-40B4-BE49-F238E27FC236}">
              <a16:creationId xmlns:a16="http://schemas.microsoft.com/office/drawing/2014/main" id="{00000000-0008-0000-0100-000068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89" name="Line 16">
          <a:extLst>
            <a:ext uri="{FF2B5EF4-FFF2-40B4-BE49-F238E27FC236}">
              <a16:creationId xmlns:a16="http://schemas.microsoft.com/office/drawing/2014/main" id="{00000000-0008-0000-0100-000069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690" name="Line 17">
          <a:extLst>
            <a:ext uri="{FF2B5EF4-FFF2-40B4-BE49-F238E27FC236}">
              <a16:creationId xmlns:a16="http://schemas.microsoft.com/office/drawing/2014/main" id="{00000000-0008-0000-0100-00006A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691" name="Line 18">
          <a:extLst>
            <a:ext uri="{FF2B5EF4-FFF2-40B4-BE49-F238E27FC236}">
              <a16:creationId xmlns:a16="http://schemas.microsoft.com/office/drawing/2014/main" id="{00000000-0008-0000-0100-00006B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692" name="Line 19">
          <a:extLst>
            <a:ext uri="{FF2B5EF4-FFF2-40B4-BE49-F238E27FC236}">
              <a16:creationId xmlns:a16="http://schemas.microsoft.com/office/drawing/2014/main" id="{00000000-0008-0000-0100-00006C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693" name="Line 20">
          <a:extLst>
            <a:ext uri="{FF2B5EF4-FFF2-40B4-BE49-F238E27FC236}">
              <a16:creationId xmlns:a16="http://schemas.microsoft.com/office/drawing/2014/main" id="{00000000-0008-0000-0100-00006D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694" name="Line 21">
          <a:extLst>
            <a:ext uri="{FF2B5EF4-FFF2-40B4-BE49-F238E27FC236}">
              <a16:creationId xmlns:a16="http://schemas.microsoft.com/office/drawing/2014/main" id="{00000000-0008-0000-0100-00006E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695" name="Line 22">
          <a:extLst>
            <a:ext uri="{FF2B5EF4-FFF2-40B4-BE49-F238E27FC236}">
              <a16:creationId xmlns:a16="http://schemas.microsoft.com/office/drawing/2014/main" id="{00000000-0008-0000-0100-00006F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696" name="Line 23">
          <a:extLst>
            <a:ext uri="{FF2B5EF4-FFF2-40B4-BE49-F238E27FC236}">
              <a16:creationId xmlns:a16="http://schemas.microsoft.com/office/drawing/2014/main" id="{00000000-0008-0000-0100-000070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697" name="Line 24">
          <a:extLst>
            <a:ext uri="{FF2B5EF4-FFF2-40B4-BE49-F238E27FC236}">
              <a16:creationId xmlns:a16="http://schemas.microsoft.com/office/drawing/2014/main" id="{00000000-0008-0000-0100-000071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698" name="Line 25">
          <a:extLst>
            <a:ext uri="{FF2B5EF4-FFF2-40B4-BE49-F238E27FC236}">
              <a16:creationId xmlns:a16="http://schemas.microsoft.com/office/drawing/2014/main" id="{00000000-0008-0000-0100-000072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699" name="Line 26">
          <a:extLst>
            <a:ext uri="{FF2B5EF4-FFF2-40B4-BE49-F238E27FC236}">
              <a16:creationId xmlns:a16="http://schemas.microsoft.com/office/drawing/2014/main" id="{00000000-0008-0000-0100-000073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700" name="Line 27">
          <a:extLst>
            <a:ext uri="{FF2B5EF4-FFF2-40B4-BE49-F238E27FC236}">
              <a16:creationId xmlns:a16="http://schemas.microsoft.com/office/drawing/2014/main" id="{00000000-0008-0000-0100-000074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701" name="Line 28">
          <a:extLst>
            <a:ext uri="{FF2B5EF4-FFF2-40B4-BE49-F238E27FC236}">
              <a16:creationId xmlns:a16="http://schemas.microsoft.com/office/drawing/2014/main" id="{00000000-0008-0000-0100-000075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702" name="Line 29">
          <a:extLst>
            <a:ext uri="{FF2B5EF4-FFF2-40B4-BE49-F238E27FC236}">
              <a16:creationId xmlns:a16="http://schemas.microsoft.com/office/drawing/2014/main" id="{00000000-0008-0000-0100-000076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703" name="Line 30">
          <a:extLst>
            <a:ext uri="{FF2B5EF4-FFF2-40B4-BE49-F238E27FC236}">
              <a16:creationId xmlns:a16="http://schemas.microsoft.com/office/drawing/2014/main" id="{00000000-0008-0000-0100-000077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704" name="Line 31">
          <a:extLst>
            <a:ext uri="{FF2B5EF4-FFF2-40B4-BE49-F238E27FC236}">
              <a16:creationId xmlns:a16="http://schemas.microsoft.com/office/drawing/2014/main" id="{00000000-0008-0000-0100-0000780E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705" name="Line 32">
          <a:extLst>
            <a:ext uri="{FF2B5EF4-FFF2-40B4-BE49-F238E27FC236}">
              <a16:creationId xmlns:a16="http://schemas.microsoft.com/office/drawing/2014/main" id="{00000000-0008-0000-0100-0000790E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706" name="Line 33">
          <a:extLst>
            <a:ext uri="{FF2B5EF4-FFF2-40B4-BE49-F238E27FC236}">
              <a16:creationId xmlns:a16="http://schemas.microsoft.com/office/drawing/2014/main" id="{00000000-0008-0000-0100-00007A0E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707" name="Line 34">
          <a:extLst>
            <a:ext uri="{FF2B5EF4-FFF2-40B4-BE49-F238E27FC236}">
              <a16:creationId xmlns:a16="http://schemas.microsoft.com/office/drawing/2014/main" id="{00000000-0008-0000-0100-00007B0E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708" name="Line 35">
          <a:extLst>
            <a:ext uri="{FF2B5EF4-FFF2-40B4-BE49-F238E27FC236}">
              <a16:creationId xmlns:a16="http://schemas.microsoft.com/office/drawing/2014/main" id="{00000000-0008-0000-0100-00007C0E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09" name="Line 36">
          <a:extLst>
            <a:ext uri="{FF2B5EF4-FFF2-40B4-BE49-F238E27FC236}">
              <a16:creationId xmlns:a16="http://schemas.microsoft.com/office/drawing/2014/main" id="{00000000-0008-0000-0100-00007D0E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710" name="Line 37">
          <a:extLst>
            <a:ext uri="{FF2B5EF4-FFF2-40B4-BE49-F238E27FC236}">
              <a16:creationId xmlns:a16="http://schemas.microsoft.com/office/drawing/2014/main" id="{00000000-0008-0000-0100-00007E0E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711" name="Line 38">
          <a:extLst>
            <a:ext uri="{FF2B5EF4-FFF2-40B4-BE49-F238E27FC236}">
              <a16:creationId xmlns:a16="http://schemas.microsoft.com/office/drawing/2014/main" id="{00000000-0008-0000-0100-00007F0E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712" name="Line 39">
          <a:extLst>
            <a:ext uri="{FF2B5EF4-FFF2-40B4-BE49-F238E27FC236}">
              <a16:creationId xmlns:a16="http://schemas.microsoft.com/office/drawing/2014/main" id="{00000000-0008-0000-0100-0000800E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713" name="Line 40">
          <a:extLst>
            <a:ext uri="{FF2B5EF4-FFF2-40B4-BE49-F238E27FC236}">
              <a16:creationId xmlns:a16="http://schemas.microsoft.com/office/drawing/2014/main" id="{00000000-0008-0000-0100-0000810E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714" name="Line 41">
          <a:extLst>
            <a:ext uri="{FF2B5EF4-FFF2-40B4-BE49-F238E27FC236}">
              <a16:creationId xmlns:a16="http://schemas.microsoft.com/office/drawing/2014/main" id="{00000000-0008-0000-0100-0000820E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715" name="Rectangle 42">
          <a:extLst>
            <a:ext uri="{FF2B5EF4-FFF2-40B4-BE49-F238E27FC236}">
              <a16:creationId xmlns:a16="http://schemas.microsoft.com/office/drawing/2014/main" id="{00000000-0008-0000-0100-0000830E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16" name="Line 43">
          <a:extLst>
            <a:ext uri="{FF2B5EF4-FFF2-40B4-BE49-F238E27FC236}">
              <a16:creationId xmlns:a16="http://schemas.microsoft.com/office/drawing/2014/main" id="{00000000-0008-0000-0100-0000840E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17" name="Line 44">
          <a:extLst>
            <a:ext uri="{FF2B5EF4-FFF2-40B4-BE49-F238E27FC236}">
              <a16:creationId xmlns:a16="http://schemas.microsoft.com/office/drawing/2014/main" id="{00000000-0008-0000-0100-000085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718" name="Line 45">
          <a:extLst>
            <a:ext uri="{FF2B5EF4-FFF2-40B4-BE49-F238E27FC236}">
              <a16:creationId xmlns:a16="http://schemas.microsoft.com/office/drawing/2014/main" id="{00000000-0008-0000-0100-0000860E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719" name="Line 46">
          <a:extLst>
            <a:ext uri="{FF2B5EF4-FFF2-40B4-BE49-F238E27FC236}">
              <a16:creationId xmlns:a16="http://schemas.microsoft.com/office/drawing/2014/main" id="{00000000-0008-0000-0100-000087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720" name="Line 47">
          <a:extLst>
            <a:ext uri="{FF2B5EF4-FFF2-40B4-BE49-F238E27FC236}">
              <a16:creationId xmlns:a16="http://schemas.microsoft.com/office/drawing/2014/main" id="{00000000-0008-0000-0100-000088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721" name="Line 48">
          <a:extLst>
            <a:ext uri="{FF2B5EF4-FFF2-40B4-BE49-F238E27FC236}">
              <a16:creationId xmlns:a16="http://schemas.microsoft.com/office/drawing/2014/main" id="{00000000-0008-0000-0100-000089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722" name="Line 49">
          <a:extLst>
            <a:ext uri="{FF2B5EF4-FFF2-40B4-BE49-F238E27FC236}">
              <a16:creationId xmlns:a16="http://schemas.microsoft.com/office/drawing/2014/main" id="{00000000-0008-0000-0100-00008A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723" name="Line 50">
          <a:extLst>
            <a:ext uri="{FF2B5EF4-FFF2-40B4-BE49-F238E27FC236}">
              <a16:creationId xmlns:a16="http://schemas.microsoft.com/office/drawing/2014/main" id="{00000000-0008-0000-0100-00008B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724" name="Line 51">
          <a:extLst>
            <a:ext uri="{FF2B5EF4-FFF2-40B4-BE49-F238E27FC236}">
              <a16:creationId xmlns:a16="http://schemas.microsoft.com/office/drawing/2014/main" id="{00000000-0008-0000-0100-00008C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725" name="Line 52">
          <a:extLst>
            <a:ext uri="{FF2B5EF4-FFF2-40B4-BE49-F238E27FC236}">
              <a16:creationId xmlns:a16="http://schemas.microsoft.com/office/drawing/2014/main" id="{00000000-0008-0000-0100-00008D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726" name="Line 53">
          <a:extLst>
            <a:ext uri="{FF2B5EF4-FFF2-40B4-BE49-F238E27FC236}">
              <a16:creationId xmlns:a16="http://schemas.microsoft.com/office/drawing/2014/main" id="{00000000-0008-0000-0100-00008E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727" name="Line 54">
          <a:extLst>
            <a:ext uri="{FF2B5EF4-FFF2-40B4-BE49-F238E27FC236}">
              <a16:creationId xmlns:a16="http://schemas.microsoft.com/office/drawing/2014/main" id="{00000000-0008-0000-0100-00008F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728" name="Line 55">
          <a:extLst>
            <a:ext uri="{FF2B5EF4-FFF2-40B4-BE49-F238E27FC236}">
              <a16:creationId xmlns:a16="http://schemas.microsoft.com/office/drawing/2014/main" id="{00000000-0008-0000-0100-000090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729" name="Line 56">
          <a:extLst>
            <a:ext uri="{FF2B5EF4-FFF2-40B4-BE49-F238E27FC236}">
              <a16:creationId xmlns:a16="http://schemas.microsoft.com/office/drawing/2014/main" id="{00000000-0008-0000-0100-000091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730" name="Rectangle 57">
          <a:extLst>
            <a:ext uri="{FF2B5EF4-FFF2-40B4-BE49-F238E27FC236}">
              <a16:creationId xmlns:a16="http://schemas.microsoft.com/office/drawing/2014/main" id="{00000000-0008-0000-0100-000092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731" name="Line 58">
          <a:extLst>
            <a:ext uri="{FF2B5EF4-FFF2-40B4-BE49-F238E27FC236}">
              <a16:creationId xmlns:a16="http://schemas.microsoft.com/office/drawing/2014/main" id="{00000000-0008-0000-0100-000093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732" name="Line 59">
          <a:extLst>
            <a:ext uri="{FF2B5EF4-FFF2-40B4-BE49-F238E27FC236}">
              <a16:creationId xmlns:a16="http://schemas.microsoft.com/office/drawing/2014/main" id="{00000000-0008-0000-0100-000094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733" name="Line 60">
          <a:extLst>
            <a:ext uri="{FF2B5EF4-FFF2-40B4-BE49-F238E27FC236}">
              <a16:creationId xmlns:a16="http://schemas.microsoft.com/office/drawing/2014/main" id="{00000000-0008-0000-0100-000095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734" name="Line 61">
          <a:extLst>
            <a:ext uri="{FF2B5EF4-FFF2-40B4-BE49-F238E27FC236}">
              <a16:creationId xmlns:a16="http://schemas.microsoft.com/office/drawing/2014/main" id="{00000000-0008-0000-0100-000096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735" name="Line 62">
          <a:extLst>
            <a:ext uri="{FF2B5EF4-FFF2-40B4-BE49-F238E27FC236}">
              <a16:creationId xmlns:a16="http://schemas.microsoft.com/office/drawing/2014/main" id="{00000000-0008-0000-0100-000097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736" name="Line 63">
          <a:extLst>
            <a:ext uri="{FF2B5EF4-FFF2-40B4-BE49-F238E27FC236}">
              <a16:creationId xmlns:a16="http://schemas.microsoft.com/office/drawing/2014/main" id="{00000000-0008-0000-0100-000098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737" name="Line 64">
          <a:extLst>
            <a:ext uri="{FF2B5EF4-FFF2-40B4-BE49-F238E27FC236}">
              <a16:creationId xmlns:a16="http://schemas.microsoft.com/office/drawing/2014/main" id="{00000000-0008-0000-0100-000099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738" name="Line 65">
          <a:extLst>
            <a:ext uri="{FF2B5EF4-FFF2-40B4-BE49-F238E27FC236}">
              <a16:creationId xmlns:a16="http://schemas.microsoft.com/office/drawing/2014/main" id="{00000000-0008-0000-0100-00009A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739" name="Line 66">
          <a:extLst>
            <a:ext uri="{FF2B5EF4-FFF2-40B4-BE49-F238E27FC236}">
              <a16:creationId xmlns:a16="http://schemas.microsoft.com/office/drawing/2014/main" id="{00000000-0008-0000-0100-00009B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740" name="Line 67">
          <a:extLst>
            <a:ext uri="{FF2B5EF4-FFF2-40B4-BE49-F238E27FC236}">
              <a16:creationId xmlns:a16="http://schemas.microsoft.com/office/drawing/2014/main" id="{00000000-0008-0000-0100-00009C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741" name="Line 68">
          <a:extLst>
            <a:ext uri="{FF2B5EF4-FFF2-40B4-BE49-F238E27FC236}">
              <a16:creationId xmlns:a16="http://schemas.microsoft.com/office/drawing/2014/main" id="{00000000-0008-0000-0100-00009D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742" name="Line 1">
          <a:extLst>
            <a:ext uri="{FF2B5EF4-FFF2-40B4-BE49-F238E27FC236}">
              <a16:creationId xmlns:a16="http://schemas.microsoft.com/office/drawing/2014/main" id="{00000000-0008-0000-0100-00009E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743" name="Drawing 16">
          <a:extLst>
            <a:ext uri="{FF2B5EF4-FFF2-40B4-BE49-F238E27FC236}">
              <a16:creationId xmlns:a16="http://schemas.microsoft.com/office/drawing/2014/main" id="{00000000-0008-0000-0100-00009F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744" name="Line 3">
          <a:extLst>
            <a:ext uri="{FF2B5EF4-FFF2-40B4-BE49-F238E27FC236}">
              <a16:creationId xmlns:a16="http://schemas.microsoft.com/office/drawing/2014/main" id="{00000000-0008-0000-0100-0000A0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745" name="Line 4">
          <a:extLst>
            <a:ext uri="{FF2B5EF4-FFF2-40B4-BE49-F238E27FC236}">
              <a16:creationId xmlns:a16="http://schemas.microsoft.com/office/drawing/2014/main" id="{00000000-0008-0000-0100-0000A1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746" name="Line 5">
          <a:extLst>
            <a:ext uri="{FF2B5EF4-FFF2-40B4-BE49-F238E27FC236}">
              <a16:creationId xmlns:a16="http://schemas.microsoft.com/office/drawing/2014/main" id="{00000000-0008-0000-0100-0000A2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747" name="Line 6">
          <a:extLst>
            <a:ext uri="{FF2B5EF4-FFF2-40B4-BE49-F238E27FC236}">
              <a16:creationId xmlns:a16="http://schemas.microsoft.com/office/drawing/2014/main" id="{00000000-0008-0000-0100-0000A3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748" name="Line 7">
          <a:extLst>
            <a:ext uri="{FF2B5EF4-FFF2-40B4-BE49-F238E27FC236}">
              <a16:creationId xmlns:a16="http://schemas.microsoft.com/office/drawing/2014/main" id="{00000000-0008-0000-0100-0000A4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749" name="Line 8">
          <a:extLst>
            <a:ext uri="{FF2B5EF4-FFF2-40B4-BE49-F238E27FC236}">
              <a16:creationId xmlns:a16="http://schemas.microsoft.com/office/drawing/2014/main" id="{00000000-0008-0000-0100-0000A5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750" name="Line 9">
          <a:extLst>
            <a:ext uri="{FF2B5EF4-FFF2-40B4-BE49-F238E27FC236}">
              <a16:creationId xmlns:a16="http://schemas.microsoft.com/office/drawing/2014/main" id="{00000000-0008-0000-0100-0000A6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751" name="Line 10">
          <a:extLst>
            <a:ext uri="{FF2B5EF4-FFF2-40B4-BE49-F238E27FC236}">
              <a16:creationId xmlns:a16="http://schemas.microsoft.com/office/drawing/2014/main" id="{00000000-0008-0000-0100-0000A7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752" name="Line 11">
          <a:extLst>
            <a:ext uri="{FF2B5EF4-FFF2-40B4-BE49-F238E27FC236}">
              <a16:creationId xmlns:a16="http://schemas.microsoft.com/office/drawing/2014/main" id="{00000000-0008-0000-0100-0000A8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753" name="Line 12">
          <a:extLst>
            <a:ext uri="{FF2B5EF4-FFF2-40B4-BE49-F238E27FC236}">
              <a16:creationId xmlns:a16="http://schemas.microsoft.com/office/drawing/2014/main" id="{00000000-0008-0000-0100-0000A9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754" name="Line 13">
          <a:extLst>
            <a:ext uri="{FF2B5EF4-FFF2-40B4-BE49-F238E27FC236}">
              <a16:creationId xmlns:a16="http://schemas.microsoft.com/office/drawing/2014/main" id="{00000000-0008-0000-0100-0000AA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755" name="Line 14">
          <a:extLst>
            <a:ext uri="{FF2B5EF4-FFF2-40B4-BE49-F238E27FC236}">
              <a16:creationId xmlns:a16="http://schemas.microsoft.com/office/drawing/2014/main" id="{00000000-0008-0000-0100-0000AB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756" name="Line 15">
          <a:extLst>
            <a:ext uri="{FF2B5EF4-FFF2-40B4-BE49-F238E27FC236}">
              <a16:creationId xmlns:a16="http://schemas.microsoft.com/office/drawing/2014/main" id="{00000000-0008-0000-0100-0000AC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757" name="Line 16">
          <a:extLst>
            <a:ext uri="{FF2B5EF4-FFF2-40B4-BE49-F238E27FC236}">
              <a16:creationId xmlns:a16="http://schemas.microsoft.com/office/drawing/2014/main" id="{00000000-0008-0000-0100-0000AD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758" name="Line 17">
          <a:extLst>
            <a:ext uri="{FF2B5EF4-FFF2-40B4-BE49-F238E27FC236}">
              <a16:creationId xmlns:a16="http://schemas.microsoft.com/office/drawing/2014/main" id="{00000000-0008-0000-0100-0000AE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759" name="Line 18">
          <a:extLst>
            <a:ext uri="{FF2B5EF4-FFF2-40B4-BE49-F238E27FC236}">
              <a16:creationId xmlns:a16="http://schemas.microsoft.com/office/drawing/2014/main" id="{00000000-0008-0000-0100-0000AF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760" name="Line 19">
          <a:extLst>
            <a:ext uri="{FF2B5EF4-FFF2-40B4-BE49-F238E27FC236}">
              <a16:creationId xmlns:a16="http://schemas.microsoft.com/office/drawing/2014/main" id="{00000000-0008-0000-0100-0000B0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761" name="Line 20">
          <a:extLst>
            <a:ext uri="{FF2B5EF4-FFF2-40B4-BE49-F238E27FC236}">
              <a16:creationId xmlns:a16="http://schemas.microsoft.com/office/drawing/2014/main" id="{00000000-0008-0000-0100-0000B1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762" name="Line 21">
          <a:extLst>
            <a:ext uri="{FF2B5EF4-FFF2-40B4-BE49-F238E27FC236}">
              <a16:creationId xmlns:a16="http://schemas.microsoft.com/office/drawing/2014/main" id="{00000000-0008-0000-0100-0000B2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763" name="Line 22">
          <a:extLst>
            <a:ext uri="{FF2B5EF4-FFF2-40B4-BE49-F238E27FC236}">
              <a16:creationId xmlns:a16="http://schemas.microsoft.com/office/drawing/2014/main" id="{00000000-0008-0000-0100-0000B3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764" name="Line 23">
          <a:extLst>
            <a:ext uri="{FF2B5EF4-FFF2-40B4-BE49-F238E27FC236}">
              <a16:creationId xmlns:a16="http://schemas.microsoft.com/office/drawing/2014/main" id="{00000000-0008-0000-0100-0000B4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765" name="Line 24">
          <a:extLst>
            <a:ext uri="{FF2B5EF4-FFF2-40B4-BE49-F238E27FC236}">
              <a16:creationId xmlns:a16="http://schemas.microsoft.com/office/drawing/2014/main" id="{00000000-0008-0000-0100-0000B5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766" name="Line 25">
          <a:extLst>
            <a:ext uri="{FF2B5EF4-FFF2-40B4-BE49-F238E27FC236}">
              <a16:creationId xmlns:a16="http://schemas.microsoft.com/office/drawing/2014/main" id="{00000000-0008-0000-0100-0000B6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767" name="Line 26">
          <a:extLst>
            <a:ext uri="{FF2B5EF4-FFF2-40B4-BE49-F238E27FC236}">
              <a16:creationId xmlns:a16="http://schemas.microsoft.com/office/drawing/2014/main" id="{00000000-0008-0000-0100-0000B7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768" name="Line 27">
          <a:extLst>
            <a:ext uri="{FF2B5EF4-FFF2-40B4-BE49-F238E27FC236}">
              <a16:creationId xmlns:a16="http://schemas.microsoft.com/office/drawing/2014/main" id="{00000000-0008-0000-0100-0000B8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769" name="Line 28">
          <a:extLst>
            <a:ext uri="{FF2B5EF4-FFF2-40B4-BE49-F238E27FC236}">
              <a16:creationId xmlns:a16="http://schemas.microsoft.com/office/drawing/2014/main" id="{00000000-0008-0000-0100-0000B9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770" name="Line 29">
          <a:extLst>
            <a:ext uri="{FF2B5EF4-FFF2-40B4-BE49-F238E27FC236}">
              <a16:creationId xmlns:a16="http://schemas.microsoft.com/office/drawing/2014/main" id="{00000000-0008-0000-0100-0000BA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771" name="Line 30">
          <a:extLst>
            <a:ext uri="{FF2B5EF4-FFF2-40B4-BE49-F238E27FC236}">
              <a16:creationId xmlns:a16="http://schemas.microsoft.com/office/drawing/2014/main" id="{00000000-0008-0000-0100-0000BB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772" name="Line 31">
          <a:extLst>
            <a:ext uri="{FF2B5EF4-FFF2-40B4-BE49-F238E27FC236}">
              <a16:creationId xmlns:a16="http://schemas.microsoft.com/office/drawing/2014/main" id="{00000000-0008-0000-0100-0000BC0E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773" name="Line 32">
          <a:extLst>
            <a:ext uri="{FF2B5EF4-FFF2-40B4-BE49-F238E27FC236}">
              <a16:creationId xmlns:a16="http://schemas.microsoft.com/office/drawing/2014/main" id="{00000000-0008-0000-0100-0000BD0E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774" name="Line 33">
          <a:extLst>
            <a:ext uri="{FF2B5EF4-FFF2-40B4-BE49-F238E27FC236}">
              <a16:creationId xmlns:a16="http://schemas.microsoft.com/office/drawing/2014/main" id="{00000000-0008-0000-0100-0000BE0E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775" name="Line 34">
          <a:extLst>
            <a:ext uri="{FF2B5EF4-FFF2-40B4-BE49-F238E27FC236}">
              <a16:creationId xmlns:a16="http://schemas.microsoft.com/office/drawing/2014/main" id="{00000000-0008-0000-0100-0000BF0E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776" name="Line 35">
          <a:extLst>
            <a:ext uri="{FF2B5EF4-FFF2-40B4-BE49-F238E27FC236}">
              <a16:creationId xmlns:a16="http://schemas.microsoft.com/office/drawing/2014/main" id="{00000000-0008-0000-0100-0000C00E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77" name="Line 36">
          <a:extLst>
            <a:ext uri="{FF2B5EF4-FFF2-40B4-BE49-F238E27FC236}">
              <a16:creationId xmlns:a16="http://schemas.microsoft.com/office/drawing/2014/main" id="{00000000-0008-0000-0100-0000C10E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778" name="Line 37">
          <a:extLst>
            <a:ext uri="{FF2B5EF4-FFF2-40B4-BE49-F238E27FC236}">
              <a16:creationId xmlns:a16="http://schemas.microsoft.com/office/drawing/2014/main" id="{00000000-0008-0000-0100-0000C20E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779" name="Line 38">
          <a:extLst>
            <a:ext uri="{FF2B5EF4-FFF2-40B4-BE49-F238E27FC236}">
              <a16:creationId xmlns:a16="http://schemas.microsoft.com/office/drawing/2014/main" id="{00000000-0008-0000-0100-0000C30E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780" name="Line 39">
          <a:extLst>
            <a:ext uri="{FF2B5EF4-FFF2-40B4-BE49-F238E27FC236}">
              <a16:creationId xmlns:a16="http://schemas.microsoft.com/office/drawing/2014/main" id="{00000000-0008-0000-0100-0000C40E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781" name="Line 40">
          <a:extLst>
            <a:ext uri="{FF2B5EF4-FFF2-40B4-BE49-F238E27FC236}">
              <a16:creationId xmlns:a16="http://schemas.microsoft.com/office/drawing/2014/main" id="{00000000-0008-0000-0100-0000C50E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782" name="Line 41">
          <a:extLst>
            <a:ext uri="{FF2B5EF4-FFF2-40B4-BE49-F238E27FC236}">
              <a16:creationId xmlns:a16="http://schemas.microsoft.com/office/drawing/2014/main" id="{00000000-0008-0000-0100-0000C60E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783" name="Rectangle 42">
          <a:extLst>
            <a:ext uri="{FF2B5EF4-FFF2-40B4-BE49-F238E27FC236}">
              <a16:creationId xmlns:a16="http://schemas.microsoft.com/office/drawing/2014/main" id="{00000000-0008-0000-0100-0000C70E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84" name="Line 43">
          <a:extLst>
            <a:ext uri="{FF2B5EF4-FFF2-40B4-BE49-F238E27FC236}">
              <a16:creationId xmlns:a16="http://schemas.microsoft.com/office/drawing/2014/main" id="{00000000-0008-0000-0100-0000C80E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85" name="Line 44">
          <a:extLst>
            <a:ext uri="{FF2B5EF4-FFF2-40B4-BE49-F238E27FC236}">
              <a16:creationId xmlns:a16="http://schemas.microsoft.com/office/drawing/2014/main" id="{00000000-0008-0000-0100-0000C9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786" name="Line 45">
          <a:extLst>
            <a:ext uri="{FF2B5EF4-FFF2-40B4-BE49-F238E27FC236}">
              <a16:creationId xmlns:a16="http://schemas.microsoft.com/office/drawing/2014/main" id="{00000000-0008-0000-0100-0000CA0E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787" name="Line 46">
          <a:extLst>
            <a:ext uri="{FF2B5EF4-FFF2-40B4-BE49-F238E27FC236}">
              <a16:creationId xmlns:a16="http://schemas.microsoft.com/office/drawing/2014/main" id="{00000000-0008-0000-0100-0000CB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788" name="Line 47">
          <a:extLst>
            <a:ext uri="{FF2B5EF4-FFF2-40B4-BE49-F238E27FC236}">
              <a16:creationId xmlns:a16="http://schemas.microsoft.com/office/drawing/2014/main" id="{00000000-0008-0000-0100-0000CC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789" name="Line 48">
          <a:extLst>
            <a:ext uri="{FF2B5EF4-FFF2-40B4-BE49-F238E27FC236}">
              <a16:creationId xmlns:a16="http://schemas.microsoft.com/office/drawing/2014/main" id="{00000000-0008-0000-0100-0000CD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790" name="Line 49">
          <a:extLst>
            <a:ext uri="{FF2B5EF4-FFF2-40B4-BE49-F238E27FC236}">
              <a16:creationId xmlns:a16="http://schemas.microsoft.com/office/drawing/2014/main" id="{00000000-0008-0000-0100-0000CE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791" name="Line 50">
          <a:extLst>
            <a:ext uri="{FF2B5EF4-FFF2-40B4-BE49-F238E27FC236}">
              <a16:creationId xmlns:a16="http://schemas.microsoft.com/office/drawing/2014/main" id="{00000000-0008-0000-0100-0000CF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792" name="Line 51">
          <a:extLst>
            <a:ext uri="{FF2B5EF4-FFF2-40B4-BE49-F238E27FC236}">
              <a16:creationId xmlns:a16="http://schemas.microsoft.com/office/drawing/2014/main" id="{00000000-0008-0000-0100-0000D0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793" name="Line 52">
          <a:extLst>
            <a:ext uri="{FF2B5EF4-FFF2-40B4-BE49-F238E27FC236}">
              <a16:creationId xmlns:a16="http://schemas.microsoft.com/office/drawing/2014/main" id="{00000000-0008-0000-0100-0000D1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794" name="Line 53">
          <a:extLst>
            <a:ext uri="{FF2B5EF4-FFF2-40B4-BE49-F238E27FC236}">
              <a16:creationId xmlns:a16="http://schemas.microsoft.com/office/drawing/2014/main" id="{00000000-0008-0000-0100-0000D2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795" name="Line 54">
          <a:extLst>
            <a:ext uri="{FF2B5EF4-FFF2-40B4-BE49-F238E27FC236}">
              <a16:creationId xmlns:a16="http://schemas.microsoft.com/office/drawing/2014/main" id="{00000000-0008-0000-0100-0000D3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796" name="Line 55">
          <a:extLst>
            <a:ext uri="{FF2B5EF4-FFF2-40B4-BE49-F238E27FC236}">
              <a16:creationId xmlns:a16="http://schemas.microsoft.com/office/drawing/2014/main" id="{00000000-0008-0000-0100-0000D4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797" name="Line 56">
          <a:extLst>
            <a:ext uri="{FF2B5EF4-FFF2-40B4-BE49-F238E27FC236}">
              <a16:creationId xmlns:a16="http://schemas.microsoft.com/office/drawing/2014/main" id="{00000000-0008-0000-0100-0000D5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798" name="Rectangle 57">
          <a:extLst>
            <a:ext uri="{FF2B5EF4-FFF2-40B4-BE49-F238E27FC236}">
              <a16:creationId xmlns:a16="http://schemas.microsoft.com/office/drawing/2014/main" id="{00000000-0008-0000-0100-0000D6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799" name="Line 58">
          <a:extLst>
            <a:ext uri="{FF2B5EF4-FFF2-40B4-BE49-F238E27FC236}">
              <a16:creationId xmlns:a16="http://schemas.microsoft.com/office/drawing/2014/main" id="{00000000-0008-0000-0100-0000D7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800" name="Line 59">
          <a:extLst>
            <a:ext uri="{FF2B5EF4-FFF2-40B4-BE49-F238E27FC236}">
              <a16:creationId xmlns:a16="http://schemas.microsoft.com/office/drawing/2014/main" id="{00000000-0008-0000-0100-0000D8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801" name="Line 60">
          <a:extLst>
            <a:ext uri="{FF2B5EF4-FFF2-40B4-BE49-F238E27FC236}">
              <a16:creationId xmlns:a16="http://schemas.microsoft.com/office/drawing/2014/main" id="{00000000-0008-0000-0100-0000D9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802" name="Line 61">
          <a:extLst>
            <a:ext uri="{FF2B5EF4-FFF2-40B4-BE49-F238E27FC236}">
              <a16:creationId xmlns:a16="http://schemas.microsoft.com/office/drawing/2014/main" id="{00000000-0008-0000-0100-0000DA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803" name="Line 62">
          <a:extLst>
            <a:ext uri="{FF2B5EF4-FFF2-40B4-BE49-F238E27FC236}">
              <a16:creationId xmlns:a16="http://schemas.microsoft.com/office/drawing/2014/main" id="{00000000-0008-0000-0100-0000DB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804" name="Line 63">
          <a:extLst>
            <a:ext uri="{FF2B5EF4-FFF2-40B4-BE49-F238E27FC236}">
              <a16:creationId xmlns:a16="http://schemas.microsoft.com/office/drawing/2014/main" id="{00000000-0008-0000-0100-0000DC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805" name="Line 64">
          <a:extLst>
            <a:ext uri="{FF2B5EF4-FFF2-40B4-BE49-F238E27FC236}">
              <a16:creationId xmlns:a16="http://schemas.microsoft.com/office/drawing/2014/main" id="{00000000-0008-0000-0100-0000DD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806" name="Line 65">
          <a:extLst>
            <a:ext uri="{FF2B5EF4-FFF2-40B4-BE49-F238E27FC236}">
              <a16:creationId xmlns:a16="http://schemas.microsoft.com/office/drawing/2014/main" id="{00000000-0008-0000-0100-0000DE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807" name="Line 66">
          <a:extLst>
            <a:ext uri="{FF2B5EF4-FFF2-40B4-BE49-F238E27FC236}">
              <a16:creationId xmlns:a16="http://schemas.microsoft.com/office/drawing/2014/main" id="{00000000-0008-0000-0100-0000DF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808" name="Line 67">
          <a:extLst>
            <a:ext uri="{FF2B5EF4-FFF2-40B4-BE49-F238E27FC236}">
              <a16:creationId xmlns:a16="http://schemas.microsoft.com/office/drawing/2014/main" id="{00000000-0008-0000-0100-0000E0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809" name="Line 68">
          <a:extLst>
            <a:ext uri="{FF2B5EF4-FFF2-40B4-BE49-F238E27FC236}">
              <a16:creationId xmlns:a16="http://schemas.microsoft.com/office/drawing/2014/main" id="{00000000-0008-0000-0100-0000E1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810" name="Line 1">
          <a:extLst>
            <a:ext uri="{FF2B5EF4-FFF2-40B4-BE49-F238E27FC236}">
              <a16:creationId xmlns:a16="http://schemas.microsoft.com/office/drawing/2014/main" id="{00000000-0008-0000-0100-0000E2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811" name="Drawing 16">
          <a:extLst>
            <a:ext uri="{FF2B5EF4-FFF2-40B4-BE49-F238E27FC236}">
              <a16:creationId xmlns:a16="http://schemas.microsoft.com/office/drawing/2014/main" id="{00000000-0008-0000-0100-0000E3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812" name="Line 3">
          <a:extLst>
            <a:ext uri="{FF2B5EF4-FFF2-40B4-BE49-F238E27FC236}">
              <a16:creationId xmlns:a16="http://schemas.microsoft.com/office/drawing/2014/main" id="{00000000-0008-0000-0100-0000E4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813" name="Line 4">
          <a:extLst>
            <a:ext uri="{FF2B5EF4-FFF2-40B4-BE49-F238E27FC236}">
              <a16:creationId xmlns:a16="http://schemas.microsoft.com/office/drawing/2014/main" id="{00000000-0008-0000-0100-0000E5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814" name="Line 5">
          <a:extLst>
            <a:ext uri="{FF2B5EF4-FFF2-40B4-BE49-F238E27FC236}">
              <a16:creationId xmlns:a16="http://schemas.microsoft.com/office/drawing/2014/main" id="{00000000-0008-0000-0100-0000E6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815" name="Line 6">
          <a:extLst>
            <a:ext uri="{FF2B5EF4-FFF2-40B4-BE49-F238E27FC236}">
              <a16:creationId xmlns:a16="http://schemas.microsoft.com/office/drawing/2014/main" id="{00000000-0008-0000-0100-0000E7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816" name="Line 7">
          <a:extLst>
            <a:ext uri="{FF2B5EF4-FFF2-40B4-BE49-F238E27FC236}">
              <a16:creationId xmlns:a16="http://schemas.microsoft.com/office/drawing/2014/main" id="{00000000-0008-0000-0100-0000E8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817" name="Line 8">
          <a:extLst>
            <a:ext uri="{FF2B5EF4-FFF2-40B4-BE49-F238E27FC236}">
              <a16:creationId xmlns:a16="http://schemas.microsoft.com/office/drawing/2014/main" id="{00000000-0008-0000-0100-0000E9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818" name="Line 9">
          <a:extLst>
            <a:ext uri="{FF2B5EF4-FFF2-40B4-BE49-F238E27FC236}">
              <a16:creationId xmlns:a16="http://schemas.microsoft.com/office/drawing/2014/main" id="{00000000-0008-0000-0100-0000EA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819" name="Line 10">
          <a:extLst>
            <a:ext uri="{FF2B5EF4-FFF2-40B4-BE49-F238E27FC236}">
              <a16:creationId xmlns:a16="http://schemas.microsoft.com/office/drawing/2014/main" id="{00000000-0008-0000-0100-0000EB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820" name="Line 11">
          <a:extLst>
            <a:ext uri="{FF2B5EF4-FFF2-40B4-BE49-F238E27FC236}">
              <a16:creationId xmlns:a16="http://schemas.microsoft.com/office/drawing/2014/main" id="{00000000-0008-0000-0100-0000EC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821" name="Line 12">
          <a:extLst>
            <a:ext uri="{FF2B5EF4-FFF2-40B4-BE49-F238E27FC236}">
              <a16:creationId xmlns:a16="http://schemas.microsoft.com/office/drawing/2014/main" id="{00000000-0008-0000-0100-0000ED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822" name="Line 13">
          <a:extLst>
            <a:ext uri="{FF2B5EF4-FFF2-40B4-BE49-F238E27FC236}">
              <a16:creationId xmlns:a16="http://schemas.microsoft.com/office/drawing/2014/main" id="{00000000-0008-0000-0100-0000EE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23" name="Line 14">
          <a:extLst>
            <a:ext uri="{FF2B5EF4-FFF2-40B4-BE49-F238E27FC236}">
              <a16:creationId xmlns:a16="http://schemas.microsoft.com/office/drawing/2014/main" id="{00000000-0008-0000-0100-0000EF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824" name="Line 15">
          <a:extLst>
            <a:ext uri="{FF2B5EF4-FFF2-40B4-BE49-F238E27FC236}">
              <a16:creationId xmlns:a16="http://schemas.microsoft.com/office/drawing/2014/main" id="{00000000-0008-0000-0100-0000F0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25" name="Line 16">
          <a:extLst>
            <a:ext uri="{FF2B5EF4-FFF2-40B4-BE49-F238E27FC236}">
              <a16:creationId xmlns:a16="http://schemas.microsoft.com/office/drawing/2014/main" id="{00000000-0008-0000-0100-0000F1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826" name="Line 17">
          <a:extLst>
            <a:ext uri="{FF2B5EF4-FFF2-40B4-BE49-F238E27FC236}">
              <a16:creationId xmlns:a16="http://schemas.microsoft.com/office/drawing/2014/main" id="{00000000-0008-0000-0100-0000F2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827" name="Line 18">
          <a:extLst>
            <a:ext uri="{FF2B5EF4-FFF2-40B4-BE49-F238E27FC236}">
              <a16:creationId xmlns:a16="http://schemas.microsoft.com/office/drawing/2014/main" id="{00000000-0008-0000-0100-0000F3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828" name="Line 19">
          <a:extLst>
            <a:ext uri="{FF2B5EF4-FFF2-40B4-BE49-F238E27FC236}">
              <a16:creationId xmlns:a16="http://schemas.microsoft.com/office/drawing/2014/main" id="{00000000-0008-0000-0100-0000F4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829" name="Line 20">
          <a:extLst>
            <a:ext uri="{FF2B5EF4-FFF2-40B4-BE49-F238E27FC236}">
              <a16:creationId xmlns:a16="http://schemas.microsoft.com/office/drawing/2014/main" id="{00000000-0008-0000-0100-0000F5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830" name="Line 21">
          <a:extLst>
            <a:ext uri="{FF2B5EF4-FFF2-40B4-BE49-F238E27FC236}">
              <a16:creationId xmlns:a16="http://schemas.microsoft.com/office/drawing/2014/main" id="{00000000-0008-0000-0100-0000F6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831" name="Line 22">
          <a:extLst>
            <a:ext uri="{FF2B5EF4-FFF2-40B4-BE49-F238E27FC236}">
              <a16:creationId xmlns:a16="http://schemas.microsoft.com/office/drawing/2014/main" id="{00000000-0008-0000-0100-0000F7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832" name="Line 23">
          <a:extLst>
            <a:ext uri="{FF2B5EF4-FFF2-40B4-BE49-F238E27FC236}">
              <a16:creationId xmlns:a16="http://schemas.microsoft.com/office/drawing/2014/main" id="{00000000-0008-0000-0100-0000F8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833" name="Line 24">
          <a:extLst>
            <a:ext uri="{FF2B5EF4-FFF2-40B4-BE49-F238E27FC236}">
              <a16:creationId xmlns:a16="http://schemas.microsoft.com/office/drawing/2014/main" id="{00000000-0008-0000-0100-0000F9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834" name="Line 25">
          <a:extLst>
            <a:ext uri="{FF2B5EF4-FFF2-40B4-BE49-F238E27FC236}">
              <a16:creationId xmlns:a16="http://schemas.microsoft.com/office/drawing/2014/main" id="{00000000-0008-0000-0100-0000FA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835" name="Line 26">
          <a:extLst>
            <a:ext uri="{FF2B5EF4-FFF2-40B4-BE49-F238E27FC236}">
              <a16:creationId xmlns:a16="http://schemas.microsoft.com/office/drawing/2014/main" id="{00000000-0008-0000-0100-0000FB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836" name="Line 27">
          <a:extLst>
            <a:ext uri="{FF2B5EF4-FFF2-40B4-BE49-F238E27FC236}">
              <a16:creationId xmlns:a16="http://schemas.microsoft.com/office/drawing/2014/main" id="{00000000-0008-0000-0100-0000FC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837" name="Line 28">
          <a:extLst>
            <a:ext uri="{FF2B5EF4-FFF2-40B4-BE49-F238E27FC236}">
              <a16:creationId xmlns:a16="http://schemas.microsoft.com/office/drawing/2014/main" id="{00000000-0008-0000-0100-0000FD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838" name="Line 29">
          <a:extLst>
            <a:ext uri="{FF2B5EF4-FFF2-40B4-BE49-F238E27FC236}">
              <a16:creationId xmlns:a16="http://schemas.microsoft.com/office/drawing/2014/main" id="{00000000-0008-0000-0100-0000FE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839" name="Line 30">
          <a:extLst>
            <a:ext uri="{FF2B5EF4-FFF2-40B4-BE49-F238E27FC236}">
              <a16:creationId xmlns:a16="http://schemas.microsoft.com/office/drawing/2014/main" id="{00000000-0008-0000-0100-0000FF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840" name="Line 31">
          <a:extLst>
            <a:ext uri="{FF2B5EF4-FFF2-40B4-BE49-F238E27FC236}">
              <a16:creationId xmlns:a16="http://schemas.microsoft.com/office/drawing/2014/main" id="{00000000-0008-0000-0100-000000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841" name="Line 32">
          <a:extLst>
            <a:ext uri="{FF2B5EF4-FFF2-40B4-BE49-F238E27FC236}">
              <a16:creationId xmlns:a16="http://schemas.microsoft.com/office/drawing/2014/main" id="{00000000-0008-0000-0100-000001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842" name="Line 33">
          <a:extLst>
            <a:ext uri="{FF2B5EF4-FFF2-40B4-BE49-F238E27FC236}">
              <a16:creationId xmlns:a16="http://schemas.microsoft.com/office/drawing/2014/main" id="{00000000-0008-0000-0100-000002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843" name="Line 34">
          <a:extLst>
            <a:ext uri="{FF2B5EF4-FFF2-40B4-BE49-F238E27FC236}">
              <a16:creationId xmlns:a16="http://schemas.microsoft.com/office/drawing/2014/main" id="{00000000-0008-0000-0100-000003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844" name="Line 35">
          <a:extLst>
            <a:ext uri="{FF2B5EF4-FFF2-40B4-BE49-F238E27FC236}">
              <a16:creationId xmlns:a16="http://schemas.microsoft.com/office/drawing/2014/main" id="{00000000-0008-0000-0100-000004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845" name="Line 36">
          <a:extLst>
            <a:ext uri="{FF2B5EF4-FFF2-40B4-BE49-F238E27FC236}">
              <a16:creationId xmlns:a16="http://schemas.microsoft.com/office/drawing/2014/main" id="{00000000-0008-0000-0100-000005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846" name="Line 37">
          <a:extLst>
            <a:ext uri="{FF2B5EF4-FFF2-40B4-BE49-F238E27FC236}">
              <a16:creationId xmlns:a16="http://schemas.microsoft.com/office/drawing/2014/main" id="{00000000-0008-0000-0100-000006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847" name="Line 38">
          <a:extLst>
            <a:ext uri="{FF2B5EF4-FFF2-40B4-BE49-F238E27FC236}">
              <a16:creationId xmlns:a16="http://schemas.microsoft.com/office/drawing/2014/main" id="{00000000-0008-0000-0100-000007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848" name="Line 39">
          <a:extLst>
            <a:ext uri="{FF2B5EF4-FFF2-40B4-BE49-F238E27FC236}">
              <a16:creationId xmlns:a16="http://schemas.microsoft.com/office/drawing/2014/main" id="{00000000-0008-0000-0100-000008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849" name="Line 40">
          <a:extLst>
            <a:ext uri="{FF2B5EF4-FFF2-40B4-BE49-F238E27FC236}">
              <a16:creationId xmlns:a16="http://schemas.microsoft.com/office/drawing/2014/main" id="{00000000-0008-0000-0100-000009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850" name="Line 41">
          <a:extLst>
            <a:ext uri="{FF2B5EF4-FFF2-40B4-BE49-F238E27FC236}">
              <a16:creationId xmlns:a16="http://schemas.microsoft.com/office/drawing/2014/main" id="{00000000-0008-0000-0100-00000A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851" name="Rectangle 1674">
          <a:extLst>
            <a:ext uri="{FF2B5EF4-FFF2-40B4-BE49-F238E27FC236}">
              <a16:creationId xmlns:a16="http://schemas.microsoft.com/office/drawing/2014/main" id="{00000000-0008-0000-0100-00000B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52" name="Line 43">
          <a:extLst>
            <a:ext uri="{FF2B5EF4-FFF2-40B4-BE49-F238E27FC236}">
              <a16:creationId xmlns:a16="http://schemas.microsoft.com/office/drawing/2014/main" id="{00000000-0008-0000-0100-00000C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53" name="Line 44">
          <a:extLst>
            <a:ext uri="{FF2B5EF4-FFF2-40B4-BE49-F238E27FC236}">
              <a16:creationId xmlns:a16="http://schemas.microsoft.com/office/drawing/2014/main" id="{00000000-0008-0000-0100-00000D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854" name="Line 45">
          <a:extLst>
            <a:ext uri="{FF2B5EF4-FFF2-40B4-BE49-F238E27FC236}">
              <a16:creationId xmlns:a16="http://schemas.microsoft.com/office/drawing/2014/main" id="{00000000-0008-0000-0100-00000E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855" name="Line 46">
          <a:extLst>
            <a:ext uri="{FF2B5EF4-FFF2-40B4-BE49-F238E27FC236}">
              <a16:creationId xmlns:a16="http://schemas.microsoft.com/office/drawing/2014/main" id="{00000000-0008-0000-0100-00000F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856" name="Line 47">
          <a:extLst>
            <a:ext uri="{FF2B5EF4-FFF2-40B4-BE49-F238E27FC236}">
              <a16:creationId xmlns:a16="http://schemas.microsoft.com/office/drawing/2014/main" id="{00000000-0008-0000-0100-000010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857" name="Line 48">
          <a:extLst>
            <a:ext uri="{FF2B5EF4-FFF2-40B4-BE49-F238E27FC236}">
              <a16:creationId xmlns:a16="http://schemas.microsoft.com/office/drawing/2014/main" id="{00000000-0008-0000-0100-000011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858" name="Line 49">
          <a:extLst>
            <a:ext uri="{FF2B5EF4-FFF2-40B4-BE49-F238E27FC236}">
              <a16:creationId xmlns:a16="http://schemas.microsoft.com/office/drawing/2014/main" id="{00000000-0008-0000-0100-000012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859" name="Line 50">
          <a:extLst>
            <a:ext uri="{FF2B5EF4-FFF2-40B4-BE49-F238E27FC236}">
              <a16:creationId xmlns:a16="http://schemas.microsoft.com/office/drawing/2014/main" id="{00000000-0008-0000-0100-000013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860" name="Line 51">
          <a:extLst>
            <a:ext uri="{FF2B5EF4-FFF2-40B4-BE49-F238E27FC236}">
              <a16:creationId xmlns:a16="http://schemas.microsoft.com/office/drawing/2014/main" id="{00000000-0008-0000-0100-000014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861" name="Line 52">
          <a:extLst>
            <a:ext uri="{FF2B5EF4-FFF2-40B4-BE49-F238E27FC236}">
              <a16:creationId xmlns:a16="http://schemas.microsoft.com/office/drawing/2014/main" id="{00000000-0008-0000-0100-000015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862" name="Line 53">
          <a:extLst>
            <a:ext uri="{FF2B5EF4-FFF2-40B4-BE49-F238E27FC236}">
              <a16:creationId xmlns:a16="http://schemas.microsoft.com/office/drawing/2014/main" id="{00000000-0008-0000-0100-000016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863" name="Line 54">
          <a:extLst>
            <a:ext uri="{FF2B5EF4-FFF2-40B4-BE49-F238E27FC236}">
              <a16:creationId xmlns:a16="http://schemas.microsoft.com/office/drawing/2014/main" id="{00000000-0008-0000-0100-000017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864" name="Line 55">
          <a:extLst>
            <a:ext uri="{FF2B5EF4-FFF2-40B4-BE49-F238E27FC236}">
              <a16:creationId xmlns:a16="http://schemas.microsoft.com/office/drawing/2014/main" id="{00000000-0008-0000-0100-000018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865" name="Line 56">
          <a:extLst>
            <a:ext uri="{FF2B5EF4-FFF2-40B4-BE49-F238E27FC236}">
              <a16:creationId xmlns:a16="http://schemas.microsoft.com/office/drawing/2014/main" id="{00000000-0008-0000-0100-000019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866" name="Rectangle 1689">
          <a:extLst>
            <a:ext uri="{FF2B5EF4-FFF2-40B4-BE49-F238E27FC236}">
              <a16:creationId xmlns:a16="http://schemas.microsoft.com/office/drawing/2014/main" id="{00000000-0008-0000-0100-00001A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867" name="Line 58">
          <a:extLst>
            <a:ext uri="{FF2B5EF4-FFF2-40B4-BE49-F238E27FC236}">
              <a16:creationId xmlns:a16="http://schemas.microsoft.com/office/drawing/2014/main" id="{00000000-0008-0000-0100-00001B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868" name="Line 59">
          <a:extLst>
            <a:ext uri="{FF2B5EF4-FFF2-40B4-BE49-F238E27FC236}">
              <a16:creationId xmlns:a16="http://schemas.microsoft.com/office/drawing/2014/main" id="{00000000-0008-0000-0100-00001C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869" name="Line 60">
          <a:extLst>
            <a:ext uri="{FF2B5EF4-FFF2-40B4-BE49-F238E27FC236}">
              <a16:creationId xmlns:a16="http://schemas.microsoft.com/office/drawing/2014/main" id="{00000000-0008-0000-0100-00001D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870" name="Line 61">
          <a:extLst>
            <a:ext uri="{FF2B5EF4-FFF2-40B4-BE49-F238E27FC236}">
              <a16:creationId xmlns:a16="http://schemas.microsoft.com/office/drawing/2014/main" id="{00000000-0008-0000-0100-00001E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871" name="Line 62">
          <a:extLst>
            <a:ext uri="{FF2B5EF4-FFF2-40B4-BE49-F238E27FC236}">
              <a16:creationId xmlns:a16="http://schemas.microsoft.com/office/drawing/2014/main" id="{00000000-0008-0000-0100-00001F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872" name="Line 63">
          <a:extLst>
            <a:ext uri="{FF2B5EF4-FFF2-40B4-BE49-F238E27FC236}">
              <a16:creationId xmlns:a16="http://schemas.microsoft.com/office/drawing/2014/main" id="{00000000-0008-0000-0100-000020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873" name="Line 64">
          <a:extLst>
            <a:ext uri="{FF2B5EF4-FFF2-40B4-BE49-F238E27FC236}">
              <a16:creationId xmlns:a16="http://schemas.microsoft.com/office/drawing/2014/main" id="{00000000-0008-0000-0100-000021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874" name="Line 65">
          <a:extLst>
            <a:ext uri="{FF2B5EF4-FFF2-40B4-BE49-F238E27FC236}">
              <a16:creationId xmlns:a16="http://schemas.microsoft.com/office/drawing/2014/main" id="{00000000-0008-0000-0100-000022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875" name="Line 66">
          <a:extLst>
            <a:ext uri="{FF2B5EF4-FFF2-40B4-BE49-F238E27FC236}">
              <a16:creationId xmlns:a16="http://schemas.microsoft.com/office/drawing/2014/main" id="{00000000-0008-0000-0100-000023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876" name="Line 67">
          <a:extLst>
            <a:ext uri="{FF2B5EF4-FFF2-40B4-BE49-F238E27FC236}">
              <a16:creationId xmlns:a16="http://schemas.microsoft.com/office/drawing/2014/main" id="{00000000-0008-0000-0100-000024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877" name="Line 68">
          <a:extLst>
            <a:ext uri="{FF2B5EF4-FFF2-40B4-BE49-F238E27FC236}">
              <a16:creationId xmlns:a16="http://schemas.microsoft.com/office/drawing/2014/main" id="{00000000-0008-0000-0100-000025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878" name="Line 1">
          <a:extLst>
            <a:ext uri="{FF2B5EF4-FFF2-40B4-BE49-F238E27FC236}">
              <a16:creationId xmlns:a16="http://schemas.microsoft.com/office/drawing/2014/main" id="{00000000-0008-0000-0100-000026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879" name="Drawing 16">
          <a:extLst>
            <a:ext uri="{FF2B5EF4-FFF2-40B4-BE49-F238E27FC236}">
              <a16:creationId xmlns:a16="http://schemas.microsoft.com/office/drawing/2014/main" id="{00000000-0008-0000-0100-000027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880" name="Line 3">
          <a:extLst>
            <a:ext uri="{FF2B5EF4-FFF2-40B4-BE49-F238E27FC236}">
              <a16:creationId xmlns:a16="http://schemas.microsoft.com/office/drawing/2014/main" id="{00000000-0008-0000-0100-000028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881" name="Line 4">
          <a:extLst>
            <a:ext uri="{FF2B5EF4-FFF2-40B4-BE49-F238E27FC236}">
              <a16:creationId xmlns:a16="http://schemas.microsoft.com/office/drawing/2014/main" id="{00000000-0008-0000-0100-000029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882" name="Line 5">
          <a:extLst>
            <a:ext uri="{FF2B5EF4-FFF2-40B4-BE49-F238E27FC236}">
              <a16:creationId xmlns:a16="http://schemas.microsoft.com/office/drawing/2014/main" id="{00000000-0008-0000-0100-00002A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883" name="Line 6">
          <a:extLst>
            <a:ext uri="{FF2B5EF4-FFF2-40B4-BE49-F238E27FC236}">
              <a16:creationId xmlns:a16="http://schemas.microsoft.com/office/drawing/2014/main" id="{00000000-0008-0000-0100-00002B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884" name="Line 7">
          <a:extLst>
            <a:ext uri="{FF2B5EF4-FFF2-40B4-BE49-F238E27FC236}">
              <a16:creationId xmlns:a16="http://schemas.microsoft.com/office/drawing/2014/main" id="{00000000-0008-0000-0100-00002C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885" name="Line 8">
          <a:extLst>
            <a:ext uri="{FF2B5EF4-FFF2-40B4-BE49-F238E27FC236}">
              <a16:creationId xmlns:a16="http://schemas.microsoft.com/office/drawing/2014/main" id="{00000000-0008-0000-0100-00002D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886" name="Line 9">
          <a:extLst>
            <a:ext uri="{FF2B5EF4-FFF2-40B4-BE49-F238E27FC236}">
              <a16:creationId xmlns:a16="http://schemas.microsoft.com/office/drawing/2014/main" id="{00000000-0008-0000-0100-00002E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887" name="Line 10">
          <a:extLst>
            <a:ext uri="{FF2B5EF4-FFF2-40B4-BE49-F238E27FC236}">
              <a16:creationId xmlns:a16="http://schemas.microsoft.com/office/drawing/2014/main" id="{00000000-0008-0000-0100-00002F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888" name="Line 11">
          <a:extLst>
            <a:ext uri="{FF2B5EF4-FFF2-40B4-BE49-F238E27FC236}">
              <a16:creationId xmlns:a16="http://schemas.microsoft.com/office/drawing/2014/main" id="{00000000-0008-0000-0100-000030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889" name="Line 12">
          <a:extLst>
            <a:ext uri="{FF2B5EF4-FFF2-40B4-BE49-F238E27FC236}">
              <a16:creationId xmlns:a16="http://schemas.microsoft.com/office/drawing/2014/main" id="{00000000-0008-0000-0100-000031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890" name="Line 13">
          <a:extLst>
            <a:ext uri="{FF2B5EF4-FFF2-40B4-BE49-F238E27FC236}">
              <a16:creationId xmlns:a16="http://schemas.microsoft.com/office/drawing/2014/main" id="{00000000-0008-0000-0100-000032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91" name="Line 14">
          <a:extLst>
            <a:ext uri="{FF2B5EF4-FFF2-40B4-BE49-F238E27FC236}">
              <a16:creationId xmlns:a16="http://schemas.microsoft.com/office/drawing/2014/main" id="{00000000-0008-0000-0100-000033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892" name="Line 15">
          <a:extLst>
            <a:ext uri="{FF2B5EF4-FFF2-40B4-BE49-F238E27FC236}">
              <a16:creationId xmlns:a16="http://schemas.microsoft.com/office/drawing/2014/main" id="{00000000-0008-0000-0100-0000340F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93" name="Line 16">
          <a:extLst>
            <a:ext uri="{FF2B5EF4-FFF2-40B4-BE49-F238E27FC236}">
              <a16:creationId xmlns:a16="http://schemas.microsoft.com/office/drawing/2014/main" id="{00000000-0008-0000-0100-0000350F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894" name="Line 17">
          <a:extLst>
            <a:ext uri="{FF2B5EF4-FFF2-40B4-BE49-F238E27FC236}">
              <a16:creationId xmlns:a16="http://schemas.microsoft.com/office/drawing/2014/main" id="{00000000-0008-0000-0100-0000360F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895" name="Line 18">
          <a:extLst>
            <a:ext uri="{FF2B5EF4-FFF2-40B4-BE49-F238E27FC236}">
              <a16:creationId xmlns:a16="http://schemas.microsoft.com/office/drawing/2014/main" id="{00000000-0008-0000-0100-0000370F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896" name="Line 19">
          <a:extLst>
            <a:ext uri="{FF2B5EF4-FFF2-40B4-BE49-F238E27FC236}">
              <a16:creationId xmlns:a16="http://schemas.microsoft.com/office/drawing/2014/main" id="{00000000-0008-0000-0100-0000380F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897" name="Line 20">
          <a:extLst>
            <a:ext uri="{FF2B5EF4-FFF2-40B4-BE49-F238E27FC236}">
              <a16:creationId xmlns:a16="http://schemas.microsoft.com/office/drawing/2014/main" id="{00000000-0008-0000-0100-0000390F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898" name="Line 21">
          <a:extLst>
            <a:ext uri="{FF2B5EF4-FFF2-40B4-BE49-F238E27FC236}">
              <a16:creationId xmlns:a16="http://schemas.microsoft.com/office/drawing/2014/main" id="{00000000-0008-0000-0100-00003A0F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899" name="Line 22">
          <a:extLst>
            <a:ext uri="{FF2B5EF4-FFF2-40B4-BE49-F238E27FC236}">
              <a16:creationId xmlns:a16="http://schemas.microsoft.com/office/drawing/2014/main" id="{00000000-0008-0000-0100-00003B0F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900" name="Line 23">
          <a:extLst>
            <a:ext uri="{FF2B5EF4-FFF2-40B4-BE49-F238E27FC236}">
              <a16:creationId xmlns:a16="http://schemas.microsoft.com/office/drawing/2014/main" id="{00000000-0008-0000-0100-00003C0F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901" name="Line 24">
          <a:extLst>
            <a:ext uri="{FF2B5EF4-FFF2-40B4-BE49-F238E27FC236}">
              <a16:creationId xmlns:a16="http://schemas.microsoft.com/office/drawing/2014/main" id="{00000000-0008-0000-0100-00003D0F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902" name="Line 25">
          <a:extLst>
            <a:ext uri="{FF2B5EF4-FFF2-40B4-BE49-F238E27FC236}">
              <a16:creationId xmlns:a16="http://schemas.microsoft.com/office/drawing/2014/main" id="{00000000-0008-0000-0100-00003E0F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903" name="Line 26">
          <a:extLst>
            <a:ext uri="{FF2B5EF4-FFF2-40B4-BE49-F238E27FC236}">
              <a16:creationId xmlns:a16="http://schemas.microsoft.com/office/drawing/2014/main" id="{00000000-0008-0000-0100-00003F0F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904" name="Line 27">
          <a:extLst>
            <a:ext uri="{FF2B5EF4-FFF2-40B4-BE49-F238E27FC236}">
              <a16:creationId xmlns:a16="http://schemas.microsoft.com/office/drawing/2014/main" id="{00000000-0008-0000-0100-0000400F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905" name="Line 28">
          <a:extLst>
            <a:ext uri="{FF2B5EF4-FFF2-40B4-BE49-F238E27FC236}">
              <a16:creationId xmlns:a16="http://schemas.microsoft.com/office/drawing/2014/main" id="{00000000-0008-0000-0100-0000410F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906" name="Line 29">
          <a:extLst>
            <a:ext uri="{FF2B5EF4-FFF2-40B4-BE49-F238E27FC236}">
              <a16:creationId xmlns:a16="http://schemas.microsoft.com/office/drawing/2014/main" id="{00000000-0008-0000-0100-0000420F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907" name="Line 30">
          <a:extLst>
            <a:ext uri="{FF2B5EF4-FFF2-40B4-BE49-F238E27FC236}">
              <a16:creationId xmlns:a16="http://schemas.microsoft.com/office/drawing/2014/main" id="{00000000-0008-0000-0100-0000430F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908" name="Line 31">
          <a:extLst>
            <a:ext uri="{FF2B5EF4-FFF2-40B4-BE49-F238E27FC236}">
              <a16:creationId xmlns:a16="http://schemas.microsoft.com/office/drawing/2014/main" id="{00000000-0008-0000-0100-000044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909" name="Line 32">
          <a:extLst>
            <a:ext uri="{FF2B5EF4-FFF2-40B4-BE49-F238E27FC236}">
              <a16:creationId xmlns:a16="http://schemas.microsoft.com/office/drawing/2014/main" id="{00000000-0008-0000-0100-000045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910" name="Line 33">
          <a:extLst>
            <a:ext uri="{FF2B5EF4-FFF2-40B4-BE49-F238E27FC236}">
              <a16:creationId xmlns:a16="http://schemas.microsoft.com/office/drawing/2014/main" id="{00000000-0008-0000-0100-000046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911" name="Line 34">
          <a:extLst>
            <a:ext uri="{FF2B5EF4-FFF2-40B4-BE49-F238E27FC236}">
              <a16:creationId xmlns:a16="http://schemas.microsoft.com/office/drawing/2014/main" id="{00000000-0008-0000-0100-000047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912" name="Line 35">
          <a:extLst>
            <a:ext uri="{FF2B5EF4-FFF2-40B4-BE49-F238E27FC236}">
              <a16:creationId xmlns:a16="http://schemas.microsoft.com/office/drawing/2014/main" id="{00000000-0008-0000-0100-000048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913" name="Line 36">
          <a:extLst>
            <a:ext uri="{FF2B5EF4-FFF2-40B4-BE49-F238E27FC236}">
              <a16:creationId xmlns:a16="http://schemas.microsoft.com/office/drawing/2014/main" id="{00000000-0008-0000-0100-000049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914" name="Line 37">
          <a:extLst>
            <a:ext uri="{FF2B5EF4-FFF2-40B4-BE49-F238E27FC236}">
              <a16:creationId xmlns:a16="http://schemas.microsoft.com/office/drawing/2014/main" id="{00000000-0008-0000-0100-00004A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915" name="Line 38">
          <a:extLst>
            <a:ext uri="{FF2B5EF4-FFF2-40B4-BE49-F238E27FC236}">
              <a16:creationId xmlns:a16="http://schemas.microsoft.com/office/drawing/2014/main" id="{00000000-0008-0000-0100-00004B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916" name="Line 39">
          <a:extLst>
            <a:ext uri="{FF2B5EF4-FFF2-40B4-BE49-F238E27FC236}">
              <a16:creationId xmlns:a16="http://schemas.microsoft.com/office/drawing/2014/main" id="{00000000-0008-0000-0100-00004C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917" name="Line 40">
          <a:extLst>
            <a:ext uri="{FF2B5EF4-FFF2-40B4-BE49-F238E27FC236}">
              <a16:creationId xmlns:a16="http://schemas.microsoft.com/office/drawing/2014/main" id="{00000000-0008-0000-0100-00004D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918" name="Line 41">
          <a:extLst>
            <a:ext uri="{FF2B5EF4-FFF2-40B4-BE49-F238E27FC236}">
              <a16:creationId xmlns:a16="http://schemas.microsoft.com/office/drawing/2014/main" id="{00000000-0008-0000-0100-00004E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919" name="Rectangle 42">
          <a:extLst>
            <a:ext uri="{FF2B5EF4-FFF2-40B4-BE49-F238E27FC236}">
              <a16:creationId xmlns:a16="http://schemas.microsoft.com/office/drawing/2014/main" id="{00000000-0008-0000-0100-00004F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20" name="Line 43">
          <a:extLst>
            <a:ext uri="{FF2B5EF4-FFF2-40B4-BE49-F238E27FC236}">
              <a16:creationId xmlns:a16="http://schemas.microsoft.com/office/drawing/2014/main" id="{00000000-0008-0000-0100-000050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21" name="Line 44">
          <a:extLst>
            <a:ext uri="{FF2B5EF4-FFF2-40B4-BE49-F238E27FC236}">
              <a16:creationId xmlns:a16="http://schemas.microsoft.com/office/drawing/2014/main" id="{00000000-0008-0000-0100-000051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922" name="Line 45">
          <a:extLst>
            <a:ext uri="{FF2B5EF4-FFF2-40B4-BE49-F238E27FC236}">
              <a16:creationId xmlns:a16="http://schemas.microsoft.com/office/drawing/2014/main" id="{00000000-0008-0000-0100-000052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923" name="Line 46">
          <a:extLst>
            <a:ext uri="{FF2B5EF4-FFF2-40B4-BE49-F238E27FC236}">
              <a16:creationId xmlns:a16="http://schemas.microsoft.com/office/drawing/2014/main" id="{00000000-0008-0000-0100-000053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924" name="Line 47">
          <a:extLst>
            <a:ext uri="{FF2B5EF4-FFF2-40B4-BE49-F238E27FC236}">
              <a16:creationId xmlns:a16="http://schemas.microsoft.com/office/drawing/2014/main" id="{00000000-0008-0000-0100-000054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925" name="Line 48">
          <a:extLst>
            <a:ext uri="{FF2B5EF4-FFF2-40B4-BE49-F238E27FC236}">
              <a16:creationId xmlns:a16="http://schemas.microsoft.com/office/drawing/2014/main" id="{00000000-0008-0000-0100-000055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926" name="Line 49">
          <a:extLst>
            <a:ext uri="{FF2B5EF4-FFF2-40B4-BE49-F238E27FC236}">
              <a16:creationId xmlns:a16="http://schemas.microsoft.com/office/drawing/2014/main" id="{00000000-0008-0000-0100-000056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927" name="Line 50">
          <a:extLst>
            <a:ext uri="{FF2B5EF4-FFF2-40B4-BE49-F238E27FC236}">
              <a16:creationId xmlns:a16="http://schemas.microsoft.com/office/drawing/2014/main" id="{00000000-0008-0000-0100-000057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928" name="Line 51">
          <a:extLst>
            <a:ext uri="{FF2B5EF4-FFF2-40B4-BE49-F238E27FC236}">
              <a16:creationId xmlns:a16="http://schemas.microsoft.com/office/drawing/2014/main" id="{00000000-0008-0000-0100-000058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929" name="Line 52">
          <a:extLst>
            <a:ext uri="{FF2B5EF4-FFF2-40B4-BE49-F238E27FC236}">
              <a16:creationId xmlns:a16="http://schemas.microsoft.com/office/drawing/2014/main" id="{00000000-0008-0000-0100-000059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930" name="Line 53">
          <a:extLst>
            <a:ext uri="{FF2B5EF4-FFF2-40B4-BE49-F238E27FC236}">
              <a16:creationId xmlns:a16="http://schemas.microsoft.com/office/drawing/2014/main" id="{00000000-0008-0000-0100-00005A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931" name="Line 54">
          <a:extLst>
            <a:ext uri="{FF2B5EF4-FFF2-40B4-BE49-F238E27FC236}">
              <a16:creationId xmlns:a16="http://schemas.microsoft.com/office/drawing/2014/main" id="{00000000-0008-0000-0100-00005B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932" name="Line 55">
          <a:extLst>
            <a:ext uri="{FF2B5EF4-FFF2-40B4-BE49-F238E27FC236}">
              <a16:creationId xmlns:a16="http://schemas.microsoft.com/office/drawing/2014/main" id="{00000000-0008-0000-0100-00005C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933" name="Line 56">
          <a:extLst>
            <a:ext uri="{FF2B5EF4-FFF2-40B4-BE49-F238E27FC236}">
              <a16:creationId xmlns:a16="http://schemas.microsoft.com/office/drawing/2014/main" id="{00000000-0008-0000-0100-00005D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934" name="Rectangle 57">
          <a:extLst>
            <a:ext uri="{FF2B5EF4-FFF2-40B4-BE49-F238E27FC236}">
              <a16:creationId xmlns:a16="http://schemas.microsoft.com/office/drawing/2014/main" id="{00000000-0008-0000-0100-00005E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935" name="Line 58">
          <a:extLst>
            <a:ext uri="{FF2B5EF4-FFF2-40B4-BE49-F238E27FC236}">
              <a16:creationId xmlns:a16="http://schemas.microsoft.com/office/drawing/2014/main" id="{00000000-0008-0000-0100-00005F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936" name="Line 59">
          <a:extLst>
            <a:ext uri="{FF2B5EF4-FFF2-40B4-BE49-F238E27FC236}">
              <a16:creationId xmlns:a16="http://schemas.microsoft.com/office/drawing/2014/main" id="{00000000-0008-0000-0100-000060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937" name="Line 60">
          <a:extLst>
            <a:ext uri="{FF2B5EF4-FFF2-40B4-BE49-F238E27FC236}">
              <a16:creationId xmlns:a16="http://schemas.microsoft.com/office/drawing/2014/main" id="{00000000-0008-0000-0100-000061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938" name="Line 61">
          <a:extLst>
            <a:ext uri="{FF2B5EF4-FFF2-40B4-BE49-F238E27FC236}">
              <a16:creationId xmlns:a16="http://schemas.microsoft.com/office/drawing/2014/main" id="{00000000-0008-0000-0100-000062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939" name="Line 62">
          <a:extLst>
            <a:ext uri="{FF2B5EF4-FFF2-40B4-BE49-F238E27FC236}">
              <a16:creationId xmlns:a16="http://schemas.microsoft.com/office/drawing/2014/main" id="{00000000-0008-0000-0100-000063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940" name="Line 63">
          <a:extLst>
            <a:ext uri="{FF2B5EF4-FFF2-40B4-BE49-F238E27FC236}">
              <a16:creationId xmlns:a16="http://schemas.microsoft.com/office/drawing/2014/main" id="{00000000-0008-0000-0100-000064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941" name="Line 64">
          <a:extLst>
            <a:ext uri="{FF2B5EF4-FFF2-40B4-BE49-F238E27FC236}">
              <a16:creationId xmlns:a16="http://schemas.microsoft.com/office/drawing/2014/main" id="{00000000-0008-0000-0100-000065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942" name="Line 65">
          <a:extLst>
            <a:ext uri="{FF2B5EF4-FFF2-40B4-BE49-F238E27FC236}">
              <a16:creationId xmlns:a16="http://schemas.microsoft.com/office/drawing/2014/main" id="{00000000-0008-0000-0100-000066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943" name="Line 66">
          <a:extLst>
            <a:ext uri="{FF2B5EF4-FFF2-40B4-BE49-F238E27FC236}">
              <a16:creationId xmlns:a16="http://schemas.microsoft.com/office/drawing/2014/main" id="{00000000-0008-0000-0100-000067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944" name="Line 67">
          <a:extLst>
            <a:ext uri="{FF2B5EF4-FFF2-40B4-BE49-F238E27FC236}">
              <a16:creationId xmlns:a16="http://schemas.microsoft.com/office/drawing/2014/main" id="{00000000-0008-0000-0100-000068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945" name="Line 68">
          <a:extLst>
            <a:ext uri="{FF2B5EF4-FFF2-40B4-BE49-F238E27FC236}">
              <a16:creationId xmlns:a16="http://schemas.microsoft.com/office/drawing/2014/main" id="{00000000-0008-0000-0100-000069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946" name="Line 1">
          <a:extLst>
            <a:ext uri="{FF2B5EF4-FFF2-40B4-BE49-F238E27FC236}">
              <a16:creationId xmlns:a16="http://schemas.microsoft.com/office/drawing/2014/main" id="{00000000-0008-0000-0100-00006A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947" name="Drawing 16">
          <a:extLst>
            <a:ext uri="{FF2B5EF4-FFF2-40B4-BE49-F238E27FC236}">
              <a16:creationId xmlns:a16="http://schemas.microsoft.com/office/drawing/2014/main" id="{00000000-0008-0000-0100-00006B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948" name="Line 3">
          <a:extLst>
            <a:ext uri="{FF2B5EF4-FFF2-40B4-BE49-F238E27FC236}">
              <a16:creationId xmlns:a16="http://schemas.microsoft.com/office/drawing/2014/main" id="{00000000-0008-0000-0100-00006C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949" name="Line 4">
          <a:extLst>
            <a:ext uri="{FF2B5EF4-FFF2-40B4-BE49-F238E27FC236}">
              <a16:creationId xmlns:a16="http://schemas.microsoft.com/office/drawing/2014/main" id="{00000000-0008-0000-0100-00006D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950" name="Line 5">
          <a:extLst>
            <a:ext uri="{FF2B5EF4-FFF2-40B4-BE49-F238E27FC236}">
              <a16:creationId xmlns:a16="http://schemas.microsoft.com/office/drawing/2014/main" id="{00000000-0008-0000-0100-00006E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951" name="Line 6">
          <a:extLst>
            <a:ext uri="{FF2B5EF4-FFF2-40B4-BE49-F238E27FC236}">
              <a16:creationId xmlns:a16="http://schemas.microsoft.com/office/drawing/2014/main" id="{00000000-0008-0000-0100-00006F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952" name="Line 7">
          <a:extLst>
            <a:ext uri="{FF2B5EF4-FFF2-40B4-BE49-F238E27FC236}">
              <a16:creationId xmlns:a16="http://schemas.microsoft.com/office/drawing/2014/main" id="{00000000-0008-0000-0100-000070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953" name="Line 8">
          <a:extLst>
            <a:ext uri="{FF2B5EF4-FFF2-40B4-BE49-F238E27FC236}">
              <a16:creationId xmlns:a16="http://schemas.microsoft.com/office/drawing/2014/main" id="{00000000-0008-0000-0100-000071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954" name="Line 9">
          <a:extLst>
            <a:ext uri="{FF2B5EF4-FFF2-40B4-BE49-F238E27FC236}">
              <a16:creationId xmlns:a16="http://schemas.microsoft.com/office/drawing/2014/main" id="{00000000-0008-0000-0100-000072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955" name="Line 10">
          <a:extLst>
            <a:ext uri="{FF2B5EF4-FFF2-40B4-BE49-F238E27FC236}">
              <a16:creationId xmlns:a16="http://schemas.microsoft.com/office/drawing/2014/main" id="{00000000-0008-0000-0100-000073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956" name="Line 11">
          <a:extLst>
            <a:ext uri="{FF2B5EF4-FFF2-40B4-BE49-F238E27FC236}">
              <a16:creationId xmlns:a16="http://schemas.microsoft.com/office/drawing/2014/main" id="{00000000-0008-0000-0100-000074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957" name="Line 12">
          <a:extLst>
            <a:ext uri="{FF2B5EF4-FFF2-40B4-BE49-F238E27FC236}">
              <a16:creationId xmlns:a16="http://schemas.microsoft.com/office/drawing/2014/main" id="{00000000-0008-0000-0100-000075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958" name="Line 13">
          <a:extLst>
            <a:ext uri="{FF2B5EF4-FFF2-40B4-BE49-F238E27FC236}">
              <a16:creationId xmlns:a16="http://schemas.microsoft.com/office/drawing/2014/main" id="{00000000-0008-0000-0100-000076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959" name="Line 14">
          <a:extLst>
            <a:ext uri="{FF2B5EF4-FFF2-40B4-BE49-F238E27FC236}">
              <a16:creationId xmlns:a16="http://schemas.microsoft.com/office/drawing/2014/main" id="{00000000-0008-0000-0100-000077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960" name="Line 15">
          <a:extLst>
            <a:ext uri="{FF2B5EF4-FFF2-40B4-BE49-F238E27FC236}">
              <a16:creationId xmlns:a16="http://schemas.microsoft.com/office/drawing/2014/main" id="{00000000-0008-0000-0100-0000780F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961" name="Line 16">
          <a:extLst>
            <a:ext uri="{FF2B5EF4-FFF2-40B4-BE49-F238E27FC236}">
              <a16:creationId xmlns:a16="http://schemas.microsoft.com/office/drawing/2014/main" id="{00000000-0008-0000-0100-0000790F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962" name="Line 17">
          <a:extLst>
            <a:ext uri="{FF2B5EF4-FFF2-40B4-BE49-F238E27FC236}">
              <a16:creationId xmlns:a16="http://schemas.microsoft.com/office/drawing/2014/main" id="{00000000-0008-0000-0100-00007A0F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963" name="Line 18">
          <a:extLst>
            <a:ext uri="{FF2B5EF4-FFF2-40B4-BE49-F238E27FC236}">
              <a16:creationId xmlns:a16="http://schemas.microsoft.com/office/drawing/2014/main" id="{00000000-0008-0000-0100-00007B0F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964" name="Line 19">
          <a:extLst>
            <a:ext uri="{FF2B5EF4-FFF2-40B4-BE49-F238E27FC236}">
              <a16:creationId xmlns:a16="http://schemas.microsoft.com/office/drawing/2014/main" id="{00000000-0008-0000-0100-00007C0F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965" name="Line 20">
          <a:extLst>
            <a:ext uri="{FF2B5EF4-FFF2-40B4-BE49-F238E27FC236}">
              <a16:creationId xmlns:a16="http://schemas.microsoft.com/office/drawing/2014/main" id="{00000000-0008-0000-0100-00007D0F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966" name="Line 21">
          <a:extLst>
            <a:ext uri="{FF2B5EF4-FFF2-40B4-BE49-F238E27FC236}">
              <a16:creationId xmlns:a16="http://schemas.microsoft.com/office/drawing/2014/main" id="{00000000-0008-0000-0100-00007E0F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967" name="Line 22">
          <a:extLst>
            <a:ext uri="{FF2B5EF4-FFF2-40B4-BE49-F238E27FC236}">
              <a16:creationId xmlns:a16="http://schemas.microsoft.com/office/drawing/2014/main" id="{00000000-0008-0000-0100-00007F0F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968" name="Line 23">
          <a:extLst>
            <a:ext uri="{FF2B5EF4-FFF2-40B4-BE49-F238E27FC236}">
              <a16:creationId xmlns:a16="http://schemas.microsoft.com/office/drawing/2014/main" id="{00000000-0008-0000-0100-0000800F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969" name="Line 24">
          <a:extLst>
            <a:ext uri="{FF2B5EF4-FFF2-40B4-BE49-F238E27FC236}">
              <a16:creationId xmlns:a16="http://schemas.microsoft.com/office/drawing/2014/main" id="{00000000-0008-0000-0100-0000810F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970" name="Line 25">
          <a:extLst>
            <a:ext uri="{FF2B5EF4-FFF2-40B4-BE49-F238E27FC236}">
              <a16:creationId xmlns:a16="http://schemas.microsoft.com/office/drawing/2014/main" id="{00000000-0008-0000-0100-0000820F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971" name="Line 26">
          <a:extLst>
            <a:ext uri="{FF2B5EF4-FFF2-40B4-BE49-F238E27FC236}">
              <a16:creationId xmlns:a16="http://schemas.microsoft.com/office/drawing/2014/main" id="{00000000-0008-0000-0100-0000830F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972" name="Line 27">
          <a:extLst>
            <a:ext uri="{FF2B5EF4-FFF2-40B4-BE49-F238E27FC236}">
              <a16:creationId xmlns:a16="http://schemas.microsoft.com/office/drawing/2014/main" id="{00000000-0008-0000-0100-0000840F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973" name="Line 28">
          <a:extLst>
            <a:ext uri="{FF2B5EF4-FFF2-40B4-BE49-F238E27FC236}">
              <a16:creationId xmlns:a16="http://schemas.microsoft.com/office/drawing/2014/main" id="{00000000-0008-0000-0100-0000850F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974" name="Line 29">
          <a:extLst>
            <a:ext uri="{FF2B5EF4-FFF2-40B4-BE49-F238E27FC236}">
              <a16:creationId xmlns:a16="http://schemas.microsoft.com/office/drawing/2014/main" id="{00000000-0008-0000-0100-0000860F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975" name="Line 30">
          <a:extLst>
            <a:ext uri="{FF2B5EF4-FFF2-40B4-BE49-F238E27FC236}">
              <a16:creationId xmlns:a16="http://schemas.microsoft.com/office/drawing/2014/main" id="{00000000-0008-0000-0100-0000870F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976" name="Line 31">
          <a:extLst>
            <a:ext uri="{FF2B5EF4-FFF2-40B4-BE49-F238E27FC236}">
              <a16:creationId xmlns:a16="http://schemas.microsoft.com/office/drawing/2014/main" id="{00000000-0008-0000-0100-000088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977" name="Line 32">
          <a:extLst>
            <a:ext uri="{FF2B5EF4-FFF2-40B4-BE49-F238E27FC236}">
              <a16:creationId xmlns:a16="http://schemas.microsoft.com/office/drawing/2014/main" id="{00000000-0008-0000-0100-000089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978" name="Line 33">
          <a:extLst>
            <a:ext uri="{FF2B5EF4-FFF2-40B4-BE49-F238E27FC236}">
              <a16:creationId xmlns:a16="http://schemas.microsoft.com/office/drawing/2014/main" id="{00000000-0008-0000-0100-00008A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979" name="Line 34">
          <a:extLst>
            <a:ext uri="{FF2B5EF4-FFF2-40B4-BE49-F238E27FC236}">
              <a16:creationId xmlns:a16="http://schemas.microsoft.com/office/drawing/2014/main" id="{00000000-0008-0000-0100-00008B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980" name="Line 35">
          <a:extLst>
            <a:ext uri="{FF2B5EF4-FFF2-40B4-BE49-F238E27FC236}">
              <a16:creationId xmlns:a16="http://schemas.microsoft.com/office/drawing/2014/main" id="{00000000-0008-0000-0100-00008C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981" name="Line 36">
          <a:extLst>
            <a:ext uri="{FF2B5EF4-FFF2-40B4-BE49-F238E27FC236}">
              <a16:creationId xmlns:a16="http://schemas.microsoft.com/office/drawing/2014/main" id="{00000000-0008-0000-0100-00008D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982" name="Line 37">
          <a:extLst>
            <a:ext uri="{FF2B5EF4-FFF2-40B4-BE49-F238E27FC236}">
              <a16:creationId xmlns:a16="http://schemas.microsoft.com/office/drawing/2014/main" id="{00000000-0008-0000-0100-00008E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983" name="Line 38">
          <a:extLst>
            <a:ext uri="{FF2B5EF4-FFF2-40B4-BE49-F238E27FC236}">
              <a16:creationId xmlns:a16="http://schemas.microsoft.com/office/drawing/2014/main" id="{00000000-0008-0000-0100-00008F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984" name="Line 39">
          <a:extLst>
            <a:ext uri="{FF2B5EF4-FFF2-40B4-BE49-F238E27FC236}">
              <a16:creationId xmlns:a16="http://schemas.microsoft.com/office/drawing/2014/main" id="{00000000-0008-0000-0100-000090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985" name="Line 40">
          <a:extLst>
            <a:ext uri="{FF2B5EF4-FFF2-40B4-BE49-F238E27FC236}">
              <a16:creationId xmlns:a16="http://schemas.microsoft.com/office/drawing/2014/main" id="{00000000-0008-0000-0100-000091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986" name="Line 41">
          <a:extLst>
            <a:ext uri="{FF2B5EF4-FFF2-40B4-BE49-F238E27FC236}">
              <a16:creationId xmlns:a16="http://schemas.microsoft.com/office/drawing/2014/main" id="{00000000-0008-0000-0100-000092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987" name="Rectangle 42">
          <a:extLst>
            <a:ext uri="{FF2B5EF4-FFF2-40B4-BE49-F238E27FC236}">
              <a16:creationId xmlns:a16="http://schemas.microsoft.com/office/drawing/2014/main" id="{00000000-0008-0000-0100-000093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88" name="Line 43">
          <a:extLst>
            <a:ext uri="{FF2B5EF4-FFF2-40B4-BE49-F238E27FC236}">
              <a16:creationId xmlns:a16="http://schemas.microsoft.com/office/drawing/2014/main" id="{00000000-0008-0000-0100-000094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89" name="Line 44">
          <a:extLst>
            <a:ext uri="{FF2B5EF4-FFF2-40B4-BE49-F238E27FC236}">
              <a16:creationId xmlns:a16="http://schemas.microsoft.com/office/drawing/2014/main" id="{00000000-0008-0000-0100-000095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990" name="Line 45">
          <a:extLst>
            <a:ext uri="{FF2B5EF4-FFF2-40B4-BE49-F238E27FC236}">
              <a16:creationId xmlns:a16="http://schemas.microsoft.com/office/drawing/2014/main" id="{00000000-0008-0000-0100-000096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991" name="Line 46">
          <a:extLst>
            <a:ext uri="{FF2B5EF4-FFF2-40B4-BE49-F238E27FC236}">
              <a16:creationId xmlns:a16="http://schemas.microsoft.com/office/drawing/2014/main" id="{00000000-0008-0000-0100-000097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992" name="Line 47">
          <a:extLst>
            <a:ext uri="{FF2B5EF4-FFF2-40B4-BE49-F238E27FC236}">
              <a16:creationId xmlns:a16="http://schemas.microsoft.com/office/drawing/2014/main" id="{00000000-0008-0000-0100-000098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993" name="Line 48">
          <a:extLst>
            <a:ext uri="{FF2B5EF4-FFF2-40B4-BE49-F238E27FC236}">
              <a16:creationId xmlns:a16="http://schemas.microsoft.com/office/drawing/2014/main" id="{00000000-0008-0000-0100-000099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994" name="Line 49">
          <a:extLst>
            <a:ext uri="{FF2B5EF4-FFF2-40B4-BE49-F238E27FC236}">
              <a16:creationId xmlns:a16="http://schemas.microsoft.com/office/drawing/2014/main" id="{00000000-0008-0000-0100-00009A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995" name="Line 50">
          <a:extLst>
            <a:ext uri="{FF2B5EF4-FFF2-40B4-BE49-F238E27FC236}">
              <a16:creationId xmlns:a16="http://schemas.microsoft.com/office/drawing/2014/main" id="{00000000-0008-0000-0100-00009B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996" name="Line 51">
          <a:extLst>
            <a:ext uri="{FF2B5EF4-FFF2-40B4-BE49-F238E27FC236}">
              <a16:creationId xmlns:a16="http://schemas.microsoft.com/office/drawing/2014/main" id="{00000000-0008-0000-0100-00009C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997" name="Line 52">
          <a:extLst>
            <a:ext uri="{FF2B5EF4-FFF2-40B4-BE49-F238E27FC236}">
              <a16:creationId xmlns:a16="http://schemas.microsoft.com/office/drawing/2014/main" id="{00000000-0008-0000-0100-00009D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998" name="Line 53">
          <a:extLst>
            <a:ext uri="{FF2B5EF4-FFF2-40B4-BE49-F238E27FC236}">
              <a16:creationId xmlns:a16="http://schemas.microsoft.com/office/drawing/2014/main" id="{00000000-0008-0000-0100-00009E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999" name="Line 54">
          <a:extLst>
            <a:ext uri="{FF2B5EF4-FFF2-40B4-BE49-F238E27FC236}">
              <a16:creationId xmlns:a16="http://schemas.microsoft.com/office/drawing/2014/main" id="{00000000-0008-0000-0100-00009F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000" name="Line 55">
          <a:extLst>
            <a:ext uri="{FF2B5EF4-FFF2-40B4-BE49-F238E27FC236}">
              <a16:creationId xmlns:a16="http://schemas.microsoft.com/office/drawing/2014/main" id="{00000000-0008-0000-0100-0000A0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001" name="Line 56">
          <a:extLst>
            <a:ext uri="{FF2B5EF4-FFF2-40B4-BE49-F238E27FC236}">
              <a16:creationId xmlns:a16="http://schemas.microsoft.com/office/drawing/2014/main" id="{00000000-0008-0000-0100-0000A1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002" name="Rectangle 57">
          <a:extLst>
            <a:ext uri="{FF2B5EF4-FFF2-40B4-BE49-F238E27FC236}">
              <a16:creationId xmlns:a16="http://schemas.microsoft.com/office/drawing/2014/main" id="{00000000-0008-0000-0100-0000A2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003" name="Line 58">
          <a:extLst>
            <a:ext uri="{FF2B5EF4-FFF2-40B4-BE49-F238E27FC236}">
              <a16:creationId xmlns:a16="http://schemas.microsoft.com/office/drawing/2014/main" id="{00000000-0008-0000-0100-0000A3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004" name="Line 59">
          <a:extLst>
            <a:ext uri="{FF2B5EF4-FFF2-40B4-BE49-F238E27FC236}">
              <a16:creationId xmlns:a16="http://schemas.microsoft.com/office/drawing/2014/main" id="{00000000-0008-0000-0100-0000A4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005" name="Line 60">
          <a:extLst>
            <a:ext uri="{FF2B5EF4-FFF2-40B4-BE49-F238E27FC236}">
              <a16:creationId xmlns:a16="http://schemas.microsoft.com/office/drawing/2014/main" id="{00000000-0008-0000-0100-0000A5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006" name="Line 61">
          <a:extLst>
            <a:ext uri="{FF2B5EF4-FFF2-40B4-BE49-F238E27FC236}">
              <a16:creationId xmlns:a16="http://schemas.microsoft.com/office/drawing/2014/main" id="{00000000-0008-0000-0100-0000A6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007" name="Line 62">
          <a:extLst>
            <a:ext uri="{FF2B5EF4-FFF2-40B4-BE49-F238E27FC236}">
              <a16:creationId xmlns:a16="http://schemas.microsoft.com/office/drawing/2014/main" id="{00000000-0008-0000-0100-0000A7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008" name="Line 63">
          <a:extLst>
            <a:ext uri="{FF2B5EF4-FFF2-40B4-BE49-F238E27FC236}">
              <a16:creationId xmlns:a16="http://schemas.microsoft.com/office/drawing/2014/main" id="{00000000-0008-0000-0100-0000A8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009" name="Line 64">
          <a:extLst>
            <a:ext uri="{FF2B5EF4-FFF2-40B4-BE49-F238E27FC236}">
              <a16:creationId xmlns:a16="http://schemas.microsoft.com/office/drawing/2014/main" id="{00000000-0008-0000-0100-0000A9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010" name="Line 65">
          <a:extLst>
            <a:ext uri="{FF2B5EF4-FFF2-40B4-BE49-F238E27FC236}">
              <a16:creationId xmlns:a16="http://schemas.microsoft.com/office/drawing/2014/main" id="{00000000-0008-0000-0100-0000AA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011" name="Line 66">
          <a:extLst>
            <a:ext uri="{FF2B5EF4-FFF2-40B4-BE49-F238E27FC236}">
              <a16:creationId xmlns:a16="http://schemas.microsoft.com/office/drawing/2014/main" id="{00000000-0008-0000-0100-0000AB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012" name="Line 67">
          <a:extLst>
            <a:ext uri="{FF2B5EF4-FFF2-40B4-BE49-F238E27FC236}">
              <a16:creationId xmlns:a16="http://schemas.microsoft.com/office/drawing/2014/main" id="{00000000-0008-0000-0100-0000AC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013" name="Line 68">
          <a:extLst>
            <a:ext uri="{FF2B5EF4-FFF2-40B4-BE49-F238E27FC236}">
              <a16:creationId xmlns:a16="http://schemas.microsoft.com/office/drawing/2014/main" id="{00000000-0008-0000-0100-0000AD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014" name="Line 1">
          <a:extLst>
            <a:ext uri="{FF2B5EF4-FFF2-40B4-BE49-F238E27FC236}">
              <a16:creationId xmlns:a16="http://schemas.microsoft.com/office/drawing/2014/main" id="{00000000-0008-0000-0100-0000AE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015" name="Drawing 16">
          <a:extLst>
            <a:ext uri="{FF2B5EF4-FFF2-40B4-BE49-F238E27FC236}">
              <a16:creationId xmlns:a16="http://schemas.microsoft.com/office/drawing/2014/main" id="{00000000-0008-0000-0100-0000AF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016" name="Line 3">
          <a:extLst>
            <a:ext uri="{FF2B5EF4-FFF2-40B4-BE49-F238E27FC236}">
              <a16:creationId xmlns:a16="http://schemas.microsoft.com/office/drawing/2014/main" id="{00000000-0008-0000-0100-0000B0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017" name="Line 4">
          <a:extLst>
            <a:ext uri="{FF2B5EF4-FFF2-40B4-BE49-F238E27FC236}">
              <a16:creationId xmlns:a16="http://schemas.microsoft.com/office/drawing/2014/main" id="{00000000-0008-0000-0100-0000B1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018" name="Line 5">
          <a:extLst>
            <a:ext uri="{FF2B5EF4-FFF2-40B4-BE49-F238E27FC236}">
              <a16:creationId xmlns:a16="http://schemas.microsoft.com/office/drawing/2014/main" id="{00000000-0008-0000-0100-0000B2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019" name="Line 6">
          <a:extLst>
            <a:ext uri="{FF2B5EF4-FFF2-40B4-BE49-F238E27FC236}">
              <a16:creationId xmlns:a16="http://schemas.microsoft.com/office/drawing/2014/main" id="{00000000-0008-0000-0100-0000B3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020" name="Line 7">
          <a:extLst>
            <a:ext uri="{FF2B5EF4-FFF2-40B4-BE49-F238E27FC236}">
              <a16:creationId xmlns:a16="http://schemas.microsoft.com/office/drawing/2014/main" id="{00000000-0008-0000-0100-0000B4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021" name="Line 8">
          <a:extLst>
            <a:ext uri="{FF2B5EF4-FFF2-40B4-BE49-F238E27FC236}">
              <a16:creationId xmlns:a16="http://schemas.microsoft.com/office/drawing/2014/main" id="{00000000-0008-0000-0100-0000B5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022" name="Line 9">
          <a:extLst>
            <a:ext uri="{FF2B5EF4-FFF2-40B4-BE49-F238E27FC236}">
              <a16:creationId xmlns:a16="http://schemas.microsoft.com/office/drawing/2014/main" id="{00000000-0008-0000-0100-0000B6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023" name="Line 10">
          <a:extLst>
            <a:ext uri="{FF2B5EF4-FFF2-40B4-BE49-F238E27FC236}">
              <a16:creationId xmlns:a16="http://schemas.microsoft.com/office/drawing/2014/main" id="{00000000-0008-0000-0100-0000B7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024" name="Line 11">
          <a:extLst>
            <a:ext uri="{FF2B5EF4-FFF2-40B4-BE49-F238E27FC236}">
              <a16:creationId xmlns:a16="http://schemas.microsoft.com/office/drawing/2014/main" id="{00000000-0008-0000-0100-0000B8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025" name="Line 12">
          <a:extLst>
            <a:ext uri="{FF2B5EF4-FFF2-40B4-BE49-F238E27FC236}">
              <a16:creationId xmlns:a16="http://schemas.microsoft.com/office/drawing/2014/main" id="{00000000-0008-0000-0100-0000B9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026" name="Line 13">
          <a:extLst>
            <a:ext uri="{FF2B5EF4-FFF2-40B4-BE49-F238E27FC236}">
              <a16:creationId xmlns:a16="http://schemas.microsoft.com/office/drawing/2014/main" id="{00000000-0008-0000-0100-0000BA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27" name="Line 14">
          <a:extLst>
            <a:ext uri="{FF2B5EF4-FFF2-40B4-BE49-F238E27FC236}">
              <a16:creationId xmlns:a16="http://schemas.microsoft.com/office/drawing/2014/main" id="{00000000-0008-0000-0100-0000BB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028" name="Line 15">
          <a:extLst>
            <a:ext uri="{FF2B5EF4-FFF2-40B4-BE49-F238E27FC236}">
              <a16:creationId xmlns:a16="http://schemas.microsoft.com/office/drawing/2014/main" id="{00000000-0008-0000-0100-0000BC0F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29" name="Line 16">
          <a:extLst>
            <a:ext uri="{FF2B5EF4-FFF2-40B4-BE49-F238E27FC236}">
              <a16:creationId xmlns:a16="http://schemas.microsoft.com/office/drawing/2014/main" id="{00000000-0008-0000-0100-0000BD0F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030" name="Line 17">
          <a:extLst>
            <a:ext uri="{FF2B5EF4-FFF2-40B4-BE49-F238E27FC236}">
              <a16:creationId xmlns:a16="http://schemas.microsoft.com/office/drawing/2014/main" id="{00000000-0008-0000-0100-0000BE0F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031" name="Line 18">
          <a:extLst>
            <a:ext uri="{FF2B5EF4-FFF2-40B4-BE49-F238E27FC236}">
              <a16:creationId xmlns:a16="http://schemas.microsoft.com/office/drawing/2014/main" id="{00000000-0008-0000-0100-0000BF0F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032" name="Line 19">
          <a:extLst>
            <a:ext uri="{FF2B5EF4-FFF2-40B4-BE49-F238E27FC236}">
              <a16:creationId xmlns:a16="http://schemas.microsoft.com/office/drawing/2014/main" id="{00000000-0008-0000-0100-0000C00F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033" name="Line 20">
          <a:extLst>
            <a:ext uri="{FF2B5EF4-FFF2-40B4-BE49-F238E27FC236}">
              <a16:creationId xmlns:a16="http://schemas.microsoft.com/office/drawing/2014/main" id="{00000000-0008-0000-0100-0000C10F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034" name="Line 21">
          <a:extLst>
            <a:ext uri="{FF2B5EF4-FFF2-40B4-BE49-F238E27FC236}">
              <a16:creationId xmlns:a16="http://schemas.microsoft.com/office/drawing/2014/main" id="{00000000-0008-0000-0100-0000C20F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035" name="Line 22">
          <a:extLst>
            <a:ext uri="{FF2B5EF4-FFF2-40B4-BE49-F238E27FC236}">
              <a16:creationId xmlns:a16="http://schemas.microsoft.com/office/drawing/2014/main" id="{00000000-0008-0000-0100-0000C30F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036" name="Line 23">
          <a:extLst>
            <a:ext uri="{FF2B5EF4-FFF2-40B4-BE49-F238E27FC236}">
              <a16:creationId xmlns:a16="http://schemas.microsoft.com/office/drawing/2014/main" id="{00000000-0008-0000-0100-0000C40F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037" name="Line 24">
          <a:extLst>
            <a:ext uri="{FF2B5EF4-FFF2-40B4-BE49-F238E27FC236}">
              <a16:creationId xmlns:a16="http://schemas.microsoft.com/office/drawing/2014/main" id="{00000000-0008-0000-0100-0000C50F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038" name="Line 25">
          <a:extLst>
            <a:ext uri="{FF2B5EF4-FFF2-40B4-BE49-F238E27FC236}">
              <a16:creationId xmlns:a16="http://schemas.microsoft.com/office/drawing/2014/main" id="{00000000-0008-0000-0100-0000C60F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039" name="Line 26">
          <a:extLst>
            <a:ext uri="{FF2B5EF4-FFF2-40B4-BE49-F238E27FC236}">
              <a16:creationId xmlns:a16="http://schemas.microsoft.com/office/drawing/2014/main" id="{00000000-0008-0000-0100-0000C70F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040" name="Line 27">
          <a:extLst>
            <a:ext uri="{FF2B5EF4-FFF2-40B4-BE49-F238E27FC236}">
              <a16:creationId xmlns:a16="http://schemas.microsoft.com/office/drawing/2014/main" id="{00000000-0008-0000-0100-0000C80F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041" name="Line 28">
          <a:extLst>
            <a:ext uri="{FF2B5EF4-FFF2-40B4-BE49-F238E27FC236}">
              <a16:creationId xmlns:a16="http://schemas.microsoft.com/office/drawing/2014/main" id="{00000000-0008-0000-0100-0000C90F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042" name="Line 29">
          <a:extLst>
            <a:ext uri="{FF2B5EF4-FFF2-40B4-BE49-F238E27FC236}">
              <a16:creationId xmlns:a16="http://schemas.microsoft.com/office/drawing/2014/main" id="{00000000-0008-0000-0100-0000CA0F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043" name="Line 30">
          <a:extLst>
            <a:ext uri="{FF2B5EF4-FFF2-40B4-BE49-F238E27FC236}">
              <a16:creationId xmlns:a16="http://schemas.microsoft.com/office/drawing/2014/main" id="{00000000-0008-0000-0100-0000CB0F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044" name="Line 31">
          <a:extLst>
            <a:ext uri="{FF2B5EF4-FFF2-40B4-BE49-F238E27FC236}">
              <a16:creationId xmlns:a16="http://schemas.microsoft.com/office/drawing/2014/main" id="{00000000-0008-0000-0100-0000CC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045" name="Line 32">
          <a:extLst>
            <a:ext uri="{FF2B5EF4-FFF2-40B4-BE49-F238E27FC236}">
              <a16:creationId xmlns:a16="http://schemas.microsoft.com/office/drawing/2014/main" id="{00000000-0008-0000-0100-0000CD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046" name="Line 33">
          <a:extLst>
            <a:ext uri="{FF2B5EF4-FFF2-40B4-BE49-F238E27FC236}">
              <a16:creationId xmlns:a16="http://schemas.microsoft.com/office/drawing/2014/main" id="{00000000-0008-0000-0100-0000CE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047" name="Line 34">
          <a:extLst>
            <a:ext uri="{FF2B5EF4-FFF2-40B4-BE49-F238E27FC236}">
              <a16:creationId xmlns:a16="http://schemas.microsoft.com/office/drawing/2014/main" id="{00000000-0008-0000-0100-0000CF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048" name="Line 35">
          <a:extLst>
            <a:ext uri="{FF2B5EF4-FFF2-40B4-BE49-F238E27FC236}">
              <a16:creationId xmlns:a16="http://schemas.microsoft.com/office/drawing/2014/main" id="{00000000-0008-0000-0100-0000D0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049" name="Line 36">
          <a:extLst>
            <a:ext uri="{FF2B5EF4-FFF2-40B4-BE49-F238E27FC236}">
              <a16:creationId xmlns:a16="http://schemas.microsoft.com/office/drawing/2014/main" id="{00000000-0008-0000-0100-0000D1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050" name="Line 37">
          <a:extLst>
            <a:ext uri="{FF2B5EF4-FFF2-40B4-BE49-F238E27FC236}">
              <a16:creationId xmlns:a16="http://schemas.microsoft.com/office/drawing/2014/main" id="{00000000-0008-0000-0100-0000D2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051" name="Line 38">
          <a:extLst>
            <a:ext uri="{FF2B5EF4-FFF2-40B4-BE49-F238E27FC236}">
              <a16:creationId xmlns:a16="http://schemas.microsoft.com/office/drawing/2014/main" id="{00000000-0008-0000-0100-0000D3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052" name="Line 39">
          <a:extLst>
            <a:ext uri="{FF2B5EF4-FFF2-40B4-BE49-F238E27FC236}">
              <a16:creationId xmlns:a16="http://schemas.microsoft.com/office/drawing/2014/main" id="{00000000-0008-0000-0100-0000D4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053" name="Line 40">
          <a:extLst>
            <a:ext uri="{FF2B5EF4-FFF2-40B4-BE49-F238E27FC236}">
              <a16:creationId xmlns:a16="http://schemas.microsoft.com/office/drawing/2014/main" id="{00000000-0008-0000-0100-0000D5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054" name="Line 41">
          <a:extLst>
            <a:ext uri="{FF2B5EF4-FFF2-40B4-BE49-F238E27FC236}">
              <a16:creationId xmlns:a16="http://schemas.microsoft.com/office/drawing/2014/main" id="{00000000-0008-0000-0100-0000D6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055" name="Rectangle 42">
          <a:extLst>
            <a:ext uri="{FF2B5EF4-FFF2-40B4-BE49-F238E27FC236}">
              <a16:creationId xmlns:a16="http://schemas.microsoft.com/office/drawing/2014/main" id="{00000000-0008-0000-0100-0000D7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056" name="Line 43">
          <a:extLst>
            <a:ext uri="{FF2B5EF4-FFF2-40B4-BE49-F238E27FC236}">
              <a16:creationId xmlns:a16="http://schemas.microsoft.com/office/drawing/2014/main" id="{00000000-0008-0000-0100-0000D8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057" name="Line 44">
          <a:extLst>
            <a:ext uri="{FF2B5EF4-FFF2-40B4-BE49-F238E27FC236}">
              <a16:creationId xmlns:a16="http://schemas.microsoft.com/office/drawing/2014/main" id="{00000000-0008-0000-0100-0000D9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058" name="Line 45">
          <a:extLst>
            <a:ext uri="{FF2B5EF4-FFF2-40B4-BE49-F238E27FC236}">
              <a16:creationId xmlns:a16="http://schemas.microsoft.com/office/drawing/2014/main" id="{00000000-0008-0000-0100-0000DA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059" name="Line 46">
          <a:extLst>
            <a:ext uri="{FF2B5EF4-FFF2-40B4-BE49-F238E27FC236}">
              <a16:creationId xmlns:a16="http://schemas.microsoft.com/office/drawing/2014/main" id="{00000000-0008-0000-0100-0000DB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060" name="Line 47">
          <a:extLst>
            <a:ext uri="{FF2B5EF4-FFF2-40B4-BE49-F238E27FC236}">
              <a16:creationId xmlns:a16="http://schemas.microsoft.com/office/drawing/2014/main" id="{00000000-0008-0000-0100-0000DC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061" name="Line 48">
          <a:extLst>
            <a:ext uri="{FF2B5EF4-FFF2-40B4-BE49-F238E27FC236}">
              <a16:creationId xmlns:a16="http://schemas.microsoft.com/office/drawing/2014/main" id="{00000000-0008-0000-0100-0000DD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062" name="Line 49">
          <a:extLst>
            <a:ext uri="{FF2B5EF4-FFF2-40B4-BE49-F238E27FC236}">
              <a16:creationId xmlns:a16="http://schemas.microsoft.com/office/drawing/2014/main" id="{00000000-0008-0000-0100-0000DE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063" name="Line 50">
          <a:extLst>
            <a:ext uri="{FF2B5EF4-FFF2-40B4-BE49-F238E27FC236}">
              <a16:creationId xmlns:a16="http://schemas.microsoft.com/office/drawing/2014/main" id="{00000000-0008-0000-0100-0000DF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064" name="Line 51">
          <a:extLst>
            <a:ext uri="{FF2B5EF4-FFF2-40B4-BE49-F238E27FC236}">
              <a16:creationId xmlns:a16="http://schemas.microsoft.com/office/drawing/2014/main" id="{00000000-0008-0000-0100-0000E0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065" name="Line 52">
          <a:extLst>
            <a:ext uri="{FF2B5EF4-FFF2-40B4-BE49-F238E27FC236}">
              <a16:creationId xmlns:a16="http://schemas.microsoft.com/office/drawing/2014/main" id="{00000000-0008-0000-0100-0000E1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066" name="Line 53">
          <a:extLst>
            <a:ext uri="{FF2B5EF4-FFF2-40B4-BE49-F238E27FC236}">
              <a16:creationId xmlns:a16="http://schemas.microsoft.com/office/drawing/2014/main" id="{00000000-0008-0000-0100-0000E2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067" name="Line 54">
          <a:extLst>
            <a:ext uri="{FF2B5EF4-FFF2-40B4-BE49-F238E27FC236}">
              <a16:creationId xmlns:a16="http://schemas.microsoft.com/office/drawing/2014/main" id="{00000000-0008-0000-0100-0000E3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068" name="Line 55">
          <a:extLst>
            <a:ext uri="{FF2B5EF4-FFF2-40B4-BE49-F238E27FC236}">
              <a16:creationId xmlns:a16="http://schemas.microsoft.com/office/drawing/2014/main" id="{00000000-0008-0000-0100-0000E4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069" name="Line 56">
          <a:extLst>
            <a:ext uri="{FF2B5EF4-FFF2-40B4-BE49-F238E27FC236}">
              <a16:creationId xmlns:a16="http://schemas.microsoft.com/office/drawing/2014/main" id="{00000000-0008-0000-0100-0000E5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070" name="Rectangle 57">
          <a:extLst>
            <a:ext uri="{FF2B5EF4-FFF2-40B4-BE49-F238E27FC236}">
              <a16:creationId xmlns:a16="http://schemas.microsoft.com/office/drawing/2014/main" id="{00000000-0008-0000-0100-0000E6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071" name="Line 58">
          <a:extLst>
            <a:ext uri="{FF2B5EF4-FFF2-40B4-BE49-F238E27FC236}">
              <a16:creationId xmlns:a16="http://schemas.microsoft.com/office/drawing/2014/main" id="{00000000-0008-0000-0100-0000E7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072" name="Line 59">
          <a:extLst>
            <a:ext uri="{FF2B5EF4-FFF2-40B4-BE49-F238E27FC236}">
              <a16:creationId xmlns:a16="http://schemas.microsoft.com/office/drawing/2014/main" id="{00000000-0008-0000-0100-0000E8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073" name="Line 60">
          <a:extLst>
            <a:ext uri="{FF2B5EF4-FFF2-40B4-BE49-F238E27FC236}">
              <a16:creationId xmlns:a16="http://schemas.microsoft.com/office/drawing/2014/main" id="{00000000-0008-0000-0100-0000E9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074" name="Line 61">
          <a:extLst>
            <a:ext uri="{FF2B5EF4-FFF2-40B4-BE49-F238E27FC236}">
              <a16:creationId xmlns:a16="http://schemas.microsoft.com/office/drawing/2014/main" id="{00000000-0008-0000-0100-0000EA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075" name="Line 62">
          <a:extLst>
            <a:ext uri="{FF2B5EF4-FFF2-40B4-BE49-F238E27FC236}">
              <a16:creationId xmlns:a16="http://schemas.microsoft.com/office/drawing/2014/main" id="{00000000-0008-0000-0100-0000EB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076" name="Line 63">
          <a:extLst>
            <a:ext uri="{FF2B5EF4-FFF2-40B4-BE49-F238E27FC236}">
              <a16:creationId xmlns:a16="http://schemas.microsoft.com/office/drawing/2014/main" id="{00000000-0008-0000-0100-0000EC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077" name="Line 64">
          <a:extLst>
            <a:ext uri="{FF2B5EF4-FFF2-40B4-BE49-F238E27FC236}">
              <a16:creationId xmlns:a16="http://schemas.microsoft.com/office/drawing/2014/main" id="{00000000-0008-0000-0100-0000ED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078" name="Line 65">
          <a:extLst>
            <a:ext uri="{FF2B5EF4-FFF2-40B4-BE49-F238E27FC236}">
              <a16:creationId xmlns:a16="http://schemas.microsoft.com/office/drawing/2014/main" id="{00000000-0008-0000-0100-0000EE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079" name="Line 66">
          <a:extLst>
            <a:ext uri="{FF2B5EF4-FFF2-40B4-BE49-F238E27FC236}">
              <a16:creationId xmlns:a16="http://schemas.microsoft.com/office/drawing/2014/main" id="{00000000-0008-0000-0100-0000EF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080" name="Line 67">
          <a:extLst>
            <a:ext uri="{FF2B5EF4-FFF2-40B4-BE49-F238E27FC236}">
              <a16:creationId xmlns:a16="http://schemas.microsoft.com/office/drawing/2014/main" id="{00000000-0008-0000-0100-0000F0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081" name="Line 68">
          <a:extLst>
            <a:ext uri="{FF2B5EF4-FFF2-40B4-BE49-F238E27FC236}">
              <a16:creationId xmlns:a16="http://schemas.microsoft.com/office/drawing/2014/main" id="{00000000-0008-0000-0100-0000F1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082" name="Line 1">
          <a:extLst>
            <a:ext uri="{FF2B5EF4-FFF2-40B4-BE49-F238E27FC236}">
              <a16:creationId xmlns:a16="http://schemas.microsoft.com/office/drawing/2014/main" id="{00000000-0008-0000-0100-0000F2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083" name="Drawing 16">
          <a:extLst>
            <a:ext uri="{FF2B5EF4-FFF2-40B4-BE49-F238E27FC236}">
              <a16:creationId xmlns:a16="http://schemas.microsoft.com/office/drawing/2014/main" id="{00000000-0008-0000-0100-0000F3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084" name="Line 3">
          <a:extLst>
            <a:ext uri="{FF2B5EF4-FFF2-40B4-BE49-F238E27FC236}">
              <a16:creationId xmlns:a16="http://schemas.microsoft.com/office/drawing/2014/main" id="{00000000-0008-0000-0100-0000F4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085" name="Line 4">
          <a:extLst>
            <a:ext uri="{FF2B5EF4-FFF2-40B4-BE49-F238E27FC236}">
              <a16:creationId xmlns:a16="http://schemas.microsoft.com/office/drawing/2014/main" id="{00000000-0008-0000-0100-0000F5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086" name="Line 5">
          <a:extLst>
            <a:ext uri="{FF2B5EF4-FFF2-40B4-BE49-F238E27FC236}">
              <a16:creationId xmlns:a16="http://schemas.microsoft.com/office/drawing/2014/main" id="{00000000-0008-0000-0100-0000F6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087" name="Line 6">
          <a:extLst>
            <a:ext uri="{FF2B5EF4-FFF2-40B4-BE49-F238E27FC236}">
              <a16:creationId xmlns:a16="http://schemas.microsoft.com/office/drawing/2014/main" id="{00000000-0008-0000-0100-0000F7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088" name="Line 7">
          <a:extLst>
            <a:ext uri="{FF2B5EF4-FFF2-40B4-BE49-F238E27FC236}">
              <a16:creationId xmlns:a16="http://schemas.microsoft.com/office/drawing/2014/main" id="{00000000-0008-0000-0100-0000F8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089" name="Line 8">
          <a:extLst>
            <a:ext uri="{FF2B5EF4-FFF2-40B4-BE49-F238E27FC236}">
              <a16:creationId xmlns:a16="http://schemas.microsoft.com/office/drawing/2014/main" id="{00000000-0008-0000-0100-0000F9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090" name="Line 9">
          <a:extLst>
            <a:ext uri="{FF2B5EF4-FFF2-40B4-BE49-F238E27FC236}">
              <a16:creationId xmlns:a16="http://schemas.microsoft.com/office/drawing/2014/main" id="{00000000-0008-0000-0100-0000FA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091" name="Line 10">
          <a:extLst>
            <a:ext uri="{FF2B5EF4-FFF2-40B4-BE49-F238E27FC236}">
              <a16:creationId xmlns:a16="http://schemas.microsoft.com/office/drawing/2014/main" id="{00000000-0008-0000-0100-0000FB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092" name="Line 11">
          <a:extLst>
            <a:ext uri="{FF2B5EF4-FFF2-40B4-BE49-F238E27FC236}">
              <a16:creationId xmlns:a16="http://schemas.microsoft.com/office/drawing/2014/main" id="{00000000-0008-0000-0100-0000FC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093" name="Line 12">
          <a:extLst>
            <a:ext uri="{FF2B5EF4-FFF2-40B4-BE49-F238E27FC236}">
              <a16:creationId xmlns:a16="http://schemas.microsoft.com/office/drawing/2014/main" id="{00000000-0008-0000-0100-0000FD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094" name="Line 13">
          <a:extLst>
            <a:ext uri="{FF2B5EF4-FFF2-40B4-BE49-F238E27FC236}">
              <a16:creationId xmlns:a16="http://schemas.microsoft.com/office/drawing/2014/main" id="{00000000-0008-0000-0100-0000FE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95" name="Line 14">
          <a:extLst>
            <a:ext uri="{FF2B5EF4-FFF2-40B4-BE49-F238E27FC236}">
              <a16:creationId xmlns:a16="http://schemas.microsoft.com/office/drawing/2014/main" id="{00000000-0008-0000-0100-0000FF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096" name="Line 15">
          <a:extLst>
            <a:ext uri="{FF2B5EF4-FFF2-40B4-BE49-F238E27FC236}">
              <a16:creationId xmlns:a16="http://schemas.microsoft.com/office/drawing/2014/main" id="{00000000-0008-0000-0100-000000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97" name="Line 16">
          <a:extLst>
            <a:ext uri="{FF2B5EF4-FFF2-40B4-BE49-F238E27FC236}">
              <a16:creationId xmlns:a16="http://schemas.microsoft.com/office/drawing/2014/main" id="{00000000-0008-0000-0100-000001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098" name="Line 17">
          <a:extLst>
            <a:ext uri="{FF2B5EF4-FFF2-40B4-BE49-F238E27FC236}">
              <a16:creationId xmlns:a16="http://schemas.microsoft.com/office/drawing/2014/main" id="{00000000-0008-0000-0100-000002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099" name="Line 18">
          <a:extLst>
            <a:ext uri="{FF2B5EF4-FFF2-40B4-BE49-F238E27FC236}">
              <a16:creationId xmlns:a16="http://schemas.microsoft.com/office/drawing/2014/main" id="{00000000-0008-0000-0100-000003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100" name="Line 19">
          <a:extLst>
            <a:ext uri="{FF2B5EF4-FFF2-40B4-BE49-F238E27FC236}">
              <a16:creationId xmlns:a16="http://schemas.microsoft.com/office/drawing/2014/main" id="{00000000-0008-0000-0100-000004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101" name="Line 20">
          <a:extLst>
            <a:ext uri="{FF2B5EF4-FFF2-40B4-BE49-F238E27FC236}">
              <a16:creationId xmlns:a16="http://schemas.microsoft.com/office/drawing/2014/main" id="{00000000-0008-0000-0100-000005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102" name="Line 21">
          <a:extLst>
            <a:ext uri="{FF2B5EF4-FFF2-40B4-BE49-F238E27FC236}">
              <a16:creationId xmlns:a16="http://schemas.microsoft.com/office/drawing/2014/main" id="{00000000-0008-0000-0100-000006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103" name="Line 22">
          <a:extLst>
            <a:ext uri="{FF2B5EF4-FFF2-40B4-BE49-F238E27FC236}">
              <a16:creationId xmlns:a16="http://schemas.microsoft.com/office/drawing/2014/main" id="{00000000-0008-0000-0100-000007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104" name="Line 23">
          <a:extLst>
            <a:ext uri="{FF2B5EF4-FFF2-40B4-BE49-F238E27FC236}">
              <a16:creationId xmlns:a16="http://schemas.microsoft.com/office/drawing/2014/main" id="{00000000-0008-0000-0100-000008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105" name="Line 24">
          <a:extLst>
            <a:ext uri="{FF2B5EF4-FFF2-40B4-BE49-F238E27FC236}">
              <a16:creationId xmlns:a16="http://schemas.microsoft.com/office/drawing/2014/main" id="{00000000-0008-0000-0100-000009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106" name="Line 25">
          <a:extLst>
            <a:ext uri="{FF2B5EF4-FFF2-40B4-BE49-F238E27FC236}">
              <a16:creationId xmlns:a16="http://schemas.microsoft.com/office/drawing/2014/main" id="{00000000-0008-0000-0100-00000A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107" name="Line 26">
          <a:extLst>
            <a:ext uri="{FF2B5EF4-FFF2-40B4-BE49-F238E27FC236}">
              <a16:creationId xmlns:a16="http://schemas.microsoft.com/office/drawing/2014/main" id="{00000000-0008-0000-0100-00000B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108" name="Line 27">
          <a:extLst>
            <a:ext uri="{FF2B5EF4-FFF2-40B4-BE49-F238E27FC236}">
              <a16:creationId xmlns:a16="http://schemas.microsoft.com/office/drawing/2014/main" id="{00000000-0008-0000-0100-00000C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109" name="Line 28">
          <a:extLst>
            <a:ext uri="{FF2B5EF4-FFF2-40B4-BE49-F238E27FC236}">
              <a16:creationId xmlns:a16="http://schemas.microsoft.com/office/drawing/2014/main" id="{00000000-0008-0000-0100-00000D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110" name="Line 29">
          <a:extLst>
            <a:ext uri="{FF2B5EF4-FFF2-40B4-BE49-F238E27FC236}">
              <a16:creationId xmlns:a16="http://schemas.microsoft.com/office/drawing/2014/main" id="{00000000-0008-0000-0100-00000E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111" name="Line 30">
          <a:extLst>
            <a:ext uri="{FF2B5EF4-FFF2-40B4-BE49-F238E27FC236}">
              <a16:creationId xmlns:a16="http://schemas.microsoft.com/office/drawing/2014/main" id="{00000000-0008-0000-0100-00000F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112" name="Line 31">
          <a:extLst>
            <a:ext uri="{FF2B5EF4-FFF2-40B4-BE49-F238E27FC236}">
              <a16:creationId xmlns:a16="http://schemas.microsoft.com/office/drawing/2014/main" id="{00000000-0008-0000-0100-000010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113" name="Line 32">
          <a:extLst>
            <a:ext uri="{FF2B5EF4-FFF2-40B4-BE49-F238E27FC236}">
              <a16:creationId xmlns:a16="http://schemas.microsoft.com/office/drawing/2014/main" id="{00000000-0008-0000-0100-000011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114" name="Line 33">
          <a:extLst>
            <a:ext uri="{FF2B5EF4-FFF2-40B4-BE49-F238E27FC236}">
              <a16:creationId xmlns:a16="http://schemas.microsoft.com/office/drawing/2014/main" id="{00000000-0008-0000-0100-000012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115" name="Line 34">
          <a:extLst>
            <a:ext uri="{FF2B5EF4-FFF2-40B4-BE49-F238E27FC236}">
              <a16:creationId xmlns:a16="http://schemas.microsoft.com/office/drawing/2014/main" id="{00000000-0008-0000-0100-000013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116" name="Line 35">
          <a:extLst>
            <a:ext uri="{FF2B5EF4-FFF2-40B4-BE49-F238E27FC236}">
              <a16:creationId xmlns:a16="http://schemas.microsoft.com/office/drawing/2014/main" id="{00000000-0008-0000-0100-000014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117" name="Line 36">
          <a:extLst>
            <a:ext uri="{FF2B5EF4-FFF2-40B4-BE49-F238E27FC236}">
              <a16:creationId xmlns:a16="http://schemas.microsoft.com/office/drawing/2014/main" id="{00000000-0008-0000-0100-000015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118" name="Line 37">
          <a:extLst>
            <a:ext uri="{FF2B5EF4-FFF2-40B4-BE49-F238E27FC236}">
              <a16:creationId xmlns:a16="http://schemas.microsoft.com/office/drawing/2014/main" id="{00000000-0008-0000-0100-000016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119" name="Line 38">
          <a:extLst>
            <a:ext uri="{FF2B5EF4-FFF2-40B4-BE49-F238E27FC236}">
              <a16:creationId xmlns:a16="http://schemas.microsoft.com/office/drawing/2014/main" id="{00000000-0008-0000-0100-000017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120" name="Line 39">
          <a:extLst>
            <a:ext uri="{FF2B5EF4-FFF2-40B4-BE49-F238E27FC236}">
              <a16:creationId xmlns:a16="http://schemas.microsoft.com/office/drawing/2014/main" id="{00000000-0008-0000-0100-000018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121" name="Line 40">
          <a:extLst>
            <a:ext uri="{FF2B5EF4-FFF2-40B4-BE49-F238E27FC236}">
              <a16:creationId xmlns:a16="http://schemas.microsoft.com/office/drawing/2014/main" id="{00000000-0008-0000-0100-000019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122" name="Line 41">
          <a:extLst>
            <a:ext uri="{FF2B5EF4-FFF2-40B4-BE49-F238E27FC236}">
              <a16:creationId xmlns:a16="http://schemas.microsoft.com/office/drawing/2014/main" id="{00000000-0008-0000-0100-00001A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123" name="Rectangle 42">
          <a:extLst>
            <a:ext uri="{FF2B5EF4-FFF2-40B4-BE49-F238E27FC236}">
              <a16:creationId xmlns:a16="http://schemas.microsoft.com/office/drawing/2014/main" id="{00000000-0008-0000-0100-00001B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24" name="Line 43">
          <a:extLst>
            <a:ext uri="{FF2B5EF4-FFF2-40B4-BE49-F238E27FC236}">
              <a16:creationId xmlns:a16="http://schemas.microsoft.com/office/drawing/2014/main" id="{00000000-0008-0000-0100-00001C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25" name="Line 44">
          <a:extLst>
            <a:ext uri="{FF2B5EF4-FFF2-40B4-BE49-F238E27FC236}">
              <a16:creationId xmlns:a16="http://schemas.microsoft.com/office/drawing/2014/main" id="{00000000-0008-0000-0100-00001D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126" name="Line 45">
          <a:extLst>
            <a:ext uri="{FF2B5EF4-FFF2-40B4-BE49-F238E27FC236}">
              <a16:creationId xmlns:a16="http://schemas.microsoft.com/office/drawing/2014/main" id="{00000000-0008-0000-0100-00001E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127" name="Line 46">
          <a:extLst>
            <a:ext uri="{FF2B5EF4-FFF2-40B4-BE49-F238E27FC236}">
              <a16:creationId xmlns:a16="http://schemas.microsoft.com/office/drawing/2014/main" id="{00000000-0008-0000-0100-00001F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128" name="Line 47">
          <a:extLst>
            <a:ext uri="{FF2B5EF4-FFF2-40B4-BE49-F238E27FC236}">
              <a16:creationId xmlns:a16="http://schemas.microsoft.com/office/drawing/2014/main" id="{00000000-0008-0000-0100-000020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129" name="Line 48">
          <a:extLst>
            <a:ext uri="{FF2B5EF4-FFF2-40B4-BE49-F238E27FC236}">
              <a16:creationId xmlns:a16="http://schemas.microsoft.com/office/drawing/2014/main" id="{00000000-0008-0000-0100-000021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130" name="Line 49">
          <a:extLst>
            <a:ext uri="{FF2B5EF4-FFF2-40B4-BE49-F238E27FC236}">
              <a16:creationId xmlns:a16="http://schemas.microsoft.com/office/drawing/2014/main" id="{00000000-0008-0000-0100-000022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131" name="Line 50">
          <a:extLst>
            <a:ext uri="{FF2B5EF4-FFF2-40B4-BE49-F238E27FC236}">
              <a16:creationId xmlns:a16="http://schemas.microsoft.com/office/drawing/2014/main" id="{00000000-0008-0000-0100-000023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132" name="Line 51">
          <a:extLst>
            <a:ext uri="{FF2B5EF4-FFF2-40B4-BE49-F238E27FC236}">
              <a16:creationId xmlns:a16="http://schemas.microsoft.com/office/drawing/2014/main" id="{00000000-0008-0000-0100-000024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133" name="Line 52">
          <a:extLst>
            <a:ext uri="{FF2B5EF4-FFF2-40B4-BE49-F238E27FC236}">
              <a16:creationId xmlns:a16="http://schemas.microsoft.com/office/drawing/2014/main" id="{00000000-0008-0000-0100-000025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134" name="Line 53">
          <a:extLst>
            <a:ext uri="{FF2B5EF4-FFF2-40B4-BE49-F238E27FC236}">
              <a16:creationId xmlns:a16="http://schemas.microsoft.com/office/drawing/2014/main" id="{00000000-0008-0000-0100-000026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135" name="Line 54">
          <a:extLst>
            <a:ext uri="{FF2B5EF4-FFF2-40B4-BE49-F238E27FC236}">
              <a16:creationId xmlns:a16="http://schemas.microsoft.com/office/drawing/2014/main" id="{00000000-0008-0000-0100-000027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136" name="Line 55">
          <a:extLst>
            <a:ext uri="{FF2B5EF4-FFF2-40B4-BE49-F238E27FC236}">
              <a16:creationId xmlns:a16="http://schemas.microsoft.com/office/drawing/2014/main" id="{00000000-0008-0000-0100-000028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137" name="Line 56">
          <a:extLst>
            <a:ext uri="{FF2B5EF4-FFF2-40B4-BE49-F238E27FC236}">
              <a16:creationId xmlns:a16="http://schemas.microsoft.com/office/drawing/2014/main" id="{00000000-0008-0000-0100-000029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138" name="Rectangle 57">
          <a:extLst>
            <a:ext uri="{FF2B5EF4-FFF2-40B4-BE49-F238E27FC236}">
              <a16:creationId xmlns:a16="http://schemas.microsoft.com/office/drawing/2014/main" id="{00000000-0008-0000-0100-00002A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139" name="Line 58">
          <a:extLst>
            <a:ext uri="{FF2B5EF4-FFF2-40B4-BE49-F238E27FC236}">
              <a16:creationId xmlns:a16="http://schemas.microsoft.com/office/drawing/2014/main" id="{00000000-0008-0000-0100-00002B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140" name="Line 59">
          <a:extLst>
            <a:ext uri="{FF2B5EF4-FFF2-40B4-BE49-F238E27FC236}">
              <a16:creationId xmlns:a16="http://schemas.microsoft.com/office/drawing/2014/main" id="{00000000-0008-0000-0100-00002C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141" name="Line 60">
          <a:extLst>
            <a:ext uri="{FF2B5EF4-FFF2-40B4-BE49-F238E27FC236}">
              <a16:creationId xmlns:a16="http://schemas.microsoft.com/office/drawing/2014/main" id="{00000000-0008-0000-0100-00002D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142" name="Line 61">
          <a:extLst>
            <a:ext uri="{FF2B5EF4-FFF2-40B4-BE49-F238E27FC236}">
              <a16:creationId xmlns:a16="http://schemas.microsoft.com/office/drawing/2014/main" id="{00000000-0008-0000-0100-00002E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143" name="Line 62">
          <a:extLst>
            <a:ext uri="{FF2B5EF4-FFF2-40B4-BE49-F238E27FC236}">
              <a16:creationId xmlns:a16="http://schemas.microsoft.com/office/drawing/2014/main" id="{00000000-0008-0000-0100-00002F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144" name="Line 63">
          <a:extLst>
            <a:ext uri="{FF2B5EF4-FFF2-40B4-BE49-F238E27FC236}">
              <a16:creationId xmlns:a16="http://schemas.microsoft.com/office/drawing/2014/main" id="{00000000-0008-0000-0100-000030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145" name="Line 64">
          <a:extLst>
            <a:ext uri="{FF2B5EF4-FFF2-40B4-BE49-F238E27FC236}">
              <a16:creationId xmlns:a16="http://schemas.microsoft.com/office/drawing/2014/main" id="{00000000-0008-0000-0100-000031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146" name="Line 65">
          <a:extLst>
            <a:ext uri="{FF2B5EF4-FFF2-40B4-BE49-F238E27FC236}">
              <a16:creationId xmlns:a16="http://schemas.microsoft.com/office/drawing/2014/main" id="{00000000-0008-0000-0100-000032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147" name="Line 66">
          <a:extLst>
            <a:ext uri="{FF2B5EF4-FFF2-40B4-BE49-F238E27FC236}">
              <a16:creationId xmlns:a16="http://schemas.microsoft.com/office/drawing/2014/main" id="{00000000-0008-0000-0100-000033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148" name="Line 67">
          <a:extLst>
            <a:ext uri="{FF2B5EF4-FFF2-40B4-BE49-F238E27FC236}">
              <a16:creationId xmlns:a16="http://schemas.microsoft.com/office/drawing/2014/main" id="{00000000-0008-0000-0100-0000341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149" name="Line 68">
          <a:extLst>
            <a:ext uri="{FF2B5EF4-FFF2-40B4-BE49-F238E27FC236}">
              <a16:creationId xmlns:a16="http://schemas.microsoft.com/office/drawing/2014/main" id="{00000000-0008-0000-0100-0000351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150" name="Line 1">
          <a:extLst>
            <a:ext uri="{FF2B5EF4-FFF2-40B4-BE49-F238E27FC236}">
              <a16:creationId xmlns:a16="http://schemas.microsoft.com/office/drawing/2014/main" id="{00000000-0008-0000-0100-0000361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151" name="Drawing 16">
          <a:extLst>
            <a:ext uri="{FF2B5EF4-FFF2-40B4-BE49-F238E27FC236}">
              <a16:creationId xmlns:a16="http://schemas.microsoft.com/office/drawing/2014/main" id="{00000000-0008-0000-0100-0000371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152" name="Line 3">
          <a:extLst>
            <a:ext uri="{FF2B5EF4-FFF2-40B4-BE49-F238E27FC236}">
              <a16:creationId xmlns:a16="http://schemas.microsoft.com/office/drawing/2014/main" id="{00000000-0008-0000-0100-0000381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153" name="Line 4">
          <a:extLst>
            <a:ext uri="{FF2B5EF4-FFF2-40B4-BE49-F238E27FC236}">
              <a16:creationId xmlns:a16="http://schemas.microsoft.com/office/drawing/2014/main" id="{00000000-0008-0000-0100-0000391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154" name="Line 5">
          <a:extLst>
            <a:ext uri="{FF2B5EF4-FFF2-40B4-BE49-F238E27FC236}">
              <a16:creationId xmlns:a16="http://schemas.microsoft.com/office/drawing/2014/main" id="{00000000-0008-0000-0100-00003A1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155" name="Line 6">
          <a:extLst>
            <a:ext uri="{FF2B5EF4-FFF2-40B4-BE49-F238E27FC236}">
              <a16:creationId xmlns:a16="http://schemas.microsoft.com/office/drawing/2014/main" id="{00000000-0008-0000-0100-00003B1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156" name="Line 7">
          <a:extLst>
            <a:ext uri="{FF2B5EF4-FFF2-40B4-BE49-F238E27FC236}">
              <a16:creationId xmlns:a16="http://schemas.microsoft.com/office/drawing/2014/main" id="{00000000-0008-0000-0100-00003C1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157" name="Line 8">
          <a:extLst>
            <a:ext uri="{FF2B5EF4-FFF2-40B4-BE49-F238E27FC236}">
              <a16:creationId xmlns:a16="http://schemas.microsoft.com/office/drawing/2014/main" id="{00000000-0008-0000-0100-00003D1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158" name="Line 9">
          <a:extLst>
            <a:ext uri="{FF2B5EF4-FFF2-40B4-BE49-F238E27FC236}">
              <a16:creationId xmlns:a16="http://schemas.microsoft.com/office/drawing/2014/main" id="{00000000-0008-0000-0100-00003E1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159" name="Line 10">
          <a:extLst>
            <a:ext uri="{FF2B5EF4-FFF2-40B4-BE49-F238E27FC236}">
              <a16:creationId xmlns:a16="http://schemas.microsoft.com/office/drawing/2014/main" id="{00000000-0008-0000-0100-00003F1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160" name="Line 11">
          <a:extLst>
            <a:ext uri="{FF2B5EF4-FFF2-40B4-BE49-F238E27FC236}">
              <a16:creationId xmlns:a16="http://schemas.microsoft.com/office/drawing/2014/main" id="{00000000-0008-0000-0100-0000401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161" name="Line 12">
          <a:extLst>
            <a:ext uri="{FF2B5EF4-FFF2-40B4-BE49-F238E27FC236}">
              <a16:creationId xmlns:a16="http://schemas.microsoft.com/office/drawing/2014/main" id="{00000000-0008-0000-0100-0000411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162" name="Line 13">
          <a:extLst>
            <a:ext uri="{FF2B5EF4-FFF2-40B4-BE49-F238E27FC236}">
              <a16:creationId xmlns:a16="http://schemas.microsoft.com/office/drawing/2014/main" id="{00000000-0008-0000-0100-0000421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163" name="Line 14">
          <a:extLst>
            <a:ext uri="{FF2B5EF4-FFF2-40B4-BE49-F238E27FC236}">
              <a16:creationId xmlns:a16="http://schemas.microsoft.com/office/drawing/2014/main" id="{00000000-0008-0000-0100-0000431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164" name="Line 15">
          <a:extLst>
            <a:ext uri="{FF2B5EF4-FFF2-40B4-BE49-F238E27FC236}">
              <a16:creationId xmlns:a16="http://schemas.microsoft.com/office/drawing/2014/main" id="{00000000-0008-0000-0100-000044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165" name="Line 16">
          <a:extLst>
            <a:ext uri="{FF2B5EF4-FFF2-40B4-BE49-F238E27FC236}">
              <a16:creationId xmlns:a16="http://schemas.microsoft.com/office/drawing/2014/main" id="{00000000-0008-0000-0100-000045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166" name="Line 17">
          <a:extLst>
            <a:ext uri="{FF2B5EF4-FFF2-40B4-BE49-F238E27FC236}">
              <a16:creationId xmlns:a16="http://schemas.microsoft.com/office/drawing/2014/main" id="{00000000-0008-0000-0100-000046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167" name="Line 18">
          <a:extLst>
            <a:ext uri="{FF2B5EF4-FFF2-40B4-BE49-F238E27FC236}">
              <a16:creationId xmlns:a16="http://schemas.microsoft.com/office/drawing/2014/main" id="{00000000-0008-0000-0100-000047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168" name="Line 19">
          <a:extLst>
            <a:ext uri="{FF2B5EF4-FFF2-40B4-BE49-F238E27FC236}">
              <a16:creationId xmlns:a16="http://schemas.microsoft.com/office/drawing/2014/main" id="{00000000-0008-0000-0100-000048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169" name="Line 20">
          <a:extLst>
            <a:ext uri="{FF2B5EF4-FFF2-40B4-BE49-F238E27FC236}">
              <a16:creationId xmlns:a16="http://schemas.microsoft.com/office/drawing/2014/main" id="{00000000-0008-0000-0100-000049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170" name="Line 21">
          <a:extLst>
            <a:ext uri="{FF2B5EF4-FFF2-40B4-BE49-F238E27FC236}">
              <a16:creationId xmlns:a16="http://schemas.microsoft.com/office/drawing/2014/main" id="{00000000-0008-0000-0100-00004A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171" name="Line 22">
          <a:extLst>
            <a:ext uri="{FF2B5EF4-FFF2-40B4-BE49-F238E27FC236}">
              <a16:creationId xmlns:a16="http://schemas.microsoft.com/office/drawing/2014/main" id="{00000000-0008-0000-0100-00004B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172" name="Line 23">
          <a:extLst>
            <a:ext uri="{FF2B5EF4-FFF2-40B4-BE49-F238E27FC236}">
              <a16:creationId xmlns:a16="http://schemas.microsoft.com/office/drawing/2014/main" id="{00000000-0008-0000-0100-00004C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173" name="Line 24">
          <a:extLst>
            <a:ext uri="{FF2B5EF4-FFF2-40B4-BE49-F238E27FC236}">
              <a16:creationId xmlns:a16="http://schemas.microsoft.com/office/drawing/2014/main" id="{00000000-0008-0000-0100-00004D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174" name="Line 25">
          <a:extLst>
            <a:ext uri="{FF2B5EF4-FFF2-40B4-BE49-F238E27FC236}">
              <a16:creationId xmlns:a16="http://schemas.microsoft.com/office/drawing/2014/main" id="{00000000-0008-0000-0100-00004E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175" name="Line 26">
          <a:extLst>
            <a:ext uri="{FF2B5EF4-FFF2-40B4-BE49-F238E27FC236}">
              <a16:creationId xmlns:a16="http://schemas.microsoft.com/office/drawing/2014/main" id="{00000000-0008-0000-0100-00004F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176" name="Line 27">
          <a:extLst>
            <a:ext uri="{FF2B5EF4-FFF2-40B4-BE49-F238E27FC236}">
              <a16:creationId xmlns:a16="http://schemas.microsoft.com/office/drawing/2014/main" id="{00000000-0008-0000-0100-000050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177" name="Line 28">
          <a:extLst>
            <a:ext uri="{FF2B5EF4-FFF2-40B4-BE49-F238E27FC236}">
              <a16:creationId xmlns:a16="http://schemas.microsoft.com/office/drawing/2014/main" id="{00000000-0008-0000-0100-000051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178" name="Line 29">
          <a:extLst>
            <a:ext uri="{FF2B5EF4-FFF2-40B4-BE49-F238E27FC236}">
              <a16:creationId xmlns:a16="http://schemas.microsoft.com/office/drawing/2014/main" id="{00000000-0008-0000-0100-000052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179" name="Line 30">
          <a:extLst>
            <a:ext uri="{FF2B5EF4-FFF2-40B4-BE49-F238E27FC236}">
              <a16:creationId xmlns:a16="http://schemas.microsoft.com/office/drawing/2014/main" id="{00000000-0008-0000-0100-000053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180" name="Line 31">
          <a:extLst>
            <a:ext uri="{FF2B5EF4-FFF2-40B4-BE49-F238E27FC236}">
              <a16:creationId xmlns:a16="http://schemas.microsoft.com/office/drawing/2014/main" id="{00000000-0008-0000-0100-000054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181" name="Line 32">
          <a:extLst>
            <a:ext uri="{FF2B5EF4-FFF2-40B4-BE49-F238E27FC236}">
              <a16:creationId xmlns:a16="http://schemas.microsoft.com/office/drawing/2014/main" id="{00000000-0008-0000-0100-000055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182" name="Line 33">
          <a:extLst>
            <a:ext uri="{FF2B5EF4-FFF2-40B4-BE49-F238E27FC236}">
              <a16:creationId xmlns:a16="http://schemas.microsoft.com/office/drawing/2014/main" id="{00000000-0008-0000-0100-000056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183" name="Line 34">
          <a:extLst>
            <a:ext uri="{FF2B5EF4-FFF2-40B4-BE49-F238E27FC236}">
              <a16:creationId xmlns:a16="http://schemas.microsoft.com/office/drawing/2014/main" id="{00000000-0008-0000-0100-000057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184" name="Line 35">
          <a:extLst>
            <a:ext uri="{FF2B5EF4-FFF2-40B4-BE49-F238E27FC236}">
              <a16:creationId xmlns:a16="http://schemas.microsoft.com/office/drawing/2014/main" id="{00000000-0008-0000-0100-000058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185" name="Line 36">
          <a:extLst>
            <a:ext uri="{FF2B5EF4-FFF2-40B4-BE49-F238E27FC236}">
              <a16:creationId xmlns:a16="http://schemas.microsoft.com/office/drawing/2014/main" id="{00000000-0008-0000-0100-000059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186" name="Line 37">
          <a:extLst>
            <a:ext uri="{FF2B5EF4-FFF2-40B4-BE49-F238E27FC236}">
              <a16:creationId xmlns:a16="http://schemas.microsoft.com/office/drawing/2014/main" id="{00000000-0008-0000-0100-00005A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187" name="Line 38">
          <a:extLst>
            <a:ext uri="{FF2B5EF4-FFF2-40B4-BE49-F238E27FC236}">
              <a16:creationId xmlns:a16="http://schemas.microsoft.com/office/drawing/2014/main" id="{00000000-0008-0000-0100-00005B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188" name="Line 39">
          <a:extLst>
            <a:ext uri="{FF2B5EF4-FFF2-40B4-BE49-F238E27FC236}">
              <a16:creationId xmlns:a16="http://schemas.microsoft.com/office/drawing/2014/main" id="{00000000-0008-0000-0100-00005C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189" name="Line 40">
          <a:extLst>
            <a:ext uri="{FF2B5EF4-FFF2-40B4-BE49-F238E27FC236}">
              <a16:creationId xmlns:a16="http://schemas.microsoft.com/office/drawing/2014/main" id="{00000000-0008-0000-0100-00005D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190" name="Line 41">
          <a:extLst>
            <a:ext uri="{FF2B5EF4-FFF2-40B4-BE49-F238E27FC236}">
              <a16:creationId xmlns:a16="http://schemas.microsoft.com/office/drawing/2014/main" id="{00000000-0008-0000-0100-00005E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191" name="Rectangle 42">
          <a:extLst>
            <a:ext uri="{FF2B5EF4-FFF2-40B4-BE49-F238E27FC236}">
              <a16:creationId xmlns:a16="http://schemas.microsoft.com/office/drawing/2014/main" id="{00000000-0008-0000-0100-00005F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92" name="Line 43">
          <a:extLst>
            <a:ext uri="{FF2B5EF4-FFF2-40B4-BE49-F238E27FC236}">
              <a16:creationId xmlns:a16="http://schemas.microsoft.com/office/drawing/2014/main" id="{00000000-0008-0000-0100-000060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93" name="Line 44">
          <a:extLst>
            <a:ext uri="{FF2B5EF4-FFF2-40B4-BE49-F238E27FC236}">
              <a16:creationId xmlns:a16="http://schemas.microsoft.com/office/drawing/2014/main" id="{00000000-0008-0000-0100-000061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194" name="Line 45">
          <a:extLst>
            <a:ext uri="{FF2B5EF4-FFF2-40B4-BE49-F238E27FC236}">
              <a16:creationId xmlns:a16="http://schemas.microsoft.com/office/drawing/2014/main" id="{00000000-0008-0000-0100-000062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195" name="Line 46">
          <a:extLst>
            <a:ext uri="{FF2B5EF4-FFF2-40B4-BE49-F238E27FC236}">
              <a16:creationId xmlns:a16="http://schemas.microsoft.com/office/drawing/2014/main" id="{00000000-0008-0000-0100-000063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196" name="Line 47">
          <a:extLst>
            <a:ext uri="{FF2B5EF4-FFF2-40B4-BE49-F238E27FC236}">
              <a16:creationId xmlns:a16="http://schemas.microsoft.com/office/drawing/2014/main" id="{00000000-0008-0000-0100-000064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197" name="Line 48">
          <a:extLst>
            <a:ext uri="{FF2B5EF4-FFF2-40B4-BE49-F238E27FC236}">
              <a16:creationId xmlns:a16="http://schemas.microsoft.com/office/drawing/2014/main" id="{00000000-0008-0000-0100-000065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198" name="Line 49">
          <a:extLst>
            <a:ext uri="{FF2B5EF4-FFF2-40B4-BE49-F238E27FC236}">
              <a16:creationId xmlns:a16="http://schemas.microsoft.com/office/drawing/2014/main" id="{00000000-0008-0000-0100-000066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199" name="Line 50">
          <a:extLst>
            <a:ext uri="{FF2B5EF4-FFF2-40B4-BE49-F238E27FC236}">
              <a16:creationId xmlns:a16="http://schemas.microsoft.com/office/drawing/2014/main" id="{00000000-0008-0000-0100-000067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200" name="Line 51">
          <a:extLst>
            <a:ext uri="{FF2B5EF4-FFF2-40B4-BE49-F238E27FC236}">
              <a16:creationId xmlns:a16="http://schemas.microsoft.com/office/drawing/2014/main" id="{00000000-0008-0000-0100-000068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201" name="Line 52">
          <a:extLst>
            <a:ext uri="{FF2B5EF4-FFF2-40B4-BE49-F238E27FC236}">
              <a16:creationId xmlns:a16="http://schemas.microsoft.com/office/drawing/2014/main" id="{00000000-0008-0000-0100-000069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202" name="Line 53">
          <a:extLst>
            <a:ext uri="{FF2B5EF4-FFF2-40B4-BE49-F238E27FC236}">
              <a16:creationId xmlns:a16="http://schemas.microsoft.com/office/drawing/2014/main" id="{00000000-0008-0000-0100-00006A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203" name="Line 54">
          <a:extLst>
            <a:ext uri="{FF2B5EF4-FFF2-40B4-BE49-F238E27FC236}">
              <a16:creationId xmlns:a16="http://schemas.microsoft.com/office/drawing/2014/main" id="{00000000-0008-0000-0100-00006B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204" name="Line 55">
          <a:extLst>
            <a:ext uri="{FF2B5EF4-FFF2-40B4-BE49-F238E27FC236}">
              <a16:creationId xmlns:a16="http://schemas.microsoft.com/office/drawing/2014/main" id="{00000000-0008-0000-0100-00006C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205" name="Line 56">
          <a:extLst>
            <a:ext uri="{FF2B5EF4-FFF2-40B4-BE49-F238E27FC236}">
              <a16:creationId xmlns:a16="http://schemas.microsoft.com/office/drawing/2014/main" id="{00000000-0008-0000-0100-00006D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206" name="Rectangle 57">
          <a:extLst>
            <a:ext uri="{FF2B5EF4-FFF2-40B4-BE49-F238E27FC236}">
              <a16:creationId xmlns:a16="http://schemas.microsoft.com/office/drawing/2014/main" id="{00000000-0008-0000-0100-00006E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207" name="Line 58">
          <a:extLst>
            <a:ext uri="{FF2B5EF4-FFF2-40B4-BE49-F238E27FC236}">
              <a16:creationId xmlns:a16="http://schemas.microsoft.com/office/drawing/2014/main" id="{00000000-0008-0000-0100-00006F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208" name="Line 59">
          <a:extLst>
            <a:ext uri="{FF2B5EF4-FFF2-40B4-BE49-F238E27FC236}">
              <a16:creationId xmlns:a16="http://schemas.microsoft.com/office/drawing/2014/main" id="{00000000-0008-0000-0100-000070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209" name="Line 60">
          <a:extLst>
            <a:ext uri="{FF2B5EF4-FFF2-40B4-BE49-F238E27FC236}">
              <a16:creationId xmlns:a16="http://schemas.microsoft.com/office/drawing/2014/main" id="{00000000-0008-0000-0100-000071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210" name="Line 61">
          <a:extLst>
            <a:ext uri="{FF2B5EF4-FFF2-40B4-BE49-F238E27FC236}">
              <a16:creationId xmlns:a16="http://schemas.microsoft.com/office/drawing/2014/main" id="{00000000-0008-0000-0100-000072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211" name="Line 62">
          <a:extLst>
            <a:ext uri="{FF2B5EF4-FFF2-40B4-BE49-F238E27FC236}">
              <a16:creationId xmlns:a16="http://schemas.microsoft.com/office/drawing/2014/main" id="{00000000-0008-0000-0100-000073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212" name="Line 63">
          <a:extLst>
            <a:ext uri="{FF2B5EF4-FFF2-40B4-BE49-F238E27FC236}">
              <a16:creationId xmlns:a16="http://schemas.microsoft.com/office/drawing/2014/main" id="{00000000-0008-0000-0100-000074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213" name="Line 64">
          <a:extLst>
            <a:ext uri="{FF2B5EF4-FFF2-40B4-BE49-F238E27FC236}">
              <a16:creationId xmlns:a16="http://schemas.microsoft.com/office/drawing/2014/main" id="{00000000-0008-0000-0100-000075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214" name="Line 65">
          <a:extLst>
            <a:ext uri="{FF2B5EF4-FFF2-40B4-BE49-F238E27FC236}">
              <a16:creationId xmlns:a16="http://schemas.microsoft.com/office/drawing/2014/main" id="{00000000-0008-0000-0100-000076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215" name="Line 66">
          <a:extLst>
            <a:ext uri="{FF2B5EF4-FFF2-40B4-BE49-F238E27FC236}">
              <a16:creationId xmlns:a16="http://schemas.microsoft.com/office/drawing/2014/main" id="{00000000-0008-0000-0100-000077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216" name="Line 67">
          <a:extLst>
            <a:ext uri="{FF2B5EF4-FFF2-40B4-BE49-F238E27FC236}">
              <a16:creationId xmlns:a16="http://schemas.microsoft.com/office/drawing/2014/main" id="{00000000-0008-0000-0100-0000781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217" name="Line 68">
          <a:extLst>
            <a:ext uri="{FF2B5EF4-FFF2-40B4-BE49-F238E27FC236}">
              <a16:creationId xmlns:a16="http://schemas.microsoft.com/office/drawing/2014/main" id="{00000000-0008-0000-0100-0000791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218" name="Line 1">
          <a:extLst>
            <a:ext uri="{FF2B5EF4-FFF2-40B4-BE49-F238E27FC236}">
              <a16:creationId xmlns:a16="http://schemas.microsoft.com/office/drawing/2014/main" id="{00000000-0008-0000-0100-00007A1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219" name="Drawing 16">
          <a:extLst>
            <a:ext uri="{FF2B5EF4-FFF2-40B4-BE49-F238E27FC236}">
              <a16:creationId xmlns:a16="http://schemas.microsoft.com/office/drawing/2014/main" id="{00000000-0008-0000-0100-00007B1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220" name="Line 3">
          <a:extLst>
            <a:ext uri="{FF2B5EF4-FFF2-40B4-BE49-F238E27FC236}">
              <a16:creationId xmlns:a16="http://schemas.microsoft.com/office/drawing/2014/main" id="{00000000-0008-0000-0100-00007C1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221" name="Line 4">
          <a:extLst>
            <a:ext uri="{FF2B5EF4-FFF2-40B4-BE49-F238E27FC236}">
              <a16:creationId xmlns:a16="http://schemas.microsoft.com/office/drawing/2014/main" id="{00000000-0008-0000-0100-00007D1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222" name="Line 5">
          <a:extLst>
            <a:ext uri="{FF2B5EF4-FFF2-40B4-BE49-F238E27FC236}">
              <a16:creationId xmlns:a16="http://schemas.microsoft.com/office/drawing/2014/main" id="{00000000-0008-0000-0100-00007E1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223" name="Line 6">
          <a:extLst>
            <a:ext uri="{FF2B5EF4-FFF2-40B4-BE49-F238E27FC236}">
              <a16:creationId xmlns:a16="http://schemas.microsoft.com/office/drawing/2014/main" id="{00000000-0008-0000-0100-00007F1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224" name="Line 7">
          <a:extLst>
            <a:ext uri="{FF2B5EF4-FFF2-40B4-BE49-F238E27FC236}">
              <a16:creationId xmlns:a16="http://schemas.microsoft.com/office/drawing/2014/main" id="{00000000-0008-0000-0100-0000801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225" name="Line 8">
          <a:extLst>
            <a:ext uri="{FF2B5EF4-FFF2-40B4-BE49-F238E27FC236}">
              <a16:creationId xmlns:a16="http://schemas.microsoft.com/office/drawing/2014/main" id="{00000000-0008-0000-0100-0000811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226" name="Line 9">
          <a:extLst>
            <a:ext uri="{FF2B5EF4-FFF2-40B4-BE49-F238E27FC236}">
              <a16:creationId xmlns:a16="http://schemas.microsoft.com/office/drawing/2014/main" id="{00000000-0008-0000-0100-0000821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227" name="Line 10">
          <a:extLst>
            <a:ext uri="{FF2B5EF4-FFF2-40B4-BE49-F238E27FC236}">
              <a16:creationId xmlns:a16="http://schemas.microsoft.com/office/drawing/2014/main" id="{00000000-0008-0000-0100-0000831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228" name="Line 11">
          <a:extLst>
            <a:ext uri="{FF2B5EF4-FFF2-40B4-BE49-F238E27FC236}">
              <a16:creationId xmlns:a16="http://schemas.microsoft.com/office/drawing/2014/main" id="{00000000-0008-0000-0100-0000841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229" name="Line 12">
          <a:extLst>
            <a:ext uri="{FF2B5EF4-FFF2-40B4-BE49-F238E27FC236}">
              <a16:creationId xmlns:a16="http://schemas.microsoft.com/office/drawing/2014/main" id="{00000000-0008-0000-0100-0000851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230" name="Line 13">
          <a:extLst>
            <a:ext uri="{FF2B5EF4-FFF2-40B4-BE49-F238E27FC236}">
              <a16:creationId xmlns:a16="http://schemas.microsoft.com/office/drawing/2014/main" id="{00000000-0008-0000-0100-0000861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31" name="Line 14">
          <a:extLst>
            <a:ext uri="{FF2B5EF4-FFF2-40B4-BE49-F238E27FC236}">
              <a16:creationId xmlns:a16="http://schemas.microsoft.com/office/drawing/2014/main" id="{00000000-0008-0000-0100-0000871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232" name="Line 15">
          <a:extLst>
            <a:ext uri="{FF2B5EF4-FFF2-40B4-BE49-F238E27FC236}">
              <a16:creationId xmlns:a16="http://schemas.microsoft.com/office/drawing/2014/main" id="{00000000-0008-0000-0100-000088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33" name="Line 16">
          <a:extLst>
            <a:ext uri="{FF2B5EF4-FFF2-40B4-BE49-F238E27FC236}">
              <a16:creationId xmlns:a16="http://schemas.microsoft.com/office/drawing/2014/main" id="{00000000-0008-0000-0100-000089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234" name="Line 17">
          <a:extLst>
            <a:ext uri="{FF2B5EF4-FFF2-40B4-BE49-F238E27FC236}">
              <a16:creationId xmlns:a16="http://schemas.microsoft.com/office/drawing/2014/main" id="{00000000-0008-0000-0100-00008A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235" name="Line 18">
          <a:extLst>
            <a:ext uri="{FF2B5EF4-FFF2-40B4-BE49-F238E27FC236}">
              <a16:creationId xmlns:a16="http://schemas.microsoft.com/office/drawing/2014/main" id="{00000000-0008-0000-0100-00008B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236" name="Line 19">
          <a:extLst>
            <a:ext uri="{FF2B5EF4-FFF2-40B4-BE49-F238E27FC236}">
              <a16:creationId xmlns:a16="http://schemas.microsoft.com/office/drawing/2014/main" id="{00000000-0008-0000-0100-00008C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237" name="Line 20">
          <a:extLst>
            <a:ext uri="{FF2B5EF4-FFF2-40B4-BE49-F238E27FC236}">
              <a16:creationId xmlns:a16="http://schemas.microsoft.com/office/drawing/2014/main" id="{00000000-0008-0000-0100-00008D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238" name="Line 21">
          <a:extLst>
            <a:ext uri="{FF2B5EF4-FFF2-40B4-BE49-F238E27FC236}">
              <a16:creationId xmlns:a16="http://schemas.microsoft.com/office/drawing/2014/main" id="{00000000-0008-0000-0100-00008E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239" name="Line 22">
          <a:extLst>
            <a:ext uri="{FF2B5EF4-FFF2-40B4-BE49-F238E27FC236}">
              <a16:creationId xmlns:a16="http://schemas.microsoft.com/office/drawing/2014/main" id="{00000000-0008-0000-0100-00008F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240" name="Line 23">
          <a:extLst>
            <a:ext uri="{FF2B5EF4-FFF2-40B4-BE49-F238E27FC236}">
              <a16:creationId xmlns:a16="http://schemas.microsoft.com/office/drawing/2014/main" id="{00000000-0008-0000-0100-000090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241" name="Line 24">
          <a:extLst>
            <a:ext uri="{FF2B5EF4-FFF2-40B4-BE49-F238E27FC236}">
              <a16:creationId xmlns:a16="http://schemas.microsoft.com/office/drawing/2014/main" id="{00000000-0008-0000-0100-000091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242" name="Line 25">
          <a:extLst>
            <a:ext uri="{FF2B5EF4-FFF2-40B4-BE49-F238E27FC236}">
              <a16:creationId xmlns:a16="http://schemas.microsoft.com/office/drawing/2014/main" id="{00000000-0008-0000-0100-000092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243" name="Line 26">
          <a:extLst>
            <a:ext uri="{FF2B5EF4-FFF2-40B4-BE49-F238E27FC236}">
              <a16:creationId xmlns:a16="http://schemas.microsoft.com/office/drawing/2014/main" id="{00000000-0008-0000-0100-000093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244" name="Line 27">
          <a:extLst>
            <a:ext uri="{FF2B5EF4-FFF2-40B4-BE49-F238E27FC236}">
              <a16:creationId xmlns:a16="http://schemas.microsoft.com/office/drawing/2014/main" id="{00000000-0008-0000-0100-000094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245" name="Line 28">
          <a:extLst>
            <a:ext uri="{FF2B5EF4-FFF2-40B4-BE49-F238E27FC236}">
              <a16:creationId xmlns:a16="http://schemas.microsoft.com/office/drawing/2014/main" id="{00000000-0008-0000-0100-000095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246" name="Line 29">
          <a:extLst>
            <a:ext uri="{FF2B5EF4-FFF2-40B4-BE49-F238E27FC236}">
              <a16:creationId xmlns:a16="http://schemas.microsoft.com/office/drawing/2014/main" id="{00000000-0008-0000-0100-000096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247" name="Line 30">
          <a:extLst>
            <a:ext uri="{FF2B5EF4-FFF2-40B4-BE49-F238E27FC236}">
              <a16:creationId xmlns:a16="http://schemas.microsoft.com/office/drawing/2014/main" id="{00000000-0008-0000-0100-000097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248" name="Line 31">
          <a:extLst>
            <a:ext uri="{FF2B5EF4-FFF2-40B4-BE49-F238E27FC236}">
              <a16:creationId xmlns:a16="http://schemas.microsoft.com/office/drawing/2014/main" id="{00000000-0008-0000-0100-000098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249" name="Line 32">
          <a:extLst>
            <a:ext uri="{FF2B5EF4-FFF2-40B4-BE49-F238E27FC236}">
              <a16:creationId xmlns:a16="http://schemas.microsoft.com/office/drawing/2014/main" id="{00000000-0008-0000-0100-000099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250" name="Line 33">
          <a:extLst>
            <a:ext uri="{FF2B5EF4-FFF2-40B4-BE49-F238E27FC236}">
              <a16:creationId xmlns:a16="http://schemas.microsoft.com/office/drawing/2014/main" id="{00000000-0008-0000-0100-00009A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251" name="Line 34">
          <a:extLst>
            <a:ext uri="{FF2B5EF4-FFF2-40B4-BE49-F238E27FC236}">
              <a16:creationId xmlns:a16="http://schemas.microsoft.com/office/drawing/2014/main" id="{00000000-0008-0000-0100-00009B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252" name="Line 35">
          <a:extLst>
            <a:ext uri="{FF2B5EF4-FFF2-40B4-BE49-F238E27FC236}">
              <a16:creationId xmlns:a16="http://schemas.microsoft.com/office/drawing/2014/main" id="{00000000-0008-0000-0100-00009C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253" name="Line 36">
          <a:extLst>
            <a:ext uri="{FF2B5EF4-FFF2-40B4-BE49-F238E27FC236}">
              <a16:creationId xmlns:a16="http://schemas.microsoft.com/office/drawing/2014/main" id="{00000000-0008-0000-0100-00009D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254" name="Line 37">
          <a:extLst>
            <a:ext uri="{FF2B5EF4-FFF2-40B4-BE49-F238E27FC236}">
              <a16:creationId xmlns:a16="http://schemas.microsoft.com/office/drawing/2014/main" id="{00000000-0008-0000-0100-00009E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255" name="Line 38">
          <a:extLst>
            <a:ext uri="{FF2B5EF4-FFF2-40B4-BE49-F238E27FC236}">
              <a16:creationId xmlns:a16="http://schemas.microsoft.com/office/drawing/2014/main" id="{00000000-0008-0000-0100-00009F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256" name="Line 39">
          <a:extLst>
            <a:ext uri="{FF2B5EF4-FFF2-40B4-BE49-F238E27FC236}">
              <a16:creationId xmlns:a16="http://schemas.microsoft.com/office/drawing/2014/main" id="{00000000-0008-0000-0100-0000A0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257" name="Line 40">
          <a:extLst>
            <a:ext uri="{FF2B5EF4-FFF2-40B4-BE49-F238E27FC236}">
              <a16:creationId xmlns:a16="http://schemas.microsoft.com/office/drawing/2014/main" id="{00000000-0008-0000-0100-0000A1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258" name="Line 41">
          <a:extLst>
            <a:ext uri="{FF2B5EF4-FFF2-40B4-BE49-F238E27FC236}">
              <a16:creationId xmlns:a16="http://schemas.microsoft.com/office/drawing/2014/main" id="{00000000-0008-0000-0100-0000A2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259" name="Rectangle 42">
          <a:extLst>
            <a:ext uri="{FF2B5EF4-FFF2-40B4-BE49-F238E27FC236}">
              <a16:creationId xmlns:a16="http://schemas.microsoft.com/office/drawing/2014/main" id="{00000000-0008-0000-0100-0000A3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260" name="Line 43">
          <a:extLst>
            <a:ext uri="{FF2B5EF4-FFF2-40B4-BE49-F238E27FC236}">
              <a16:creationId xmlns:a16="http://schemas.microsoft.com/office/drawing/2014/main" id="{00000000-0008-0000-0100-0000A4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261" name="Line 44">
          <a:extLst>
            <a:ext uri="{FF2B5EF4-FFF2-40B4-BE49-F238E27FC236}">
              <a16:creationId xmlns:a16="http://schemas.microsoft.com/office/drawing/2014/main" id="{00000000-0008-0000-0100-0000A5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262" name="Line 45">
          <a:extLst>
            <a:ext uri="{FF2B5EF4-FFF2-40B4-BE49-F238E27FC236}">
              <a16:creationId xmlns:a16="http://schemas.microsoft.com/office/drawing/2014/main" id="{00000000-0008-0000-0100-0000A6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263" name="Line 46">
          <a:extLst>
            <a:ext uri="{FF2B5EF4-FFF2-40B4-BE49-F238E27FC236}">
              <a16:creationId xmlns:a16="http://schemas.microsoft.com/office/drawing/2014/main" id="{00000000-0008-0000-0100-0000A7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264" name="Line 47">
          <a:extLst>
            <a:ext uri="{FF2B5EF4-FFF2-40B4-BE49-F238E27FC236}">
              <a16:creationId xmlns:a16="http://schemas.microsoft.com/office/drawing/2014/main" id="{00000000-0008-0000-0100-0000A8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265" name="Line 48">
          <a:extLst>
            <a:ext uri="{FF2B5EF4-FFF2-40B4-BE49-F238E27FC236}">
              <a16:creationId xmlns:a16="http://schemas.microsoft.com/office/drawing/2014/main" id="{00000000-0008-0000-0100-0000A9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266" name="Line 49">
          <a:extLst>
            <a:ext uri="{FF2B5EF4-FFF2-40B4-BE49-F238E27FC236}">
              <a16:creationId xmlns:a16="http://schemas.microsoft.com/office/drawing/2014/main" id="{00000000-0008-0000-0100-0000AA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267" name="Line 50">
          <a:extLst>
            <a:ext uri="{FF2B5EF4-FFF2-40B4-BE49-F238E27FC236}">
              <a16:creationId xmlns:a16="http://schemas.microsoft.com/office/drawing/2014/main" id="{00000000-0008-0000-0100-0000AB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268" name="Line 51">
          <a:extLst>
            <a:ext uri="{FF2B5EF4-FFF2-40B4-BE49-F238E27FC236}">
              <a16:creationId xmlns:a16="http://schemas.microsoft.com/office/drawing/2014/main" id="{00000000-0008-0000-0100-0000AC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269" name="Line 52">
          <a:extLst>
            <a:ext uri="{FF2B5EF4-FFF2-40B4-BE49-F238E27FC236}">
              <a16:creationId xmlns:a16="http://schemas.microsoft.com/office/drawing/2014/main" id="{00000000-0008-0000-0100-0000AD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270" name="Line 53">
          <a:extLst>
            <a:ext uri="{FF2B5EF4-FFF2-40B4-BE49-F238E27FC236}">
              <a16:creationId xmlns:a16="http://schemas.microsoft.com/office/drawing/2014/main" id="{00000000-0008-0000-0100-0000AE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271" name="Line 54">
          <a:extLst>
            <a:ext uri="{FF2B5EF4-FFF2-40B4-BE49-F238E27FC236}">
              <a16:creationId xmlns:a16="http://schemas.microsoft.com/office/drawing/2014/main" id="{00000000-0008-0000-0100-0000AF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272" name="Line 55">
          <a:extLst>
            <a:ext uri="{FF2B5EF4-FFF2-40B4-BE49-F238E27FC236}">
              <a16:creationId xmlns:a16="http://schemas.microsoft.com/office/drawing/2014/main" id="{00000000-0008-0000-0100-0000B0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273" name="Line 56">
          <a:extLst>
            <a:ext uri="{FF2B5EF4-FFF2-40B4-BE49-F238E27FC236}">
              <a16:creationId xmlns:a16="http://schemas.microsoft.com/office/drawing/2014/main" id="{00000000-0008-0000-0100-0000B1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274" name="Rectangle 57">
          <a:extLst>
            <a:ext uri="{FF2B5EF4-FFF2-40B4-BE49-F238E27FC236}">
              <a16:creationId xmlns:a16="http://schemas.microsoft.com/office/drawing/2014/main" id="{00000000-0008-0000-0100-0000B2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275" name="Line 58">
          <a:extLst>
            <a:ext uri="{FF2B5EF4-FFF2-40B4-BE49-F238E27FC236}">
              <a16:creationId xmlns:a16="http://schemas.microsoft.com/office/drawing/2014/main" id="{00000000-0008-0000-0100-0000B3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276" name="Line 59">
          <a:extLst>
            <a:ext uri="{FF2B5EF4-FFF2-40B4-BE49-F238E27FC236}">
              <a16:creationId xmlns:a16="http://schemas.microsoft.com/office/drawing/2014/main" id="{00000000-0008-0000-0100-0000B4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277" name="Line 60">
          <a:extLst>
            <a:ext uri="{FF2B5EF4-FFF2-40B4-BE49-F238E27FC236}">
              <a16:creationId xmlns:a16="http://schemas.microsoft.com/office/drawing/2014/main" id="{00000000-0008-0000-0100-0000B5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278" name="Line 61">
          <a:extLst>
            <a:ext uri="{FF2B5EF4-FFF2-40B4-BE49-F238E27FC236}">
              <a16:creationId xmlns:a16="http://schemas.microsoft.com/office/drawing/2014/main" id="{00000000-0008-0000-0100-0000B6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279" name="Line 62">
          <a:extLst>
            <a:ext uri="{FF2B5EF4-FFF2-40B4-BE49-F238E27FC236}">
              <a16:creationId xmlns:a16="http://schemas.microsoft.com/office/drawing/2014/main" id="{00000000-0008-0000-0100-0000B7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280" name="Line 63">
          <a:extLst>
            <a:ext uri="{FF2B5EF4-FFF2-40B4-BE49-F238E27FC236}">
              <a16:creationId xmlns:a16="http://schemas.microsoft.com/office/drawing/2014/main" id="{00000000-0008-0000-0100-0000B8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281" name="Line 64">
          <a:extLst>
            <a:ext uri="{FF2B5EF4-FFF2-40B4-BE49-F238E27FC236}">
              <a16:creationId xmlns:a16="http://schemas.microsoft.com/office/drawing/2014/main" id="{00000000-0008-0000-0100-0000B9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282" name="Line 65">
          <a:extLst>
            <a:ext uri="{FF2B5EF4-FFF2-40B4-BE49-F238E27FC236}">
              <a16:creationId xmlns:a16="http://schemas.microsoft.com/office/drawing/2014/main" id="{00000000-0008-0000-0100-0000BA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283" name="Line 66">
          <a:extLst>
            <a:ext uri="{FF2B5EF4-FFF2-40B4-BE49-F238E27FC236}">
              <a16:creationId xmlns:a16="http://schemas.microsoft.com/office/drawing/2014/main" id="{00000000-0008-0000-0100-0000BB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284" name="Line 67">
          <a:extLst>
            <a:ext uri="{FF2B5EF4-FFF2-40B4-BE49-F238E27FC236}">
              <a16:creationId xmlns:a16="http://schemas.microsoft.com/office/drawing/2014/main" id="{00000000-0008-0000-0100-0000BC1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285" name="Line 68">
          <a:extLst>
            <a:ext uri="{FF2B5EF4-FFF2-40B4-BE49-F238E27FC236}">
              <a16:creationId xmlns:a16="http://schemas.microsoft.com/office/drawing/2014/main" id="{00000000-0008-0000-0100-0000BD1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286" name="Line 1">
          <a:extLst>
            <a:ext uri="{FF2B5EF4-FFF2-40B4-BE49-F238E27FC236}">
              <a16:creationId xmlns:a16="http://schemas.microsoft.com/office/drawing/2014/main" id="{00000000-0008-0000-0100-0000BE1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287" name="Drawing 16">
          <a:extLst>
            <a:ext uri="{FF2B5EF4-FFF2-40B4-BE49-F238E27FC236}">
              <a16:creationId xmlns:a16="http://schemas.microsoft.com/office/drawing/2014/main" id="{00000000-0008-0000-0100-0000BF1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288" name="Line 3">
          <a:extLst>
            <a:ext uri="{FF2B5EF4-FFF2-40B4-BE49-F238E27FC236}">
              <a16:creationId xmlns:a16="http://schemas.microsoft.com/office/drawing/2014/main" id="{00000000-0008-0000-0100-0000C01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289" name="Line 4">
          <a:extLst>
            <a:ext uri="{FF2B5EF4-FFF2-40B4-BE49-F238E27FC236}">
              <a16:creationId xmlns:a16="http://schemas.microsoft.com/office/drawing/2014/main" id="{00000000-0008-0000-0100-0000C11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290" name="Line 5">
          <a:extLst>
            <a:ext uri="{FF2B5EF4-FFF2-40B4-BE49-F238E27FC236}">
              <a16:creationId xmlns:a16="http://schemas.microsoft.com/office/drawing/2014/main" id="{00000000-0008-0000-0100-0000C21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291" name="Line 6">
          <a:extLst>
            <a:ext uri="{FF2B5EF4-FFF2-40B4-BE49-F238E27FC236}">
              <a16:creationId xmlns:a16="http://schemas.microsoft.com/office/drawing/2014/main" id="{00000000-0008-0000-0100-0000C31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292" name="Line 7">
          <a:extLst>
            <a:ext uri="{FF2B5EF4-FFF2-40B4-BE49-F238E27FC236}">
              <a16:creationId xmlns:a16="http://schemas.microsoft.com/office/drawing/2014/main" id="{00000000-0008-0000-0100-0000C41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293" name="Line 8">
          <a:extLst>
            <a:ext uri="{FF2B5EF4-FFF2-40B4-BE49-F238E27FC236}">
              <a16:creationId xmlns:a16="http://schemas.microsoft.com/office/drawing/2014/main" id="{00000000-0008-0000-0100-0000C51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294" name="Line 9">
          <a:extLst>
            <a:ext uri="{FF2B5EF4-FFF2-40B4-BE49-F238E27FC236}">
              <a16:creationId xmlns:a16="http://schemas.microsoft.com/office/drawing/2014/main" id="{00000000-0008-0000-0100-0000C61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295" name="Line 10">
          <a:extLst>
            <a:ext uri="{FF2B5EF4-FFF2-40B4-BE49-F238E27FC236}">
              <a16:creationId xmlns:a16="http://schemas.microsoft.com/office/drawing/2014/main" id="{00000000-0008-0000-0100-0000C71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296" name="Line 11">
          <a:extLst>
            <a:ext uri="{FF2B5EF4-FFF2-40B4-BE49-F238E27FC236}">
              <a16:creationId xmlns:a16="http://schemas.microsoft.com/office/drawing/2014/main" id="{00000000-0008-0000-0100-0000C81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297" name="Line 12">
          <a:extLst>
            <a:ext uri="{FF2B5EF4-FFF2-40B4-BE49-F238E27FC236}">
              <a16:creationId xmlns:a16="http://schemas.microsoft.com/office/drawing/2014/main" id="{00000000-0008-0000-0100-0000C91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298" name="Line 13">
          <a:extLst>
            <a:ext uri="{FF2B5EF4-FFF2-40B4-BE49-F238E27FC236}">
              <a16:creationId xmlns:a16="http://schemas.microsoft.com/office/drawing/2014/main" id="{00000000-0008-0000-0100-0000CA1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99" name="Line 14">
          <a:extLst>
            <a:ext uri="{FF2B5EF4-FFF2-40B4-BE49-F238E27FC236}">
              <a16:creationId xmlns:a16="http://schemas.microsoft.com/office/drawing/2014/main" id="{00000000-0008-0000-0100-0000CB1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300" name="Line 15">
          <a:extLst>
            <a:ext uri="{FF2B5EF4-FFF2-40B4-BE49-F238E27FC236}">
              <a16:creationId xmlns:a16="http://schemas.microsoft.com/office/drawing/2014/main" id="{00000000-0008-0000-0100-0000CC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301" name="Line 16">
          <a:extLst>
            <a:ext uri="{FF2B5EF4-FFF2-40B4-BE49-F238E27FC236}">
              <a16:creationId xmlns:a16="http://schemas.microsoft.com/office/drawing/2014/main" id="{00000000-0008-0000-0100-0000CD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302" name="Line 17">
          <a:extLst>
            <a:ext uri="{FF2B5EF4-FFF2-40B4-BE49-F238E27FC236}">
              <a16:creationId xmlns:a16="http://schemas.microsoft.com/office/drawing/2014/main" id="{00000000-0008-0000-0100-0000CE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303" name="Line 18">
          <a:extLst>
            <a:ext uri="{FF2B5EF4-FFF2-40B4-BE49-F238E27FC236}">
              <a16:creationId xmlns:a16="http://schemas.microsoft.com/office/drawing/2014/main" id="{00000000-0008-0000-0100-0000CF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304" name="Line 19">
          <a:extLst>
            <a:ext uri="{FF2B5EF4-FFF2-40B4-BE49-F238E27FC236}">
              <a16:creationId xmlns:a16="http://schemas.microsoft.com/office/drawing/2014/main" id="{00000000-0008-0000-0100-0000D0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305" name="Line 20">
          <a:extLst>
            <a:ext uri="{FF2B5EF4-FFF2-40B4-BE49-F238E27FC236}">
              <a16:creationId xmlns:a16="http://schemas.microsoft.com/office/drawing/2014/main" id="{00000000-0008-0000-0100-0000D1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306" name="Line 21">
          <a:extLst>
            <a:ext uri="{FF2B5EF4-FFF2-40B4-BE49-F238E27FC236}">
              <a16:creationId xmlns:a16="http://schemas.microsoft.com/office/drawing/2014/main" id="{00000000-0008-0000-0100-0000D2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307" name="Line 22">
          <a:extLst>
            <a:ext uri="{FF2B5EF4-FFF2-40B4-BE49-F238E27FC236}">
              <a16:creationId xmlns:a16="http://schemas.microsoft.com/office/drawing/2014/main" id="{00000000-0008-0000-0100-0000D3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308" name="Line 23">
          <a:extLst>
            <a:ext uri="{FF2B5EF4-FFF2-40B4-BE49-F238E27FC236}">
              <a16:creationId xmlns:a16="http://schemas.microsoft.com/office/drawing/2014/main" id="{00000000-0008-0000-0100-0000D4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309" name="Line 24">
          <a:extLst>
            <a:ext uri="{FF2B5EF4-FFF2-40B4-BE49-F238E27FC236}">
              <a16:creationId xmlns:a16="http://schemas.microsoft.com/office/drawing/2014/main" id="{00000000-0008-0000-0100-0000D5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310" name="Line 25">
          <a:extLst>
            <a:ext uri="{FF2B5EF4-FFF2-40B4-BE49-F238E27FC236}">
              <a16:creationId xmlns:a16="http://schemas.microsoft.com/office/drawing/2014/main" id="{00000000-0008-0000-0100-0000D6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311" name="Line 26">
          <a:extLst>
            <a:ext uri="{FF2B5EF4-FFF2-40B4-BE49-F238E27FC236}">
              <a16:creationId xmlns:a16="http://schemas.microsoft.com/office/drawing/2014/main" id="{00000000-0008-0000-0100-0000D7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312" name="Line 27">
          <a:extLst>
            <a:ext uri="{FF2B5EF4-FFF2-40B4-BE49-F238E27FC236}">
              <a16:creationId xmlns:a16="http://schemas.microsoft.com/office/drawing/2014/main" id="{00000000-0008-0000-0100-0000D8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313" name="Line 28">
          <a:extLst>
            <a:ext uri="{FF2B5EF4-FFF2-40B4-BE49-F238E27FC236}">
              <a16:creationId xmlns:a16="http://schemas.microsoft.com/office/drawing/2014/main" id="{00000000-0008-0000-0100-0000D9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314" name="Line 29">
          <a:extLst>
            <a:ext uri="{FF2B5EF4-FFF2-40B4-BE49-F238E27FC236}">
              <a16:creationId xmlns:a16="http://schemas.microsoft.com/office/drawing/2014/main" id="{00000000-0008-0000-0100-0000DA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315" name="Line 30">
          <a:extLst>
            <a:ext uri="{FF2B5EF4-FFF2-40B4-BE49-F238E27FC236}">
              <a16:creationId xmlns:a16="http://schemas.microsoft.com/office/drawing/2014/main" id="{00000000-0008-0000-0100-0000DB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316" name="Line 31">
          <a:extLst>
            <a:ext uri="{FF2B5EF4-FFF2-40B4-BE49-F238E27FC236}">
              <a16:creationId xmlns:a16="http://schemas.microsoft.com/office/drawing/2014/main" id="{00000000-0008-0000-0100-0000DC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317" name="Line 32">
          <a:extLst>
            <a:ext uri="{FF2B5EF4-FFF2-40B4-BE49-F238E27FC236}">
              <a16:creationId xmlns:a16="http://schemas.microsoft.com/office/drawing/2014/main" id="{00000000-0008-0000-0100-0000DD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318" name="Line 33">
          <a:extLst>
            <a:ext uri="{FF2B5EF4-FFF2-40B4-BE49-F238E27FC236}">
              <a16:creationId xmlns:a16="http://schemas.microsoft.com/office/drawing/2014/main" id="{00000000-0008-0000-0100-0000DE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319" name="Line 34">
          <a:extLst>
            <a:ext uri="{FF2B5EF4-FFF2-40B4-BE49-F238E27FC236}">
              <a16:creationId xmlns:a16="http://schemas.microsoft.com/office/drawing/2014/main" id="{00000000-0008-0000-0100-0000DF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320" name="Line 35">
          <a:extLst>
            <a:ext uri="{FF2B5EF4-FFF2-40B4-BE49-F238E27FC236}">
              <a16:creationId xmlns:a16="http://schemas.microsoft.com/office/drawing/2014/main" id="{00000000-0008-0000-0100-0000E0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321" name="Line 36">
          <a:extLst>
            <a:ext uri="{FF2B5EF4-FFF2-40B4-BE49-F238E27FC236}">
              <a16:creationId xmlns:a16="http://schemas.microsoft.com/office/drawing/2014/main" id="{00000000-0008-0000-0100-0000E1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322" name="Line 37">
          <a:extLst>
            <a:ext uri="{FF2B5EF4-FFF2-40B4-BE49-F238E27FC236}">
              <a16:creationId xmlns:a16="http://schemas.microsoft.com/office/drawing/2014/main" id="{00000000-0008-0000-0100-0000E2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323" name="Line 38">
          <a:extLst>
            <a:ext uri="{FF2B5EF4-FFF2-40B4-BE49-F238E27FC236}">
              <a16:creationId xmlns:a16="http://schemas.microsoft.com/office/drawing/2014/main" id="{00000000-0008-0000-0100-0000E3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324" name="Line 39">
          <a:extLst>
            <a:ext uri="{FF2B5EF4-FFF2-40B4-BE49-F238E27FC236}">
              <a16:creationId xmlns:a16="http://schemas.microsoft.com/office/drawing/2014/main" id="{00000000-0008-0000-0100-0000E4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325" name="Line 40">
          <a:extLst>
            <a:ext uri="{FF2B5EF4-FFF2-40B4-BE49-F238E27FC236}">
              <a16:creationId xmlns:a16="http://schemas.microsoft.com/office/drawing/2014/main" id="{00000000-0008-0000-0100-0000E5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326" name="Line 41">
          <a:extLst>
            <a:ext uri="{FF2B5EF4-FFF2-40B4-BE49-F238E27FC236}">
              <a16:creationId xmlns:a16="http://schemas.microsoft.com/office/drawing/2014/main" id="{00000000-0008-0000-0100-0000E6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327" name="Rectangle 42">
          <a:extLst>
            <a:ext uri="{FF2B5EF4-FFF2-40B4-BE49-F238E27FC236}">
              <a16:creationId xmlns:a16="http://schemas.microsoft.com/office/drawing/2014/main" id="{00000000-0008-0000-0100-0000E7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328" name="Line 43">
          <a:extLst>
            <a:ext uri="{FF2B5EF4-FFF2-40B4-BE49-F238E27FC236}">
              <a16:creationId xmlns:a16="http://schemas.microsoft.com/office/drawing/2014/main" id="{00000000-0008-0000-0100-0000E8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329" name="Line 44">
          <a:extLst>
            <a:ext uri="{FF2B5EF4-FFF2-40B4-BE49-F238E27FC236}">
              <a16:creationId xmlns:a16="http://schemas.microsoft.com/office/drawing/2014/main" id="{00000000-0008-0000-0100-0000E9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330" name="Line 45">
          <a:extLst>
            <a:ext uri="{FF2B5EF4-FFF2-40B4-BE49-F238E27FC236}">
              <a16:creationId xmlns:a16="http://schemas.microsoft.com/office/drawing/2014/main" id="{00000000-0008-0000-0100-0000EA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331" name="Line 46">
          <a:extLst>
            <a:ext uri="{FF2B5EF4-FFF2-40B4-BE49-F238E27FC236}">
              <a16:creationId xmlns:a16="http://schemas.microsoft.com/office/drawing/2014/main" id="{00000000-0008-0000-0100-0000EB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332" name="Line 47">
          <a:extLst>
            <a:ext uri="{FF2B5EF4-FFF2-40B4-BE49-F238E27FC236}">
              <a16:creationId xmlns:a16="http://schemas.microsoft.com/office/drawing/2014/main" id="{00000000-0008-0000-0100-0000EC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333" name="Line 48">
          <a:extLst>
            <a:ext uri="{FF2B5EF4-FFF2-40B4-BE49-F238E27FC236}">
              <a16:creationId xmlns:a16="http://schemas.microsoft.com/office/drawing/2014/main" id="{00000000-0008-0000-0100-0000ED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334" name="Line 49">
          <a:extLst>
            <a:ext uri="{FF2B5EF4-FFF2-40B4-BE49-F238E27FC236}">
              <a16:creationId xmlns:a16="http://schemas.microsoft.com/office/drawing/2014/main" id="{00000000-0008-0000-0100-0000EE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335" name="Line 50">
          <a:extLst>
            <a:ext uri="{FF2B5EF4-FFF2-40B4-BE49-F238E27FC236}">
              <a16:creationId xmlns:a16="http://schemas.microsoft.com/office/drawing/2014/main" id="{00000000-0008-0000-0100-0000EF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336" name="Line 51">
          <a:extLst>
            <a:ext uri="{FF2B5EF4-FFF2-40B4-BE49-F238E27FC236}">
              <a16:creationId xmlns:a16="http://schemas.microsoft.com/office/drawing/2014/main" id="{00000000-0008-0000-0100-0000F0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337" name="Line 52">
          <a:extLst>
            <a:ext uri="{FF2B5EF4-FFF2-40B4-BE49-F238E27FC236}">
              <a16:creationId xmlns:a16="http://schemas.microsoft.com/office/drawing/2014/main" id="{00000000-0008-0000-0100-0000F1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338" name="Line 53">
          <a:extLst>
            <a:ext uri="{FF2B5EF4-FFF2-40B4-BE49-F238E27FC236}">
              <a16:creationId xmlns:a16="http://schemas.microsoft.com/office/drawing/2014/main" id="{00000000-0008-0000-0100-0000F2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339" name="Line 54">
          <a:extLst>
            <a:ext uri="{FF2B5EF4-FFF2-40B4-BE49-F238E27FC236}">
              <a16:creationId xmlns:a16="http://schemas.microsoft.com/office/drawing/2014/main" id="{00000000-0008-0000-0100-0000F3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340" name="Line 55">
          <a:extLst>
            <a:ext uri="{FF2B5EF4-FFF2-40B4-BE49-F238E27FC236}">
              <a16:creationId xmlns:a16="http://schemas.microsoft.com/office/drawing/2014/main" id="{00000000-0008-0000-0100-0000F4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341" name="Line 56">
          <a:extLst>
            <a:ext uri="{FF2B5EF4-FFF2-40B4-BE49-F238E27FC236}">
              <a16:creationId xmlns:a16="http://schemas.microsoft.com/office/drawing/2014/main" id="{00000000-0008-0000-0100-0000F5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342" name="Rectangle 57">
          <a:extLst>
            <a:ext uri="{FF2B5EF4-FFF2-40B4-BE49-F238E27FC236}">
              <a16:creationId xmlns:a16="http://schemas.microsoft.com/office/drawing/2014/main" id="{00000000-0008-0000-0100-0000F6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343" name="Line 58">
          <a:extLst>
            <a:ext uri="{FF2B5EF4-FFF2-40B4-BE49-F238E27FC236}">
              <a16:creationId xmlns:a16="http://schemas.microsoft.com/office/drawing/2014/main" id="{00000000-0008-0000-0100-0000F7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344" name="Line 59">
          <a:extLst>
            <a:ext uri="{FF2B5EF4-FFF2-40B4-BE49-F238E27FC236}">
              <a16:creationId xmlns:a16="http://schemas.microsoft.com/office/drawing/2014/main" id="{00000000-0008-0000-0100-0000F8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345" name="Line 60">
          <a:extLst>
            <a:ext uri="{FF2B5EF4-FFF2-40B4-BE49-F238E27FC236}">
              <a16:creationId xmlns:a16="http://schemas.microsoft.com/office/drawing/2014/main" id="{00000000-0008-0000-0100-0000F9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346" name="Line 61">
          <a:extLst>
            <a:ext uri="{FF2B5EF4-FFF2-40B4-BE49-F238E27FC236}">
              <a16:creationId xmlns:a16="http://schemas.microsoft.com/office/drawing/2014/main" id="{00000000-0008-0000-0100-0000FA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347" name="Line 62">
          <a:extLst>
            <a:ext uri="{FF2B5EF4-FFF2-40B4-BE49-F238E27FC236}">
              <a16:creationId xmlns:a16="http://schemas.microsoft.com/office/drawing/2014/main" id="{00000000-0008-0000-0100-0000FB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348" name="Line 63">
          <a:extLst>
            <a:ext uri="{FF2B5EF4-FFF2-40B4-BE49-F238E27FC236}">
              <a16:creationId xmlns:a16="http://schemas.microsoft.com/office/drawing/2014/main" id="{00000000-0008-0000-0100-0000FC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349" name="Line 64">
          <a:extLst>
            <a:ext uri="{FF2B5EF4-FFF2-40B4-BE49-F238E27FC236}">
              <a16:creationId xmlns:a16="http://schemas.microsoft.com/office/drawing/2014/main" id="{00000000-0008-0000-0100-0000FD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350" name="Line 65">
          <a:extLst>
            <a:ext uri="{FF2B5EF4-FFF2-40B4-BE49-F238E27FC236}">
              <a16:creationId xmlns:a16="http://schemas.microsoft.com/office/drawing/2014/main" id="{00000000-0008-0000-0100-0000FE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351" name="Line 66">
          <a:extLst>
            <a:ext uri="{FF2B5EF4-FFF2-40B4-BE49-F238E27FC236}">
              <a16:creationId xmlns:a16="http://schemas.microsoft.com/office/drawing/2014/main" id="{00000000-0008-0000-0100-0000FF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352" name="Line 67">
          <a:extLst>
            <a:ext uri="{FF2B5EF4-FFF2-40B4-BE49-F238E27FC236}">
              <a16:creationId xmlns:a16="http://schemas.microsoft.com/office/drawing/2014/main" id="{00000000-0008-0000-0100-0000001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353" name="Line 68">
          <a:extLst>
            <a:ext uri="{FF2B5EF4-FFF2-40B4-BE49-F238E27FC236}">
              <a16:creationId xmlns:a16="http://schemas.microsoft.com/office/drawing/2014/main" id="{00000000-0008-0000-0100-0000011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" name="Drawing 1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6" name="Lin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" name="Lin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8" name="Lin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9" name="Lin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0" name="Lin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1" name="Lin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2" name="Lin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3" name="Lin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4" name="Lin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5" name="Lin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6" name="Lin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7" name="Lin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8" name="Lin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9" name="Lin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" name="Lin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1" name="Lin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2" name="Lin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3" name="Lin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4" name="Lin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5" name="Lin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6" name="Lin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" name="Lin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8" name="Lin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9" name="Lin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0" name="Lin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1" name="Lin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2" name="Lin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4" name="Lin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5" name="Lin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6" name="Lin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7" name="Lin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8" name="Lin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9" name="Lin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50" name="Lin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51" name="Lin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52" name="Lin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53" name="Lin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54" name="Lin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55" name="Lin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56" name="Lin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57" name="Lin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59" name="Lin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60" name="Lin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61" name="Lin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62" name="Lin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63" name="Lin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64" name="Lin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65" name="Lin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66" name="Lin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67" name="Lin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68" name="Lin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69" name="Lin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71" name="Drawing 1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72" name="Line 3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73" name="Line 4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74" name="Line 5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75" name="Line 6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76" name="Line 7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77" name="Line 8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78" name="Line 9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79" name="Line 10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80" name="Line 11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81" name="Line 12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82" name="Line 13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3" name="Line 14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84" name="Line 15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5" name="Line 16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86" name="Line 17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87" name="Line 18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88" name="Line 19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89" name="Line 20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90" name="Line 21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91" name="Line 22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92" name="Line 2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93" name="Line 24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94" name="Line 25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95" name="Line 26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96" name="Line 27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97" name="Line 28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98" name="Line 29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99" name="Line 30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00" name="Line 31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01" name="Line 32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02" name="Line 33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03" name="Line 34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04" name="Line 35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05" name="Line 36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06" name="Line 37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07" name="Line 38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08" name="Line 39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09" name="Line 40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10" name="Line 41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11" name="Rectangle 42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2" name="Line 43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3" name="Line 44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14" name="Line 45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15" name="Line 46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16" name="Line 47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17" name="Line 48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18" name="Line 49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19" name="Line 50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20" name="Line 51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21" name="Line 52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22" name="Line 53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23" name="Line 54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24" name="Line 55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25" name="Line 56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26" name="Rectangle 57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27" name="Line 58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28" name="Line 59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29" name="Line 60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30" name="Line 61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31" name="Line 62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32" name="Line 63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33" name="Line 64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34" name="Line 65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35" name="Line 66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36" name="Line 67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37" name="Line 68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38" name="Line 1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39" name="Drawing 16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40" name="Line 3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41" name="Line 4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42" name="Line 5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43" name="Line 6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44" name="Line 7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45" name="Line 8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46" name="Line 9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47" name="Line 10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48" name="Line 11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49" name="Line 12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50" name="Line 13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1" name="Line 14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52" name="Line 15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3" name="Line 16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54" name="Line 17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55" name="Line 18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56" name="Line 19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57" name="Line 20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58" name="Line 21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59" name="Line 22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60" name="Line 23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61" name="Line 24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62" name="Line 25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63" name="Line 26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64" name="Line 27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65" name="Line 28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66" name="Line 29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67" name="Line 30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68" name="Line 31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69" name="Line 32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70" name="Line 33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71" name="Line 34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72" name="Line 35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73" name="Line 36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74" name="Line 37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75" name="Line 38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76" name="Line 39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77" name="Line 40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78" name="Line 41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79" name="Rectangle 42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0" name="Line 43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1" name="Line 44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82" name="Line 45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83" name="Line 46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84" name="Line 47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85" name="Line 48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86" name="Line 49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87" name="Line 50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88" name="Line 51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89" name="Line 52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90" name="Line 53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91" name="Line 54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92" name="Line 55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93" name="Line 56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94" name="Rectangle 57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95" name="Line 58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96" name="Line 59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97" name="Line 60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98" name="Line 61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99" name="Line 62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00" name="Line 63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01" name="Line 64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02" name="Line 65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03" name="Line 66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04" name="Line 67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05" name="Line 68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06" name="Line 1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07" name="Drawing 1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08" name="Line 3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09" name="Line 4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10" name="Line 5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11" name="Line 6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12" name="Line 7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13" name="Line 8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14" name="Line 9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15" name="Line 10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16" name="Line 11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17" name="Line 12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18" name="Line 13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9" name="Line 14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20" name="Line 15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21" name="Line 16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22" name="Line 17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23" name="Line 18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24" name="Line 19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25" name="Line 20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26" name="Line 21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27" name="Line 22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28" name="Line 23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29" name="Line 24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30" name="Line 25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31" name="Line 26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32" name="Line 27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33" name="Line 28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34" name="Line 29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35" name="Line 30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36" name="Line 31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37" name="Line 32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38" name="Line 33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39" name="Line 34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40" name="Line 35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41" name="Line 36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42" name="Line 37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43" name="Line 38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44" name="Line 39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45" name="Line 40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46" name="Line 41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47" name="Rectangle 42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8" name="Line 43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9" name="Line 44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50" name="Line 45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51" name="Line 46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52" name="Line 47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53" name="Line 48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54" name="Line 49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55" name="Line 50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56" name="Line 51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57" name="Line 52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58" name="Line 53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59" name="Line 54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60" name="Line 55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61" name="Line 56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62" name="Rectangle 57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63" name="Line 58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64" name="Line 59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65" name="Line 60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66" name="Line 61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67" name="Line 62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68" name="Line 63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69" name="Line 64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70" name="Line 65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71" name="Line 66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72" name="Line 67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73" name="Line 68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74" name="Line 1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75" name="Drawing 16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76" name="Line 3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77" name="Line 4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78" name="Line 5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79" name="Line 6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80" name="Line 7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81" name="Line 8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82" name="Line 9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83" name="Line 10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84" name="Line 11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85" name="Line 12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86" name="Line 13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7" name="Line 14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88" name="Line 15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9" name="Line 16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90" name="Line 17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91" name="Line 18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92" name="Line 19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93" name="Line 20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94" name="Line 21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95" name="Line 22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96" name="Line 23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97" name="Line 24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98" name="Line 25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99" name="Line 26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00" name="Line 27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01" name="Line 28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2" name="Line 29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03" name="Line 30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04" name="Line 31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05" name="Line 32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06" name="Line 33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07" name="Line 34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08" name="Line 35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09" name="Line 36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10" name="Line 37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11" name="Line 38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12" name="Line 39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13" name="Line 40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14" name="Line 41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15" name="Rectangle 42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6" name="Line 43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7" name="Line 44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18" name="Line 45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19" name="Line 46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20" name="Line 47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21" name="Line 48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22" name="Line 49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23" name="Line 50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24" name="Line 51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25" name="Line 52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26" name="Line 53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27" name="Line 54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28" name="Line 55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29" name="Line 56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30" name="Rectangle 57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31" name="Line 58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32" name="Line 59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33" name="Line 60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34" name="Line 61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35" name="Line 62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36" name="Line 63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37" name="Line 64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38" name="Line 65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39" name="Line 66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40" name="Line 67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41" name="Line 68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42" name="Line 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43" name="Drawing 16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44" name="Line 3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45" name="Line 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46" name="Line 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47" name="Line 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48" name="Line 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49" name="Line 8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50" name="Line 9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51" name="Line 1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52" name="Line 1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53" name="Line 1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54" name="Line 1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5" name="Line 1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56" name="Line 1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7" name="Line 1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58" name="Line 1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59" name="Line 1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60" name="Line 1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61" name="Line 20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62" name="Line 2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63" name="Line 22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64" name="Line 2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65" name="Line 24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66" name="Line 25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67" name="Line 2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68" name="Line 2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69" name="Line 28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70" name="Line 29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71" name="Line 30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72" name="Line 31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73" name="Line 32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74" name="Line 3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75" name="Line 34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76" name="Line 3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7" name="Line 3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78" name="Line 3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79" name="Line 3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80" name="Line 39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81" name="Line 40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82" name="Line 4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83" name="Rectangle 4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4" name="Line 4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5" name="Line 44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86" name="Line 45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87" name="Line 46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88" name="Line 47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89" name="Line 48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90" name="Line 4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91" name="Line 5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92" name="Line 51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93" name="Line 5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94" name="Line 5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95" name="Line 54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96" name="Line 55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97" name="Line 56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98" name="Rectangle 57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99" name="Line 58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00" name="Line 5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01" name="Line 60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02" name="Line 6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03" name="Line 6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04" name="Line 63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05" name="Line 6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06" name="Line 6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07" name="Line 66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08" name="Line 6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09" name="Line 6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10" name="Line 1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11" name="Drawing 16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12" name="Line 3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13" name="Line 4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14" name="Line 5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15" name="Line 6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16" name="Line 7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17" name="Line 8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18" name="Line 9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19" name="Line 10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20" name="Line 11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21" name="Line 12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22" name="Line 13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3" name="Line 14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24" name="Line 15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5" name="Line 16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26" name="Line 17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27" name="Line 18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28" name="Line 19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29" name="Line 20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30" name="Line 21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31" name="Line 22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32" name="Line 23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33" name="Line 24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34" name="Line 25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35" name="Line 26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36" name="Line 27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37" name="Line 28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38" name="Line 29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39" name="Line 30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40" name="Line 31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41" name="Line 32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42" name="Line 33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43" name="Line 34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44" name="Line 35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45" name="Line 36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46" name="Line 37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47" name="Line 38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48" name="Line 39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49" name="Line 40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50" name="Line 41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51" name="Rectangle 42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52" name="Line 43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53" name="Line 44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54" name="Line 45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55" name="Line 46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56" name="Line 47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57" name="Line 48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58" name="Line 49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59" name="Line 50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60" name="Line 51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61" name="Line 52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62" name="Line 53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63" name="Line 54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64" name="Line 55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65" name="Line 56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66" name="Rectangle 57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67" name="Line 58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68" name="Line 59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69" name="Line 60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70" name="Line 61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71" name="Line 62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72" name="Line 63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73" name="Line 64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74" name="Line 65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75" name="Line 66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76" name="Line 67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77" name="Line 68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78" name="Line 1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79" name="Drawing 16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80" name="Line 3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81" name="Line 4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82" name="Line 5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83" name="Line 6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84" name="Line 7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85" name="Line 8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86" name="Line 9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87" name="Line 10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88" name="Line 11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89" name="Line 12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90" name="Line 13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91" name="Line 14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92" name="Line 15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93" name="Line 16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94" name="Line 17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95" name="Line 18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96" name="Line 19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97" name="Line 20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98" name="Line 21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99" name="Line 22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500" name="Line 23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501" name="Line 24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502" name="Line 25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503" name="Line 26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504" name="Line 27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505" name="Line 28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506" name="Line 29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507" name="Line 30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508" name="Line 31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509" name="Line 32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510" name="Line 33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511" name="Line 34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512" name="Line 35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513" name="Line 36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514" name="Line 37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515" name="Line 38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516" name="Line 39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517" name="Line 40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518" name="Line 41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519" name="Rectangle 42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20" name="Line 43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21" name="Line 44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522" name="Line 45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523" name="Line 46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524" name="Line 47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525" name="Line 48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526" name="Line 49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527" name="Line 50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528" name="Line 51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529" name="Line 52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530" name="Line 53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531" name="Line 54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532" name="Line 55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533" name="Line 56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534" name="Rectangle 57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535" name="Line 58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536" name="Line 59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537" name="Line 60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538" name="Line 61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539" name="Line 62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540" name="Line 63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541" name="Line 64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542" name="Line 65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543" name="Line 66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544" name="Line 67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545" name="Line 68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546" name="Line 1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547" name="Drawing 16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548" name="Line 3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549" name="Line 4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550" name="Line 5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551" name="Line 6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552" name="Line 7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553" name="Line 8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554" name="Line 9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555" name="Line 10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556" name="Line 11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557" name="Line 12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558" name="Line 13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559" name="Line 14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560" name="Line 15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561" name="Line 16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62" name="Line 17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563" name="Line 18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564" name="Line 19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565" name="Line 20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566" name="Line 21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567" name="Line 22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568" name="Line 23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569" name="Line 24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570" name="Line 25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571" name="Line 26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572" name="Line 27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573" name="Line 28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574" name="Line 29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575" name="Line 30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576" name="Line 31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577" name="Line 32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578" name="Line 33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579" name="Line 34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580" name="Line 35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581" name="Line 36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582" name="Line 37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583" name="Line 38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584" name="Line 39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585" name="Line 40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586" name="Line 41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587" name="Rectangle 586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88" name="Line 43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589" name="Line 44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590" name="Line 45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591" name="Line 46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592" name="Line 47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593" name="Line 48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594" name="Line 49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595" name="Line 50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596" name="Line 51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597" name="Line 52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598" name="Line 53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599" name="Line 54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600" name="Line 55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601" name="Line 56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602" name="Rectangle 601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603" name="Line 58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604" name="Line 59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605" name="Line 60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606" name="Line 61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607" name="Line 62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608" name="Line 63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609" name="Line 64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610" name="Line 65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611" name="Line 66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612" name="Line 67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613" name="Line 68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614" name="Line 1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615" name="Drawing 16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616" name="Line 3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617" name="Line 4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618" name="Line 5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619" name="Line 6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620" name="Line 7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621" name="Line 8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622" name="Line 9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623" name="Line 10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624" name="Line 11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625" name="Line 12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626" name="Line 13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27" name="Line 14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628" name="Line 15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29" name="Line 16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630" name="Line 17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631" name="Line 18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632" name="Line 19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633" name="Line 20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634" name="Line 21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635" name="Line 22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636" name="Line 23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637" name="Line 24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638" name="Line 25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639" name="Line 26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640" name="Line 27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641" name="Line 28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642" name="Line 29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643" name="Line 30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644" name="Line 31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645" name="Line 32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646" name="Line 33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647" name="Line 34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648" name="Line 35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649" name="Line 36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650" name="Line 37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651" name="Line 38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652" name="Line 39"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653" name="Line 40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654" name="Line 41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655" name="Rectangle 42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656" name="Line 43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657" name="Line 44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658" name="Line 45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659" name="Line 46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660" name="Line 47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661" name="Line 48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662" name="Line 49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663" name="Line 50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664" name="Line 51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665" name="Line 52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666" name="Line 53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667" name="Line 54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668" name="Line 55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669" name="Line 56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670" name="Rectangle 57"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671" name="Line 58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672" name="Line 59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673" name="Line 60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674" name="Line 61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675" name="Line 62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676" name="Line 63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677" name="Line 64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678" name="Line 65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679" name="Line 66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680" name="Line 67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681" name="Line 68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682" name="Line 1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683" name="Drawing 16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684" name="Line 3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685" name="Line 4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686" name="Line 5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687" name="Line 6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688" name="Line 7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689" name="Line 8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690" name="Line 9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691" name="Line 10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692" name="Line 11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693" name="Line 12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694" name="Line 13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95" name="Line 14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696" name="Line 15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697" name="Line 16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698" name="Line 17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699" name="Line 18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700" name="Line 19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701" name="Line 20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702" name="Line 21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703" name="Line 22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704" name="Line 23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705" name="Line 24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706" name="Line 25"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707" name="Line 26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708" name="Line 27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709" name="Line 28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710" name="Line 29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711" name="Line 30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712" name="Line 31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713" name="Line 32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714" name="Line 33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715" name="Line 34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716" name="Line 35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717" name="Line 36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718" name="Line 37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719" name="Line 38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720" name="Line 39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721" name="Line 40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722" name="Line 41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723" name="Rectangle 42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24" name="Line 43"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25" name="Line 44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726" name="Line 45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727" name="Line 46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728" name="Line 47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729" name="Line 48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730" name="Line 49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731" name="Line 50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732" name="Line 51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733" name="Line 52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734" name="Line 53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735" name="Line 54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736" name="Line 55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737" name="Line 56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738" name="Rectangle 57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739" name="Line 58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740" name="Line 59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741" name="Line 60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742" name="Line 61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743" name="Line 62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744" name="Line 63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745" name="Line 64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746" name="Line 65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747" name="Line 66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748" name="Line 67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749" name="Line 68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750" name="Line 1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751" name="Drawing 16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752" name="Line 3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753" name="Line 4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754" name="Line 5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755" name="Line 6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756" name="Line 7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757" name="Line 8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758" name="Line 9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759" name="Line 10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760" name="Line 11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761" name="Line 12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762" name="Line 13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763" name="Line 14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764" name="Line 15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765" name="Line 16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766" name="Line 17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767" name="Line 18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768" name="Line 19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769" name="Line 20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770" name="Line 21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771" name="Line 22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772" name="Line 23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773" name="Line 24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774" name="Line 25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775" name="Line 26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776" name="Line 27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777" name="Line 28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778" name="Line 29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779" name="Line 30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780" name="Line 31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781" name="Line 32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782" name="Line 33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783" name="Line 34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784" name="Line 35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785" name="Line 36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786" name="Line 37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787" name="Line 38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788" name="Line 39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789" name="Line 40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790" name="Line 41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791" name="Rectangle 42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92" name="Line 43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793" name="Line 44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794" name="Line 45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795" name="Line 46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796" name="Line 47"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797" name="Line 48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798" name="Line 49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799" name="Line 50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800" name="Line 51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801" name="Line 52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802" name="Line 53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803" name="Line 54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804" name="Line 55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805" name="Line 56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806" name="Rectangle 57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807" name="Line 58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808" name="Line 59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809" name="Line 60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810" name="Line 61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811" name="Line 62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812" name="Line 63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813" name="Line 64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814" name="Line 65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815" name="Line 66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816" name="Line 67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817" name="Line 68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818" name="Line 1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819" name="Drawing 16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820" name="Line 3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821" name="Line 4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822" name="Line 5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823" name="Line 6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824" name="Line 7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825" name="Line 8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826" name="Line 9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827" name="Line 10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828" name="Line 11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829" name="Line 12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830" name="Line 13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31" name="Line 14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832" name="Line 15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33" name="Line 16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834" name="Line 17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835" name="Line 18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836" name="Line 19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837" name="Line 20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838" name="Line 21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839" name="Line 22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840" name="Line 23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841" name="Line 24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842" name="Line 25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843" name="Line 26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844" name="Line 27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845" name="Line 28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846" name="Line 29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847" name="Line 30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848" name="Line 31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849" name="Line 32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850" name="Line 33"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851" name="Line 34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852" name="Line 35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853" name="Line 36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854" name="Line 37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855" name="Line 38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856" name="Line 39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857" name="Line 40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858" name="Line 41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859" name="Rectangle 42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860" name="Line 43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861" name="Line 44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862" name="Line 45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863" name="Line 46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864" name="Line 47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865" name="Line 48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866" name="Line 49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867" name="Line 50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868" name="Line 51"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869" name="Line 52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870" name="Line 53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871" name="Line 54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872" name="Line 55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873" name="Line 56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874" name="Rectangle 57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875" name="Line 58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876" name="Line 59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877" name="Line 60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878" name="Line 61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879" name="Line 62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880" name="Line 63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881" name="Line 64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882" name="Line 65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883" name="Line 66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884" name="Line 67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885" name="Line 68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886" name="Line 1"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887" name="Drawing 16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888" name="Line 3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889" name="Line 4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890" name="Line 5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891" name="Line 6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892" name="Line 7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893" name="Line 8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894" name="Line 9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895" name="Line 10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896" name="Line 11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897" name="Line 12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898" name="Line 13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899" name="Line 14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900" name="Line 15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901" name="Line 16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902" name="Line 17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903" name="Line 18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904" name="Line 19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905" name="Line 20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906" name="Line 21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907" name="Line 22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908" name="Line 23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909" name="Line 24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910" name="Line 25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911" name="Line 26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912" name="Line 27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913" name="Line 28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914" name="Line 29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915" name="Line 30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916" name="Line 31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917" name="Line 32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918" name="Line 33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919" name="Line 34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920" name="Line 35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921" name="Line 36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922" name="Line 37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923" name="Line 38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924" name="Line 39"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925" name="Line 40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926" name="Line 41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927" name="Rectangle 42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28" name="Line 43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29" name="Line 44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930" name="Line 45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931" name="Line 46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932" name="Line 47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933" name="Line 48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934" name="Line 49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935" name="Line 50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936" name="Line 51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937" name="Line 52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938" name="Line 53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939" name="Line 54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940" name="Line 55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941" name="Line 56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942" name="Rectangle 57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943" name="Line 58"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944" name="Line 59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945" name="Line 60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946" name="Line 61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947" name="Line 62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948" name="Line 63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949" name="Line 64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950" name="Line 65"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951" name="Line 66"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952" name="Line 67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953" name="Line 68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954" name="Line 1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955" name="Drawing 16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956" name="Line 3"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957" name="Line 4"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958" name="Line 5"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959" name="Line 6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960" name="Line 7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961" name="Line 8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962" name="Line 9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963" name="Line 10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964" name="Line 11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965" name="Line 12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966" name="Line 13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967" name="Line 14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968" name="Line 15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969" name="Line 16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970" name="Line 17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971" name="Line 18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972" name="Line 19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973" name="Line 20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974" name="Line 21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975" name="Line 22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976" name="Line 23"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977" name="Line 24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978" name="Line 25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979" name="Line 26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980" name="Line 27"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981" name="Line 28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982" name="Line 29"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983" name="Line 30"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984" name="Line 31"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985" name="Line 32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986" name="Line 33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987" name="Line 34">
          <a:extLst>
            <a:ext uri="{FF2B5EF4-FFF2-40B4-BE49-F238E27FC236}">
              <a16:creationId xmlns:a16="http://schemas.microsoft.com/office/drawing/2014/main" id="{00000000-0008-0000-0200-0000DB03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988" name="Line 35">
          <a:extLst>
            <a:ext uri="{FF2B5EF4-FFF2-40B4-BE49-F238E27FC236}">
              <a16:creationId xmlns:a16="http://schemas.microsoft.com/office/drawing/2014/main" id="{00000000-0008-0000-0200-0000DC03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989" name="Line 36">
          <a:extLst>
            <a:ext uri="{FF2B5EF4-FFF2-40B4-BE49-F238E27FC236}">
              <a16:creationId xmlns:a16="http://schemas.microsoft.com/office/drawing/2014/main" id="{00000000-0008-0000-0200-0000DD03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990" name="Line 37">
          <a:extLst>
            <a:ext uri="{FF2B5EF4-FFF2-40B4-BE49-F238E27FC236}">
              <a16:creationId xmlns:a16="http://schemas.microsoft.com/office/drawing/2014/main" id="{00000000-0008-0000-0200-0000DE03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991" name="Line 38">
          <a:extLst>
            <a:ext uri="{FF2B5EF4-FFF2-40B4-BE49-F238E27FC236}">
              <a16:creationId xmlns:a16="http://schemas.microsoft.com/office/drawing/2014/main" id="{00000000-0008-0000-0200-0000DF03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992" name="Line 39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993" name="Line 40">
          <a:extLst>
            <a:ext uri="{FF2B5EF4-FFF2-40B4-BE49-F238E27FC236}">
              <a16:creationId xmlns:a16="http://schemas.microsoft.com/office/drawing/2014/main" id="{00000000-0008-0000-0200-0000E103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994" name="Line 41">
          <a:extLst>
            <a:ext uri="{FF2B5EF4-FFF2-40B4-BE49-F238E27FC236}">
              <a16:creationId xmlns:a16="http://schemas.microsoft.com/office/drawing/2014/main" id="{00000000-0008-0000-0200-0000E203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995" name="Rectangle 42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96" name="Line 43">
          <a:extLst>
            <a:ext uri="{FF2B5EF4-FFF2-40B4-BE49-F238E27FC236}">
              <a16:creationId xmlns:a16="http://schemas.microsoft.com/office/drawing/2014/main" id="{00000000-0008-0000-0200-0000E403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997" name="Line 44">
          <a:extLst>
            <a:ext uri="{FF2B5EF4-FFF2-40B4-BE49-F238E27FC236}">
              <a16:creationId xmlns:a16="http://schemas.microsoft.com/office/drawing/2014/main" id="{00000000-0008-0000-0200-0000E5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998" name="Line 45">
          <a:extLst>
            <a:ext uri="{FF2B5EF4-FFF2-40B4-BE49-F238E27FC236}">
              <a16:creationId xmlns:a16="http://schemas.microsoft.com/office/drawing/2014/main" id="{00000000-0008-0000-0200-0000E603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999" name="Line 46">
          <a:extLst>
            <a:ext uri="{FF2B5EF4-FFF2-40B4-BE49-F238E27FC236}">
              <a16:creationId xmlns:a16="http://schemas.microsoft.com/office/drawing/2014/main" id="{00000000-0008-0000-0200-0000E703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000" name="Line 47">
          <a:extLst>
            <a:ext uri="{FF2B5EF4-FFF2-40B4-BE49-F238E27FC236}">
              <a16:creationId xmlns:a16="http://schemas.microsoft.com/office/drawing/2014/main" id="{00000000-0008-0000-0200-0000E803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001" name="Line 48">
          <a:extLst>
            <a:ext uri="{FF2B5EF4-FFF2-40B4-BE49-F238E27FC236}">
              <a16:creationId xmlns:a16="http://schemas.microsoft.com/office/drawing/2014/main" id="{00000000-0008-0000-0200-0000E903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002" name="Line 49">
          <a:extLst>
            <a:ext uri="{FF2B5EF4-FFF2-40B4-BE49-F238E27FC236}">
              <a16:creationId xmlns:a16="http://schemas.microsoft.com/office/drawing/2014/main" id="{00000000-0008-0000-0200-0000EA03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003" name="Line 50">
          <a:extLst>
            <a:ext uri="{FF2B5EF4-FFF2-40B4-BE49-F238E27FC236}">
              <a16:creationId xmlns:a16="http://schemas.microsoft.com/office/drawing/2014/main" id="{00000000-0008-0000-0200-0000EB03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004" name="Line 51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005" name="Line 52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006" name="Line 53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007" name="Line 54">
          <a:extLst>
            <a:ext uri="{FF2B5EF4-FFF2-40B4-BE49-F238E27FC236}">
              <a16:creationId xmlns:a16="http://schemas.microsoft.com/office/drawing/2014/main" id="{00000000-0008-0000-0200-0000EF03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008" name="Line 55">
          <a:extLst>
            <a:ext uri="{FF2B5EF4-FFF2-40B4-BE49-F238E27FC236}">
              <a16:creationId xmlns:a16="http://schemas.microsoft.com/office/drawing/2014/main" id="{00000000-0008-0000-0200-0000F003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009" name="Line 56">
          <a:extLst>
            <a:ext uri="{FF2B5EF4-FFF2-40B4-BE49-F238E27FC236}">
              <a16:creationId xmlns:a16="http://schemas.microsoft.com/office/drawing/2014/main" id="{00000000-0008-0000-0200-0000F103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010" name="Rectangle 57">
          <a:extLst>
            <a:ext uri="{FF2B5EF4-FFF2-40B4-BE49-F238E27FC236}">
              <a16:creationId xmlns:a16="http://schemas.microsoft.com/office/drawing/2014/main" id="{00000000-0008-0000-0200-0000F203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011" name="Line 58">
          <a:extLst>
            <a:ext uri="{FF2B5EF4-FFF2-40B4-BE49-F238E27FC236}">
              <a16:creationId xmlns:a16="http://schemas.microsoft.com/office/drawing/2014/main" id="{00000000-0008-0000-0200-0000F303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012" name="Line 59">
          <a:extLst>
            <a:ext uri="{FF2B5EF4-FFF2-40B4-BE49-F238E27FC236}">
              <a16:creationId xmlns:a16="http://schemas.microsoft.com/office/drawing/2014/main" id="{00000000-0008-0000-0200-0000F403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013" name="Line 60">
          <a:extLst>
            <a:ext uri="{FF2B5EF4-FFF2-40B4-BE49-F238E27FC236}">
              <a16:creationId xmlns:a16="http://schemas.microsoft.com/office/drawing/2014/main" id="{00000000-0008-0000-0200-0000F503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014" name="Line 61">
          <a:extLst>
            <a:ext uri="{FF2B5EF4-FFF2-40B4-BE49-F238E27FC236}">
              <a16:creationId xmlns:a16="http://schemas.microsoft.com/office/drawing/2014/main" id="{00000000-0008-0000-0200-0000F6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015" name="Line 62">
          <a:extLst>
            <a:ext uri="{FF2B5EF4-FFF2-40B4-BE49-F238E27FC236}">
              <a16:creationId xmlns:a16="http://schemas.microsoft.com/office/drawing/2014/main" id="{00000000-0008-0000-0200-0000F703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016" name="Line 63">
          <a:extLst>
            <a:ext uri="{FF2B5EF4-FFF2-40B4-BE49-F238E27FC236}">
              <a16:creationId xmlns:a16="http://schemas.microsoft.com/office/drawing/2014/main" id="{00000000-0008-0000-0200-0000F803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017" name="Line 64">
          <a:extLst>
            <a:ext uri="{FF2B5EF4-FFF2-40B4-BE49-F238E27FC236}">
              <a16:creationId xmlns:a16="http://schemas.microsoft.com/office/drawing/2014/main" id="{00000000-0008-0000-0200-0000F903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018" name="Line 65">
          <a:extLst>
            <a:ext uri="{FF2B5EF4-FFF2-40B4-BE49-F238E27FC236}">
              <a16:creationId xmlns:a16="http://schemas.microsoft.com/office/drawing/2014/main" id="{00000000-0008-0000-0200-0000FA03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019" name="Line 66">
          <a:extLst>
            <a:ext uri="{FF2B5EF4-FFF2-40B4-BE49-F238E27FC236}">
              <a16:creationId xmlns:a16="http://schemas.microsoft.com/office/drawing/2014/main" id="{00000000-0008-0000-0200-0000FB03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020" name="Line 67">
          <a:extLst>
            <a:ext uri="{FF2B5EF4-FFF2-40B4-BE49-F238E27FC236}">
              <a16:creationId xmlns:a16="http://schemas.microsoft.com/office/drawing/2014/main" id="{00000000-0008-0000-0200-0000FC03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021" name="Line 68">
          <a:extLst>
            <a:ext uri="{FF2B5EF4-FFF2-40B4-BE49-F238E27FC236}">
              <a16:creationId xmlns:a16="http://schemas.microsoft.com/office/drawing/2014/main" id="{00000000-0008-0000-0200-0000FD03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022" name="Line 1">
          <a:extLst>
            <a:ext uri="{FF2B5EF4-FFF2-40B4-BE49-F238E27FC236}">
              <a16:creationId xmlns:a16="http://schemas.microsoft.com/office/drawing/2014/main" id="{00000000-0008-0000-0200-0000FE03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023" name="Drawing 16">
          <a:extLst>
            <a:ext uri="{FF2B5EF4-FFF2-40B4-BE49-F238E27FC236}">
              <a16:creationId xmlns:a16="http://schemas.microsoft.com/office/drawing/2014/main" id="{00000000-0008-0000-0200-0000FF03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024" name="Line 3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025" name="Line 4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026" name="Line 5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027" name="Line 6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028" name="Line 7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029" name="Line 8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030" name="Line 9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031" name="Line 10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032" name="Line 11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033" name="Line 12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034" name="Line 13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035" name="Line 14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036" name="Line 15">
          <a:extLst>
            <a:ext uri="{FF2B5EF4-FFF2-40B4-BE49-F238E27FC236}">
              <a16:creationId xmlns:a16="http://schemas.microsoft.com/office/drawing/2014/main" id="{00000000-0008-0000-0200-00000C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037" name="Line 16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038" name="Line 17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039" name="Line 18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040" name="Line 19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041" name="Line 20">
          <a:extLst>
            <a:ext uri="{FF2B5EF4-FFF2-40B4-BE49-F238E27FC236}">
              <a16:creationId xmlns:a16="http://schemas.microsoft.com/office/drawing/2014/main" id="{00000000-0008-0000-0200-000011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042" name="Line 21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043" name="Line 22">
          <a:extLst>
            <a:ext uri="{FF2B5EF4-FFF2-40B4-BE49-F238E27FC236}">
              <a16:creationId xmlns:a16="http://schemas.microsoft.com/office/drawing/2014/main" id="{00000000-0008-0000-0200-000013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044" name="Line 23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045" name="Line 24">
          <a:extLst>
            <a:ext uri="{FF2B5EF4-FFF2-40B4-BE49-F238E27FC236}">
              <a16:creationId xmlns:a16="http://schemas.microsoft.com/office/drawing/2014/main" id="{00000000-0008-0000-0200-000015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046" name="Line 25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047" name="Line 26">
          <a:extLst>
            <a:ext uri="{FF2B5EF4-FFF2-40B4-BE49-F238E27FC236}">
              <a16:creationId xmlns:a16="http://schemas.microsoft.com/office/drawing/2014/main" id="{00000000-0008-0000-0200-000017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048" name="Line 27">
          <a:extLst>
            <a:ext uri="{FF2B5EF4-FFF2-40B4-BE49-F238E27FC236}">
              <a16:creationId xmlns:a16="http://schemas.microsoft.com/office/drawing/2014/main" id="{00000000-0008-0000-0200-000018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049" name="Line 28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050" name="Line 29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051" name="Line 30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052" name="Line 31">
          <a:extLst>
            <a:ext uri="{FF2B5EF4-FFF2-40B4-BE49-F238E27FC236}">
              <a16:creationId xmlns:a16="http://schemas.microsoft.com/office/drawing/2014/main" id="{00000000-0008-0000-0200-00001C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053" name="Line 32">
          <a:extLst>
            <a:ext uri="{FF2B5EF4-FFF2-40B4-BE49-F238E27FC236}">
              <a16:creationId xmlns:a16="http://schemas.microsoft.com/office/drawing/2014/main" id="{00000000-0008-0000-0200-00001D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054" name="Line 33">
          <a:extLst>
            <a:ext uri="{FF2B5EF4-FFF2-40B4-BE49-F238E27FC236}">
              <a16:creationId xmlns:a16="http://schemas.microsoft.com/office/drawing/2014/main" id="{00000000-0008-0000-0200-00001E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055" name="Line 34">
          <a:extLst>
            <a:ext uri="{FF2B5EF4-FFF2-40B4-BE49-F238E27FC236}">
              <a16:creationId xmlns:a16="http://schemas.microsoft.com/office/drawing/2014/main" id="{00000000-0008-0000-0200-00001F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056" name="Line 35">
          <a:extLst>
            <a:ext uri="{FF2B5EF4-FFF2-40B4-BE49-F238E27FC236}">
              <a16:creationId xmlns:a16="http://schemas.microsoft.com/office/drawing/2014/main" id="{00000000-0008-0000-0200-000020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057" name="Line 36">
          <a:extLst>
            <a:ext uri="{FF2B5EF4-FFF2-40B4-BE49-F238E27FC236}">
              <a16:creationId xmlns:a16="http://schemas.microsoft.com/office/drawing/2014/main" id="{00000000-0008-0000-0200-000021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058" name="Line 37">
          <a:extLst>
            <a:ext uri="{FF2B5EF4-FFF2-40B4-BE49-F238E27FC236}">
              <a16:creationId xmlns:a16="http://schemas.microsoft.com/office/drawing/2014/main" id="{00000000-0008-0000-0200-000022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059" name="Line 38">
          <a:extLst>
            <a:ext uri="{FF2B5EF4-FFF2-40B4-BE49-F238E27FC236}">
              <a16:creationId xmlns:a16="http://schemas.microsoft.com/office/drawing/2014/main" id="{00000000-0008-0000-0200-000023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060" name="Line 39">
          <a:extLst>
            <a:ext uri="{FF2B5EF4-FFF2-40B4-BE49-F238E27FC236}">
              <a16:creationId xmlns:a16="http://schemas.microsoft.com/office/drawing/2014/main" id="{00000000-0008-0000-0200-000024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061" name="Line 40">
          <a:extLst>
            <a:ext uri="{FF2B5EF4-FFF2-40B4-BE49-F238E27FC236}">
              <a16:creationId xmlns:a16="http://schemas.microsoft.com/office/drawing/2014/main" id="{00000000-0008-0000-0200-000025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062" name="Line 41">
          <a:extLst>
            <a:ext uri="{FF2B5EF4-FFF2-40B4-BE49-F238E27FC236}">
              <a16:creationId xmlns:a16="http://schemas.microsoft.com/office/drawing/2014/main" id="{00000000-0008-0000-0200-000026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063" name="Rectangle 42">
          <a:extLst>
            <a:ext uri="{FF2B5EF4-FFF2-40B4-BE49-F238E27FC236}">
              <a16:creationId xmlns:a16="http://schemas.microsoft.com/office/drawing/2014/main" id="{00000000-0008-0000-0200-000027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64" name="Line 43">
          <a:extLst>
            <a:ext uri="{FF2B5EF4-FFF2-40B4-BE49-F238E27FC236}">
              <a16:creationId xmlns:a16="http://schemas.microsoft.com/office/drawing/2014/main" id="{00000000-0008-0000-0200-000028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65" name="Line 44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066" name="Line 45"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067" name="Line 46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068" name="Line 47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069" name="Line 48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070" name="Line 49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071" name="Line 50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072" name="Line 51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073" name="Line 52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074" name="Line 53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075" name="Line 54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076" name="Line 55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077" name="Line 56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078" name="Rectangle 57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079" name="Line 58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080" name="Line 59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081" name="Line 60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082" name="Line 61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083" name="Line 62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084" name="Line 63"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085" name="Line 64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086" name="Line 65">
          <a:extLst>
            <a:ext uri="{FF2B5EF4-FFF2-40B4-BE49-F238E27FC236}">
              <a16:creationId xmlns:a16="http://schemas.microsoft.com/office/drawing/2014/main" id="{00000000-0008-0000-0200-00003E04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087" name="Line 66">
          <a:extLst>
            <a:ext uri="{FF2B5EF4-FFF2-40B4-BE49-F238E27FC236}">
              <a16:creationId xmlns:a16="http://schemas.microsoft.com/office/drawing/2014/main" id="{00000000-0008-0000-0200-00003F04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088" name="Line 67">
          <a:extLst>
            <a:ext uri="{FF2B5EF4-FFF2-40B4-BE49-F238E27FC236}">
              <a16:creationId xmlns:a16="http://schemas.microsoft.com/office/drawing/2014/main" id="{00000000-0008-0000-0200-00004004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089" name="Line 68">
          <a:extLst>
            <a:ext uri="{FF2B5EF4-FFF2-40B4-BE49-F238E27FC236}">
              <a16:creationId xmlns:a16="http://schemas.microsoft.com/office/drawing/2014/main" id="{00000000-0008-0000-0200-00004104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090" name="Line 1">
          <a:extLst>
            <a:ext uri="{FF2B5EF4-FFF2-40B4-BE49-F238E27FC236}">
              <a16:creationId xmlns:a16="http://schemas.microsoft.com/office/drawing/2014/main" id="{00000000-0008-0000-0200-00004204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091" name="Drawing 16">
          <a:extLst>
            <a:ext uri="{FF2B5EF4-FFF2-40B4-BE49-F238E27FC236}">
              <a16:creationId xmlns:a16="http://schemas.microsoft.com/office/drawing/2014/main" id="{00000000-0008-0000-0200-00004304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092" name="Line 3">
          <a:extLst>
            <a:ext uri="{FF2B5EF4-FFF2-40B4-BE49-F238E27FC236}">
              <a16:creationId xmlns:a16="http://schemas.microsoft.com/office/drawing/2014/main" id="{00000000-0008-0000-0200-000044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093" name="Line 4">
          <a:extLst>
            <a:ext uri="{FF2B5EF4-FFF2-40B4-BE49-F238E27FC236}">
              <a16:creationId xmlns:a16="http://schemas.microsoft.com/office/drawing/2014/main" id="{00000000-0008-0000-0200-000045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094" name="Line 5">
          <a:extLst>
            <a:ext uri="{FF2B5EF4-FFF2-40B4-BE49-F238E27FC236}">
              <a16:creationId xmlns:a16="http://schemas.microsoft.com/office/drawing/2014/main" id="{00000000-0008-0000-0200-000046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095" name="Line 6">
          <a:extLst>
            <a:ext uri="{FF2B5EF4-FFF2-40B4-BE49-F238E27FC236}">
              <a16:creationId xmlns:a16="http://schemas.microsoft.com/office/drawing/2014/main" id="{00000000-0008-0000-0200-000047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096" name="Line 7">
          <a:extLst>
            <a:ext uri="{FF2B5EF4-FFF2-40B4-BE49-F238E27FC236}">
              <a16:creationId xmlns:a16="http://schemas.microsoft.com/office/drawing/2014/main" id="{00000000-0008-0000-0200-000048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097" name="Line 8">
          <a:extLst>
            <a:ext uri="{FF2B5EF4-FFF2-40B4-BE49-F238E27FC236}">
              <a16:creationId xmlns:a16="http://schemas.microsoft.com/office/drawing/2014/main" id="{00000000-0008-0000-0200-000049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098" name="Line 9">
          <a:extLst>
            <a:ext uri="{FF2B5EF4-FFF2-40B4-BE49-F238E27FC236}">
              <a16:creationId xmlns:a16="http://schemas.microsoft.com/office/drawing/2014/main" id="{00000000-0008-0000-0200-00004A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099" name="Line 10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100" name="Line 11">
          <a:extLst>
            <a:ext uri="{FF2B5EF4-FFF2-40B4-BE49-F238E27FC236}">
              <a16:creationId xmlns:a16="http://schemas.microsoft.com/office/drawing/2014/main" id="{00000000-0008-0000-0200-00004C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101" name="Line 12">
          <a:extLst>
            <a:ext uri="{FF2B5EF4-FFF2-40B4-BE49-F238E27FC236}">
              <a16:creationId xmlns:a16="http://schemas.microsoft.com/office/drawing/2014/main" id="{00000000-0008-0000-0200-00004D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102" name="Line 13">
          <a:extLst>
            <a:ext uri="{FF2B5EF4-FFF2-40B4-BE49-F238E27FC236}">
              <a16:creationId xmlns:a16="http://schemas.microsoft.com/office/drawing/2014/main" id="{00000000-0008-0000-0200-00004E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03" name="Line 14">
          <a:extLst>
            <a:ext uri="{FF2B5EF4-FFF2-40B4-BE49-F238E27FC236}">
              <a16:creationId xmlns:a16="http://schemas.microsoft.com/office/drawing/2014/main" id="{00000000-0008-0000-0200-00004F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104" name="Line 15">
          <a:extLst>
            <a:ext uri="{FF2B5EF4-FFF2-40B4-BE49-F238E27FC236}">
              <a16:creationId xmlns:a16="http://schemas.microsoft.com/office/drawing/2014/main" id="{00000000-0008-0000-0200-000050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05" name="Line 16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106" name="Line 17">
          <a:extLst>
            <a:ext uri="{FF2B5EF4-FFF2-40B4-BE49-F238E27FC236}">
              <a16:creationId xmlns:a16="http://schemas.microsoft.com/office/drawing/2014/main" id="{00000000-0008-0000-0200-000052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107" name="Line 18">
          <a:extLst>
            <a:ext uri="{FF2B5EF4-FFF2-40B4-BE49-F238E27FC236}">
              <a16:creationId xmlns:a16="http://schemas.microsoft.com/office/drawing/2014/main" id="{00000000-0008-0000-0200-000053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108" name="Line 19">
          <a:extLst>
            <a:ext uri="{FF2B5EF4-FFF2-40B4-BE49-F238E27FC236}">
              <a16:creationId xmlns:a16="http://schemas.microsoft.com/office/drawing/2014/main" id="{00000000-0008-0000-0200-000054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109" name="Line 20">
          <a:extLst>
            <a:ext uri="{FF2B5EF4-FFF2-40B4-BE49-F238E27FC236}">
              <a16:creationId xmlns:a16="http://schemas.microsoft.com/office/drawing/2014/main" id="{00000000-0008-0000-0200-000055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110" name="Line 21">
          <a:extLst>
            <a:ext uri="{FF2B5EF4-FFF2-40B4-BE49-F238E27FC236}">
              <a16:creationId xmlns:a16="http://schemas.microsoft.com/office/drawing/2014/main" id="{00000000-0008-0000-0200-000056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111" name="Line 22">
          <a:extLst>
            <a:ext uri="{FF2B5EF4-FFF2-40B4-BE49-F238E27FC236}">
              <a16:creationId xmlns:a16="http://schemas.microsoft.com/office/drawing/2014/main" id="{00000000-0008-0000-0200-000057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112" name="Line 23">
          <a:extLst>
            <a:ext uri="{FF2B5EF4-FFF2-40B4-BE49-F238E27FC236}">
              <a16:creationId xmlns:a16="http://schemas.microsoft.com/office/drawing/2014/main" id="{00000000-0008-0000-0200-000058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113" name="Line 24">
          <a:extLst>
            <a:ext uri="{FF2B5EF4-FFF2-40B4-BE49-F238E27FC236}">
              <a16:creationId xmlns:a16="http://schemas.microsoft.com/office/drawing/2014/main" id="{00000000-0008-0000-0200-000059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114" name="Line 25">
          <a:extLst>
            <a:ext uri="{FF2B5EF4-FFF2-40B4-BE49-F238E27FC236}">
              <a16:creationId xmlns:a16="http://schemas.microsoft.com/office/drawing/2014/main" id="{00000000-0008-0000-0200-00005A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115" name="Line 26">
          <a:extLst>
            <a:ext uri="{FF2B5EF4-FFF2-40B4-BE49-F238E27FC236}">
              <a16:creationId xmlns:a16="http://schemas.microsoft.com/office/drawing/2014/main" id="{00000000-0008-0000-0200-00005B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116" name="Line 27">
          <a:extLst>
            <a:ext uri="{FF2B5EF4-FFF2-40B4-BE49-F238E27FC236}">
              <a16:creationId xmlns:a16="http://schemas.microsoft.com/office/drawing/2014/main" id="{00000000-0008-0000-0200-00005C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117" name="Line 28">
          <a:extLst>
            <a:ext uri="{FF2B5EF4-FFF2-40B4-BE49-F238E27FC236}">
              <a16:creationId xmlns:a16="http://schemas.microsoft.com/office/drawing/2014/main" id="{00000000-0008-0000-0200-00005D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118" name="Line 29">
          <a:extLst>
            <a:ext uri="{FF2B5EF4-FFF2-40B4-BE49-F238E27FC236}">
              <a16:creationId xmlns:a16="http://schemas.microsoft.com/office/drawing/2014/main" id="{00000000-0008-0000-0200-00005E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119" name="Line 30">
          <a:extLst>
            <a:ext uri="{FF2B5EF4-FFF2-40B4-BE49-F238E27FC236}">
              <a16:creationId xmlns:a16="http://schemas.microsoft.com/office/drawing/2014/main" id="{00000000-0008-0000-0200-00005F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120" name="Line 31">
          <a:extLst>
            <a:ext uri="{FF2B5EF4-FFF2-40B4-BE49-F238E27FC236}">
              <a16:creationId xmlns:a16="http://schemas.microsoft.com/office/drawing/2014/main" id="{00000000-0008-0000-0200-000060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121" name="Line 32">
          <a:extLst>
            <a:ext uri="{FF2B5EF4-FFF2-40B4-BE49-F238E27FC236}">
              <a16:creationId xmlns:a16="http://schemas.microsoft.com/office/drawing/2014/main" id="{00000000-0008-0000-0200-000061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122" name="Line 33">
          <a:extLst>
            <a:ext uri="{FF2B5EF4-FFF2-40B4-BE49-F238E27FC236}">
              <a16:creationId xmlns:a16="http://schemas.microsoft.com/office/drawing/2014/main" id="{00000000-0008-0000-0200-000062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123" name="Line 34">
          <a:extLst>
            <a:ext uri="{FF2B5EF4-FFF2-40B4-BE49-F238E27FC236}">
              <a16:creationId xmlns:a16="http://schemas.microsoft.com/office/drawing/2014/main" id="{00000000-0008-0000-0200-000063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124" name="Line 35">
          <a:extLst>
            <a:ext uri="{FF2B5EF4-FFF2-40B4-BE49-F238E27FC236}">
              <a16:creationId xmlns:a16="http://schemas.microsoft.com/office/drawing/2014/main" id="{00000000-0008-0000-0200-000064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125" name="Line 36">
          <a:extLst>
            <a:ext uri="{FF2B5EF4-FFF2-40B4-BE49-F238E27FC236}">
              <a16:creationId xmlns:a16="http://schemas.microsoft.com/office/drawing/2014/main" id="{00000000-0008-0000-0200-000065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126" name="Line 37">
          <a:extLst>
            <a:ext uri="{FF2B5EF4-FFF2-40B4-BE49-F238E27FC236}">
              <a16:creationId xmlns:a16="http://schemas.microsoft.com/office/drawing/2014/main" id="{00000000-0008-0000-0200-000066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127" name="Line 38">
          <a:extLst>
            <a:ext uri="{FF2B5EF4-FFF2-40B4-BE49-F238E27FC236}">
              <a16:creationId xmlns:a16="http://schemas.microsoft.com/office/drawing/2014/main" id="{00000000-0008-0000-0200-000067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128" name="Line 39">
          <a:extLst>
            <a:ext uri="{FF2B5EF4-FFF2-40B4-BE49-F238E27FC236}">
              <a16:creationId xmlns:a16="http://schemas.microsoft.com/office/drawing/2014/main" id="{00000000-0008-0000-0200-000068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129" name="Line 40">
          <a:extLst>
            <a:ext uri="{FF2B5EF4-FFF2-40B4-BE49-F238E27FC236}">
              <a16:creationId xmlns:a16="http://schemas.microsoft.com/office/drawing/2014/main" id="{00000000-0008-0000-0200-000069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130" name="Line 41">
          <a:extLst>
            <a:ext uri="{FF2B5EF4-FFF2-40B4-BE49-F238E27FC236}">
              <a16:creationId xmlns:a16="http://schemas.microsoft.com/office/drawing/2014/main" id="{00000000-0008-0000-0200-00006A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131" name="Rectangle 1130">
          <a:extLst>
            <a:ext uri="{FF2B5EF4-FFF2-40B4-BE49-F238E27FC236}">
              <a16:creationId xmlns:a16="http://schemas.microsoft.com/office/drawing/2014/main" id="{00000000-0008-0000-0200-00006B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32" name="Line 43">
          <a:extLst>
            <a:ext uri="{FF2B5EF4-FFF2-40B4-BE49-F238E27FC236}">
              <a16:creationId xmlns:a16="http://schemas.microsoft.com/office/drawing/2014/main" id="{00000000-0008-0000-0200-00006C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133" name="Line 44">
          <a:extLst>
            <a:ext uri="{FF2B5EF4-FFF2-40B4-BE49-F238E27FC236}">
              <a16:creationId xmlns:a16="http://schemas.microsoft.com/office/drawing/2014/main" id="{00000000-0008-0000-0200-00006D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134" name="Line 45">
          <a:extLst>
            <a:ext uri="{FF2B5EF4-FFF2-40B4-BE49-F238E27FC236}">
              <a16:creationId xmlns:a16="http://schemas.microsoft.com/office/drawing/2014/main" id="{00000000-0008-0000-0200-00006E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135" name="Line 46">
          <a:extLst>
            <a:ext uri="{FF2B5EF4-FFF2-40B4-BE49-F238E27FC236}">
              <a16:creationId xmlns:a16="http://schemas.microsoft.com/office/drawing/2014/main" id="{00000000-0008-0000-0200-00006F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136" name="Line 47">
          <a:extLst>
            <a:ext uri="{FF2B5EF4-FFF2-40B4-BE49-F238E27FC236}">
              <a16:creationId xmlns:a16="http://schemas.microsoft.com/office/drawing/2014/main" id="{00000000-0008-0000-0200-000070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137" name="Line 48">
          <a:extLst>
            <a:ext uri="{FF2B5EF4-FFF2-40B4-BE49-F238E27FC236}">
              <a16:creationId xmlns:a16="http://schemas.microsoft.com/office/drawing/2014/main" id="{00000000-0008-0000-0200-000071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138" name="Line 49">
          <a:extLst>
            <a:ext uri="{FF2B5EF4-FFF2-40B4-BE49-F238E27FC236}">
              <a16:creationId xmlns:a16="http://schemas.microsoft.com/office/drawing/2014/main" id="{00000000-0008-0000-0200-000072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139" name="Line 50">
          <a:extLst>
            <a:ext uri="{FF2B5EF4-FFF2-40B4-BE49-F238E27FC236}">
              <a16:creationId xmlns:a16="http://schemas.microsoft.com/office/drawing/2014/main" id="{00000000-0008-0000-0200-000073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140" name="Line 51">
          <a:extLst>
            <a:ext uri="{FF2B5EF4-FFF2-40B4-BE49-F238E27FC236}">
              <a16:creationId xmlns:a16="http://schemas.microsoft.com/office/drawing/2014/main" id="{00000000-0008-0000-0200-000074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141" name="Line 52">
          <a:extLst>
            <a:ext uri="{FF2B5EF4-FFF2-40B4-BE49-F238E27FC236}">
              <a16:creationId xmlns:a16="http://schemas.microsoft.com/office/drawing/2014/main" id="{00000000-0008-0000-0200-000075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142" name="Line 53">
          <a:extLst>
            <a:ext uri="{FF2B5EF4-FFF2-40B4-BE49-F238E27FC236}">
              <a16:creationId xmlns:a16="http://schemas.microsoft.com/office/drawing/2014/main" id="{00000000-0008-0000-0200-000076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143" name="Line 54">
          <a:extLst>
            <a:ext uri="{FF2B5EF4-FFF2-40B4-BE49-F238E27FC236}">
              <a16:creationId xmlns:a16="http://schemas.microsoft.com/office/drawing/2014/main" id="{00000000-0008-0000-0200-000077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144" name="Line 55">
          <a:extLst>
            <a:ext uri="{FF2B5EF4-FFF2-40B4-BE49-F238E27FC236}">
              <a16:creationId xmlns:a16="http://schemas.microsoft.com/office/drawing/2014/main" id="{00000000-0008-0000-0200-00007804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145" name="Line 56">
          <a:extLst>
            <a:ext uri="{FF2B5EF4-FFF2-40B4-BE49-F238E27FC236}">
              <a16:creationId xmlns:a16="http://schemas.microsoft.com/office/drawing/2014/main" id="{00000000-0008-0000-0200-00007904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146" name="Rectangle 1145">
          <a:extLst>
            <a:ext uri="{FF2B5EF4-FFF2-40B4-BE49-F238E27FC236}">
              <a16:creationId xmlns:a16="http://schemas.microsoft.com/office/drawing/2014/main" id="{00000000-0008-0000-0200-00007A04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147" name="Line 58">
          <a:extLst>
            <a:ext uri="{FF2B5EF4-FFF2-40B4-BE49-F238E27FC236}">
              <a16:creationId xmlns:a16="http://schemas.microsoft.com/office/drawing/2014/main" id="{00000000-0008-0000-0200-00007B04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148" name="Line 59">
          <a:extLst>
            <a:ext uri="{FF2B5EF4-FFF2-40B4-BE49-F238E27FC236}">
              <a16:creationId xmlns:a16="http://schemas.microsoft.com/office/drawing/2014/main" id="{00000000-0008-0000-0200-00007C04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149" name="Line 60">
          <a:extLst>
            <a:ext uri="{FF2B5EF4-FFF2-40B4-BE49-F238E27FC236}">
              <a16:creationId xmlns:a16="http://schemas.microsoft.com/office/drawing/2014/main" id="{00000000-0008-0000-0200-00007D04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150" name="Line 61">
          <a:extLst>
            <a:ext uri="{FF2B5EF4-FFF2-40B4-BE49-F238E27FC236}">
              <a16:creationId xmlns:a16="http://schemas.microsoft.com/office/drawing/2014/main" id="{00000000-0008-0000-0200-00007E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151" name="Line 62">
          <a:extLst>
            <a:ext uri="{FF2B5EF4-FFF2-40B4-BE49-F238E27FC236}">
              <a16:creationId xmlns:a16="http://schemas.microsoft.com/office/drawing/2014/main" id="{00000000-0008-0000-0200-00007F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152" name="Line 63">
          <a:extLst>
            <a:ext uri="{FF2B5EF4-FFF2-40B4-BE49-F238E27FC236}">
              <a16:creationId xmlns:a16="http://schemas.microsoft.com/office/drawing/2014/main" id="{00000000-0008-0000-0200-00008004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153" name="Line 64">
          <a:extLst>
            <a:ext uri="{FF2B5EF4-FFF2-40B4-BE49-F238E27FC236}">
              <a16:creationId xmlns:a16="http://schemas.microsoft.com/office/drawing/2014/main" id="{00000000-0008-0000-0200-00008104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154" name="Line 65">
          <a:extLst>
            <a:ext uri="{FF2B5EF4-FFF2-40B4-BE49-F238E27FC236}">
              <a16:creationId xmlns:a16="http://schemas.microsoft.com/office/drawing/2014/main" id="{00000000-0008-0000-0200-00008204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155" name="Line 66">
          <a:extLst>
            <a:ext uri="{FF2B5EF4-FFF2-40B4-BE49-F238E27FC236}">
              <a16:creationId xmlns:a16="http://schemas.microsoft.com/office/drawing/2014/main" id="{00000000-0008-0000-0200-00008304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156" name="Line 67">
          <a:extLst>
            <a:ext uri="{FF2B5EF4-FFF2-40B4-BE49-F238E27FC236}">
              <a16:creationId xmlns:a16="http://schemas.microsoft.com/office/drawing/2014/main" id="{00000000-0008-0000-0200-00008404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157" name="Line 68">
          <a:extLst>
            <a:ext uri="{FF2B5EF4-FFF2-40B4-BE49-F238E27FC236}">
              <a16:creationId xmlns:a16="http://schemas.microsoft.com/office/drawing/2014/main" id="{00000000-0008-0000-0200-00008504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158" name="Line 1">
          <a:extLst>
            <a:ext uri="{FF2B5EF4-FFF2-40B4-BE49-F238E27FC236}">
              <a16:creationId xmlns:a16="http://schemas.microsoft.com/office/drawing/2014/main" id="{00000000-0008-0000-0200-00008604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159" name="Drawing 16">
          <a:extLst>
            <a:ext uri="{FF2B5EF4-FFF2-40B4-BE49-F238E27FC236}">
              <a16:creationId xmlns:a16="http://schemas.microsoft.com/office/drawing/2014/main" id="{00000000-0008-0000-0200-00008704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160" name="Line 3">
          <a:extLst>
            <a:ext uri="{FF2B5EF4-FFF2-40B4-BE49-F238E27FC236}">
              <a16:creationId xmlns:a16="http://schemas.microsoft.com/office/drawing/2014/main" id="{00000000-0008-0000-0200-000088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161" name="Line 4">
          <a:extLst>
            <a:ext uri="{FF2B5EF4-FFF2-40B4-BE49-F238E27FC236}">
              <a16:creationId xmlns:a16="http://schemas.microsoft.com/office/drawing/2014/main" id="{00000000-0008-0000-0200-000089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162" name="Line 5">
          <a:extLst>
            <a:ext uri="{FF2B5EF4-FFF2-40B4-BE49-F238E27FC236}">
              <a16:creationId xmlns:a16="http://schemas.microsoft.com/office/drawing/2014/main" id="{00000000-0008-0000-0200-00008A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163" name="Line 6">
          <a:extLst>
            <a:ext uri="{FF2B5EF4-FFF2-40B4-BE49-F238E27FC236}">
              <a16:creationId xmlns:a16="http://schemas.microsoft.com/office/drawing/2014/main" id="{00000000-0008-0000-0200-00008B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164" name="Line 7">
          <a:extLst>
            <a:ext uri="{FF2B5EF4-FFF2-40B4-BE49-F238E27FC236}">
              <a16:creationId xmlns:a16="http://schemas.microsoft.com/office/drawing/2014/main" id="{00000000-0008-0000-0200-00008C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165" name="Line 8">
          <a:extLst>
            <a:ext uri="{FF2B5EF4-FFF2-40B4-BE49-F238E27FC236}">
              <a16:creationId xmlns:a16="http://schemas.microsoft.com/office/drawing/2014/main" id="{00000000-0008-0000-0200-00008D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166" name="Line 9">
          <a:extLst>
            <a:ext uri="{FF2B5EF4-FFF2-40B4-BE49-F238E27FC236}">
              <a16:creationId xmlns:a16="http://schemas.microsoft.com/office/drawing/2014/main" id="{00000000-0008-0000-0200-00008E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167" name="Line 10">
          <a:extLst>
            <a:ext uri="{FF2B5EF4-FFF2-40B4-BE49-F238E27FC236}">
              <a16:creationId xmlns:a16="http://schemas.microsoft.com/office/drawing/2014/main" id="{00000000-0008-0000-0200-00008F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168" name="Line 11">
          <a:extLst>
            <a:ext uri="{FF2B5EF4-FFF2-40B4-BE49-F238E27FC236}">
              <a16:creationId xmlns:a16="http://schemas.microsoft.com/office/drawing/2014/main" id="{00000000-0008-0000-0200-000090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169" name="Line 12">
          <a:extLst>
            <a:ext uri="{FF2B5EF4-FFF2-40B4-BE49-F238E27FC236}">
              <a16:creationId xmlns:a16="http://schemas.microsoft.com/office/drawing/2014/main" id="{00000000-0008-0000-0200-000091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170" name="Line 13">
          <a:extLst>
            <a:ext uri="{FF2B5EF4-FFF2-40B4-BE49-F238E27FC236}">
              <a16:creationId xmlns:a16="http://schemas.microsoft.com/office/drawing/2014/main" id="{00000000-0008-0000-0200-000092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71" name="Line 14">
          <a:extLst>
            <a:ext uri="{FF2B5EF4-FFF2-40B4-BE49-F238E27FC236}">
              <a16:creationId xmlns:a16="http://schemas.microsoft.com/office/drawing/2014/main" id="{00000000-0008-0000-0200-000093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172" name="Line 15">
          <a:extLst>
            <a:ext uri="{FF2B5EF4-FFF2-40B4-BE49-F238E27FC236}">
              <a16:creationId xmlns:a16="http://schemas.microsoft.com/office/drawing/2014/main" id="{00000000-0008-0000-0200-000094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173" name="Line 16">
          <a:extLst>
            <a:ext uri="{FF2B5EF4-FFF2-40B4-BE49-F238E27FC236}">
              <a16:creationId xmlns:a16="http://schemas.microsoft.com/office/drawing/2014/main" id="{00000000-0008-0000-0200-000095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174" name="Line 17">
          <a:extLst>
            <a:ext uri="{FF2B5EF4-FFF2-40B4-BE49-F238E27FC236}">
              <a16:creationId xmlns:a16="http://schemas.microsoft.com/office/drawing/2014/main" id="{00000000-0008-0000-0200-000096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175" name="Line 18">
          <a:extLst>
            <a:ext uri="{FF2B5EF4-FFF2-40B4-BE49-F238E27FC236}">
              <a16:creationId xmlns:a16="http://schemas.microsoft.com/office/drawing/2014/main" id="{00000000-0008-0000-0200-000097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176" name="Line 19">
          <a:extLst>
            <a:ext uri="{FF2B5EF4-FFF2-40B4-BE49-F238E27FC236}">
              <a16:creationId xmlns:a16="http://schemas.microsoft.com/office/drawing/2014/main" id="{00000000-0008-0000-0200-000098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177" name="Line 20">
          <a:extLst>
            <a:ext uri="{FF2B5EF4-FFF2-40B4-BE49-F238E27FC236}">
              <a16:creationId xmlns:a16="http://schemas.microsoft.com/office/drawing/2014/main" id="{00000000-0008-0000-0200-000099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178" name="Line 21">
          <a:extLst>
            <a:ext uri="{FF2B5EF4-FFF2-40B4-BE49-F238E27FC236}">
              <a16:creationId xmlns:a16="http://schemas.microsoft.com/office/drawing/2014/main" id="{00000000-0008-0000-0200-00009A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179" name="Line 22">
          <a:extLst>
            <a:ext uri="{FF2B5EF4-FFF2-40B4-BE49-F238E27FC236}">
              <a16:creationId xmlns:a16="http://schemas.microsoft.com/office/drawing/2014/main" id="{00000000-0008-0000-0200-00009B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180" name="Line 23">
          <a:extLst>
            <a:ext uri="{FF2B5EF4-FFF2-40B4-BE49-F238E27FC236}">
              <a16:creationId xmlns:a16="http://schemas.microsoft.com/office/drawing/2014/main" id="{00000000-0008-0000-0200-00009C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181" name="Line 24">
          <a:extLst>
            <a:ext uri="{FF2B5EF4-FFF2-40B4-BE49-F238E27FC236}">
              <a16:creationId xmlns:a16="http://schemas.microsoft.com/office/drawing/2014/main" id="{00000000-0008-0000-0200-00009D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182" name="Line 25">
          <a:extLst>
            <a:ext uri="{FF2B5EF4-FFF2-40B4-BE49-F238E27FC236}">
              <a16:creationId xmlns:a16="http://schemas.microsoft.com/office/drawing/2014/main" id="{00000000-0008-0000-0200-00009E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183" name="Line 26">
          <a:extLst>
            <a:ext uri="{FF2B5EF4-FFF2-40B4-BE49-F238E27FC236}">
              <a16:creationId xmlns:a16="http://schemas.microsoft.com/office/drawing/2014/main" id="{00000000-0008-0000-0200-00009F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184" name="Line 27">
          <a:extLst>
            <a:ext uri="{FF2B5EF4-FFF2-40B4-BE49-F238E27FC236}">
              <a16:creationId xmlns:a16="http://schemas.microsoft.com/office/drawing/2014/main" id="{00000000-0008-0000-0200-0000A0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185" name="Line 28">
          <a:extLst>
            <a:ext uri="{FF2B5EF4-FFF2-40B4-BE49-F238E27FC236}">
              <a16:creationId xmlns:a16="http://schemas.microsoft.com/office/drawing/2014/main" id="{00000000-0008-0000-0200-0000A1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186" name="Line 29">
          <a:extLst>
            <a:ext uri="{FF2B5EF4-FFF2-40B4-BE49-F238E27FC236}">
              <a16:creationId xmlns:a16="http://schemas.microsoft.com/office/drawing/2014/main" id="{00000000-0008-0000-0200-0000A2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187" name="Line 30">
          <a:extLst>
            <a:ext uri="{FF2B5EF4-FFF2-40B4-BE49-F238E27FC236}">
              <a16:creationId xmlns:a16="http://schemas.microsoft.com/office/drawing/2014/main" id="{00000000-0008-0000-0200-0000A3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188" name="Line 31">
          <a:extLst>
            <a:ext uri="{FF2B5EF4-FFF2-40B4-BE49-F238E27FC236}">
              <a16:creationId xmlns:a16="http://schemas.microsoft.com/office/drawing/2014/main" id="{00000000-0008-0000-0200-0000A4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189" name="Line 32">
          <a:extLst>
            <a:ext uri="{FF2B5EF4-FFF2-40B4-BE49-F238E27FC236}">
              <a16:creationId xmlns:a16="http://schemas.microsoft.com/office/drawing/2014/main" id="{00000000-0008-0000-0200-0000A5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190" name="Line 33">
          <a:extLst>
            <a:ext uri="{FF2B5EF4-FFF2-40B4-BE49-F238E27FC236}">
              <a16:creationId xmlns:a16="http://schemas.microsoft.com/office/drawing/2014/main" id="{00000000-0008-0000-0200-0000A6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191" name="Line 34">
          <a:extLst>
            <a:ext uri="{FF2B5EF4-FFF2-40B4-BE49-F238E27FC236}">
              <a16:creationId xmlns:a16="http://schemas.microsoft.com/office/drawing/2014/main" id="{00000000-0008-0000-0200-0000A7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192" name="Line 35">
          <a:extLst>
            <a:ext uri="{FF2B5EF4-FFF2-40B4-BE49-F238E27FC236}">
              <a16:creationId xmlns:a16="http://schemas.microsoft.com/office/drawing/2014/main" id="{00000000-0008-0000-0200-0000A8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193" name="Line 36">
          <a:extLst>
            <a:ext uri="{FF2B5EF4-FFF2-40B4-BE49-F238E27FC236}">
              <a16:creationId xmlns:a16="http://schemas.microsoft.com/office/drawing/2014/main" id="{00000000-0008-0000-0200-0000A9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194" name="Line 37">
          <a:extLst>
            <a:ext uri="{FF2B5EF4-FFF2-40B4-BE49-F238E27FC236}">
              <a16:creationId xmlns:a16="http://schemas.microsoft.com/office/drawing/2014/main" id="{00000000-0008-0000-0200-0000AA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195" name="Line 38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196" name="Line 39">
          <a:extLst>
            <a:ext uri="{FF2B5EF4-FFF2-40B4-BE49-F238E27FC236}">
              <a16:creationId xmlns:a16="http://schemas.microsoft.com/office/drawing/2014/main" id="{00000000-0008-0000-0200-0000AC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197" name="Line 40">
          <a:extLst>
            <a:ext uri="{FF2B5EF4-FFF2-40B4-BE49-F238E27FC236}">
              <a16:creationId xmlns:a16="http://schemas.microsoft.com/office/drawing/2014/main" id="{00000000-0008-0000-0200-0000AD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198" name="Line 41">
          <a:extLst>
            <a:ext uri="{FF2B5EF4-FFF2-40B4-BE49-F238E27FC236}">
              <a16:creationId xmlns:a16="http://schemas.microsoft.com/office/drawing/2014/main" id="{00000000-0008-0000-0200-0000AE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199" name="Rectangle 42">
          <a:extLst>
            <a:ext uri="{FF2B5EF4-FFF2-40B4-BE49-F238E27FC236}">
              <a16:creationId xmlns:a16="http://schemas.microsoft.com/office/drawing/2014/main" id="{00000000-0008-0000-0200-0000AF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00" name="Line 43">
          <a:extLst>
            <a:ext uri="{FF2B5EF4-FFF2-40B4-BE49-F238E27FC236}">
              <a16:creationId xmlns:a16="http://schemas.microsoft.com/office/drawing/2014/main" id="{00000000-0008-0000-0200-0000B0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01" name="Line 44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202" name="Line 45">
          <a:extLst>
            <a:ext uri="{FF2B5EF4-FFF2-40B4-BE49-F238E27FC236}">
              <a16:creationId xmlns:a16="http://schemas.microsoft.com/office/drawing/2014/main" id="{00000000-0008-0000-0200-0000B2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203" name="Line 46">
          <a:extLst>
            <a:ext uri="{FF2B5EF4-FFF2-40B4-BE49-F238E27FC236}">
              <a16:creationId xmlns:a16="http://schemas.microsoft.com/office/drawing/2014/main" id="{00000000-0008-0000-0200-0000B3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204" name="Line 47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205" name="Line 48">
          <a:extLst>
            <a:ext uri="{FF2B5EF4-FFF2-40B4-BE49-F238E27FC236}">
              <a16:creationId xmlns:a16="http://schemas.microsoft.com/office/drawing/2014/main" id="{00000000-0008-0000-0200-0000B5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206" name="Line 49">
          <a:extLst>
            <a:ext uri="{FF2B5EF4-FFF2-40B4-BE49-F238E27FC236}">
              <a16:creationId xmlns:a16="http://schemas.microsoft.com/office/drawing/2014/main" id="{00000000-0008-0000-0200-0000B6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207" name="Line 50">
          <a:extLst>
            <a:ext uri="{FF2B5EF4-FFF2-40B4-BE49-F238E27FC236}">
              <a16:creationId xmlns:a16="http://schemas.microsoft.com/office/drawing/2014/main" id="{00000000-0008-0000-0200-0000B7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208" name="Line 51">
          <a:extLst>
            <a:ext uri="{FF2B5EF4-FFF2-40B4-BE49-F238E27FC236}">
              <a16:creationId xmlns:a16="http://schemas.microsoft.com/office/drawing/2014/main" id="{00000000-0008-0000-0200-0000B8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209" name="Line 52">
          <a:extLst>
            <a:ext uri="{FF2B5EF4-FFF2-40B4-BE49-F238E27FC236}">
              <a16:creationId xmlns:a16="http://schemas.microsoft.com/office/drawing/2014/main" id="{00000000-0008-0000-0200-0000B9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210" name="Line 53">
          <a:extLst>
            <a:ext uri="{FF2B5EF4-FFF2-40B4-BE49-F238E27FC236}">
              <a16:creationId xmlns:a16="http://schemas.microsoft.com/office/drawing/2014/main" id="{00000000-0008-0000-0200-0000BA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211" name="Line 54">
          <a:extLst>
            <a:ext uri="{FF2B5EF4-FFF2-40B4-BE49-F238E27FC236}">
              <a16:creationId xmlns:a16="http://schemas.microsoft.com/office/drawing/2014/main" id="{00000000-0008-0000-0200-0000BB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212" name="Line 55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213" name="Line 56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214" name="Rectangle 57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215" name="Line 58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216" name="Line 59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217" name="Line 60">
          <a:extLst>
            <a:ext uri="{FF2B5EF4-FFF2-40B4-BE49-F238E27FC236}">
              <a16:creationId xmlns:a16="http://schemas.microsoft.com/office/drawing/2014/main" id="{00000000-0008-0000-0200-0000C104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218" name="Line 61">
          <a:extLst>
            <a:ext uri="{FF2B5EF4-FFF2-40B4-BE49-F238E27FC236}">
              <a16:creationId xmlns:a16="http://schemas.microsoft.com/office/drawing/2014/main" id="{00000000-0008-0000-0200-0000C2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219" name="Line 62">
          <a:extLst>
            <a:ext uri="{FF2B5EF4-FFF2-40B4-BE49-F238E27FC236}">
              <a16:creationId xmlns:a16="http://schemas.microsoft.com/office/drawing/2014/main" id="{00000000-0008-0000-0200-0000C304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220" name="Line 63">
          <a:extLst>
            <a:ext uri="{FF2B5EF4-FFF2-40B4-BE49-F238E27FC236}">
              <a16:creationId xmlns:a16="http://schemas.microsoft.com/office/drawing/2014/main" id="{00000000-0008-0000-0200-0000C404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221" name="Line 64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222" name="Line 65">
          <a:extLst>
            <a:ext uri="{FF2B5EF4-FFF2-40B4-BE49-F238E27FC236}">
              <a16:creationId xmlns:a16="http://schemas.microsoft.com/office/drawing/2014/main" id="{00000000-0008-0000-0200-0000C604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223" name="Line 66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224" name="Line 67">
          <a:extLst>
            <a:ext uri="{FF2B5EF4-FFF2-40B4-BE49-F238E27FC236}">
              <a16:creationId xmlns:a16="http://schemas.microsoft.com/office/drawing/2014/main" id="{00000000-0008-0000-0200-0000C804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225" name="Line 68">
          <a:extLst>
            <a:ext uri="{FF2B5EF4-FFF2-40B4-BE49-F238E27FC236}">
              <a16:creationId xmlns:a16="http://schemas.microsoft.com/office/drawing/2014/main" id="{00000000-0008-0000-0200-0000C904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226" name="Line 1">
          <a:extLst>
            <a:ext uri="{FF2B5EF4-FFF2-40B4-BE49-F238E27FC236}">
              <a16:creationId xmlns:a16="http://schemas.microsoft.com/office/drawing/2014/main" id="{00000000-0008-0000-0200-0000CA04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227" name="Drawing 16">
          <a:extLst>
            <a:ext uri="{FF2B5EF4-FFF2-40B4-BE49-F238E27FC236}">
              <a16:creationId xmlns:a16="http://schemas.microsoft.com/office/drawing/2014/main" id="{00000000-0008-0000-0200-0000CB04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228" name="Line 3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229" name="Line 4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230" name="Line 5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231" name="Line 6">
          <a:extLst>
            <a:ext uri="{FF2B5EF4-FFF2-40B4-BE49-F238E27FC236}">
              <a16:creationId xmlns:a16="http://schemas.microsoft.com/office/drawing/2014/main" id="{00000000-0008-0000-0200-0000CF04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232" name="Line 7">
          <a:extLst>
            <a:ext uri="{FF2B5EF4-FFF2-40B4-BE49-F238E27FC236}">
              <a16:creationId xmlns:a16="http://schemas.microsoft.com/office/drawing/2014/main" id="{00000000-0008-0000-0200-0000D004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233" name="Line 8">
          <a:extLst>
            <a:ext uri="{FF2B5EF4-FFF2-40B4-BE49-F238E27FC236}">
              <a16:creationId xmlns:a16="http://schemas.microsoft.com/office/drawing/2014/main" id="{00000000-0008-0000-0200-0000D104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234" name="Line 9">
          <a:extLst>
            <a:ext uri="{FF2B5EF4-FFF2-40B4-BE49-F238E27FC236}">
              <a16:creationId xmlns:a16="http://schemas.microsoft.com/office/drawing/2014/main" id="{00000000-0008-0000-0200-0000D204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235" name="Line 10">
          <a:extLst>
            <a:ext uri="{FF2B5EF4-FFF2-40B4-BE49-F238E27FC236}">
              <a16:creationId xmlns:a16="http://schemas.microsoft.com/office/drawing/2014/main" id="{00000000-0008-0000-0200-0000D304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236" name="Line 11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237" name="Line 12">
          <a:extLst>
            <a:ext uri="{FF2B5EF4-FFF2-40B4-BE49-F238E27FC236}">
              <a16:creationId xmlns:a16="http://schemas.microsoft.com/office/drawing/2014/main" id="{00000000-0008-0000-0200-0000D504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238" name="Line 13">
          <a:extLst>
            <a:ext uri="{FF2B5EF4-FFF2-40B4-BE49-F238E27FC236}">
              <a16:creationId xmlns:a16="http://schemas.microsoft.com/office/drawing/2014/main" id="{00000000-0008-0000-0200-0000D604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239" name="Line 14">
          <a:extLst>
            <a:ext uri="{FF2B5EF4-FFF2-40B4-BE49-F238E27FC236}">
              <a16:creationId xmlns:a16="http://schemas.microsoft.com/office/drawing/2014/main" id="{00000000-0008-0000-0200-0000D704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240" name="Line 15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241" name="Line 16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242" name="Line 17">
          <a:extLst>
            <a:ext uri="{FF2B5EF4-FFF2-40B4-BE49-F238E27FC236}">
              <a16:creationId xmlns:a16="http://schemas.microsoft.com/office/drawing/2014/main" id="{00000000-0008-0000-0200-0000DA04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243" name="Line 18">
          <a:extLst>
            <a:ext uri="{FF2B5EF4-FFF2-40B4-BE49-F238E27FC236}">
              <a16:creationId xmlns:a16="http://schemas.microsoft.com/office/drawing/2014/main" id="{00000000-0008-0000-0200-0000DB04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244" name="Line 19">
          <a:extLst>
            <a:ext uri="{FF2B5EF4-FFF2-40B4-BE49-F238E27FC236}">
              <a16:creationId xmlns:a16="http://schemas.microsoft.com/office/drawing/2014/main" id="{00000000-0008-0000-0200-0000DC04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245" name="Line 20">
          <a:extLst>
            <a:ext uri="{FF2B5EF4-FFF2-40B4-BE49-F238E27FC236}">
              <a16:creationId xmlns:a16="http://schemas.microsoft.com/office/drawing/2014/main" id="{00000000-0008-0000-0200-0000DD04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246" name="Line 21">
          <a:extLst>
            <a:ext uri="{FF2B5EF4-FFF2-40B4-BE49-F238E27FC236}">
              <a16:creationId xmlns:a16="http://schemas.microsoft.com/office/drawing/2014/main" id="{00000000-0008-0000-0200-0000DE04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247" name="Line 22">
          <a:extLst>
            <a:ext uri="{FF2B5EF4-FFF2-40B4-BE49-F238E27FC236}">
              <a16:creationId xmlns:a16="http://schemas.microsoft.com/office/drawing/2014/main" id="{00000000-0008-0000-0200-0000DF04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248" name="Line 23">
          <a:extLst>
            <a:ext uri="{FF2B5EF4-FFF2-40B4-BE49-F238E27FC236}">
              <a16:creationId xmlns:a16="http://schemas.microsoft.com/office/drawing/2014/main" id="{00000000-0008-0000-0200-0000E004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249" name="Line 24">
          <a:extLst>
            <a:ext uri="{FF2B5EF4-FFF2-40B4-BE49-F238E27FC236}">
              <a16:creationId xmlns:a16="http://schemas.microsoft.com/office/drawing/2014/main" id="{00000000-0008-0000-0200-0000E104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250" name="Line 25">
          <a:extLst>
            <a:ext uri="{FF2B5EF4-FFF2-40B4-BE49-F238E27FC236}">
              <a16:creationId xmlns:a16="http://schemas.microsoft.com/office/drawing/2014/main" id="{00000000-0008-0000-0200-0000E204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251" name="Line 26">
          <a:extLst>
            <a:ext uri="{FF2B5EF4-FFF2-40B4-BE49-F238E27FC236}">
              <a16:creationId xmlns:a16="http://schemas.microsoft.com/office/drawing/2014/main" id="{00000000-0008-0000-0200-0000E304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252" name="Line 27">
          <a:extLst>
            <a:ext uri="{FF2B5EF4-FFF2-40B4-BE49-F238E27FC236}">
              <a16:creationId xmlns:a16="http://schemas.microsoft.com/office/drawing/2014/main" id="{00000000-0008-0000-0200-0000E404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253" name="Line 28">
          <a:extLst>
            <a:ext uri="{FF2B5EF4-FFF2-40B4-BE49-F238E27FC236}">
              <a16:creationId xmlns:a16="http://schemas.microsoft.com/office/drawing/2014/main" id="{00000000-0008-0000-0200-0000E504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254" name="Line 29">
          <a:extLst>
            <a:ext uri="{FF2B5EF4-FFF2-40B4-BE49-F238E27FC236}">
              <a16:creationId xmlns:a16="http://schemas.microsoft.com/office/drawing/2014/main" id="{00000000-0008-0000-0200-0000E604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255" name="Line 30">
          <a:extLst>
            <a:ext uri="{FF2B5EF4-FFF2-40B4-BE49-F238E27FC236}">
              <a16:creationId xmlns:a16="http://schemas.microsoft.com/office/drawing/2014/main" id="{00000000-0008-0000-0200-0000E704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256" name="Line 31">
          <a:extLst>
            <a:ext uri="{FF2B5EF4-FFF2-40B4-BE49-F238E27FC236}">
              <a16:creationId xmlns:a16="http://schemas.microsoft.com/office/drawing/2014/main" id="{00000000-0008-0000-0200-0000E804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257" name="Line 32">
          <a:extLst>
            <a:ext uri="{FF2B5EF4-FFF2-40B4-BE49-F238E27FC236}">
              <a16:creationId xmlns:a16="http://schemas.microsoft.com/office/drawing/2014/main" id="{00000000-0008-0000-0200-0000E904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258" name="Line 33">
          <a:extLst>
            <a:ext uri="{FF2B5EF4-FFF2-40B4-BE49-F238E27FC236}">
              <a16:creationId xmlns:a16="http://schemas.microsoft.com/office/drawing/2014/main" id="{00000000-0008-0000-0200-0000EA04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259" name="Line 34">
          <a:extLst>
            <a:ext uri="{FF2B5EF4-FFF2-40B4-BE49-F238E27FC236}">
              <a16:creationId xmlns:a16="http://schemas.microsoft.com/office/drawing/2014/main" id="{00000000-0008-0000-0200-0000EB04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260" name="Line 35">
          <a:extLst>
            <a:ext uri="{FF2B5EF4-FFF2-40B4-BE49-F238E27FC236}">
              <a16:creationId xmlns:a16="http://schemas.microsoft.com/office/drawing/2014/main" id="{00000000-0008-0000-0200-0000EC04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261" name="Line 36">
          <a:extLst>
            <a:ext uri="{FF2B5EF4-FFF2-40B4-BE49-F238E27FC236}">
              <a16:creationId xmlns:a16="http://schemas.microsoft.com/office/drawing/2014/main" id="{00000000-0008-0000-0200-0000ED04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262" name="Line 37">
          <a:extLst>
            <a:ext uri="{FF2B5EF4-FFF2-40B4-BE49-F238E27FC236}">
              <a16:creationId xmlns:a16="http://schemas.microsoft.com/office/drawing/2014/main" id="{00000000-0008-0000-0200-0000EE04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263" name="Line 38">
          <a:extLst>
            <a:ext uri="{FF2B5EF4-FFF2-40B4-BE49-F238E27FC236}">
              <a16:creationId xmlns:a16="http://schemas.microsoft.com/office/drawing/2014/main" id="{00000000-0008-0000-0200-0000EF04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264" name="Line 39">
          <a:extLst>
            <a:ext uri="{FF2B5EF4-FFF2-40B4-BE49-F238E27FC236}">
              <a16:creationId xmlns:a16="http://schemas.microsoft.com/office/drawing/2014/main" id="{00000000-0008-0000-0200-0000F004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265" name="Line 40">
          <a:extLst>
            <a:ext uri="{FF2B5EF4-FFF2-40B4-BE49-F238E27FC236}">
              <a16:creationId xmlns:a16="http://schemas.microsoft.com/office/drawing/2014/main" id="{00000000-0008-0000-0200-0000F104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266" name="Line 41">
          <a:extLst>
            <a:ext uri="{FF2B5EF4-FFF2-40B4-BE49-F238E27FC236}">
              <a16:creationId xmlns:a16="http://schemas.microsoft.com/office/drawing/2014/main" id="{00000000-0008-0000-0200-0000F204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267" name="Rectangle 42">
          <a:extLst>
            <a:ext uri="{FF2B5EF4-FFF2-40B4-BE49-F238E27FC236}">
              <a16:creationId xmlns:a16="http://schemas.microsoft.com/office/drawing/2014/main" id="{00000000-0008-0000-0200-0000F304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68" name="Line 43">
          <a:extLst>
            <a:ext uri="{FF2B5EF4-FFF2-40B4-BE49-F238E27FC236}">
              <a16:creationId xmlns:a16="http://schemas.microsoft.com/office/drawing/2014/main" id="{00000000-0008-0000-0200-0000F404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269" name="Line 44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270" name="Line 45">
          <a:extLst>
            <a:ext uri="{FF2B5EF4-FFF2-40B4-BE49-F238E27FC236}">
              <a16:creationId xmlns:a16="http://schemas.microsoft.com/office/drawing/2014/main" id="{00000000-0008-0000-0200-0000F604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271" name="Line 46">
          <a:extLst>
            <a:ext uri="{FF2B5EF4-FFF2-40B4-BE49-F238E27FC236}">
              <a16:creationId xmlns:a16="http://schemas.microsoft.com/office/drawing/2014/main" id="{00000000-0008-0000-0200-0000F704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272" name="Line 47">
          <a:extLst>
            <a:ext uri="{FF2B5EF4-FFF2-40B4-BE49-F238E27FC236}">
              <a16:creationId xmlns:a16="http://schemas.microsoft.com/office/drawing/2014/main" id="{00000000-0008-0000-0200-0000F804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273" name="Line 48">
          <a:extLst>
            <a:ext uri="{FF2B5EF4-FFF2-40B4-BE49-F238E27FC236}">
              <a16:creationId xmlns:a16="http://schemas.microsoft.com/office/drawing/2014/main" id="{00000000-0008-0000-0200-0000F904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274" name="Line 49">
          <a:extLst>
            <a:ext uri="{FF2B5EF4-FFF2-40B4-BE49-F238E27FC236}">
              <a16:creationId xmlns:a16="http://schemas.microsoft.com/office/drawing/2014/main" id="{00000000-0008-0000-0200-0000FA04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275" name="Line 50">
          <a:extLst>
            <a:ext uri="{FF2B5EF4-FFF2-40B4-BE49-F238E27FC236}">
              <a16:creationId xmlns:a16="http://schemas.microsoft.com/office/drawing/2014/main" id="{00000000-0008-0000-0200-0000FB04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276" name="Line 51">
          <a:extLst>
            <a:ext uri="{FF2B5EF4-FFF2-40B4-BE49-F238E27FC236}">
              <a16:creationId xmlns:a16="http://schemas.microsoft.com/office/drawing/2014/main" id="{00000000-0008-0000-0200-0000FC04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277" name="Line 52">
          <a:extLst>
            <a:ext uri="{FF2B5EF4-FFF2-40B4-BE49-F238E27FC236}">
              <a16:creationId xmlns:a16="http://schemas.microsoft.com/office/drawing/2014/main" id="{00000000-0008-0000-0200-0000FD04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278" name="Line 53">
          <a:extLst>
            <a:ext uri="{FF2B5EF4-FFF2-40B4-BE49-F238E27FC236}">
              <a16:creationId xmlns:a16="http://schemas.microsoft.com/office/drawing/2014/main" id="{00000000-0008-0000-0200-0000FE04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279" name="Line 54">
          <a:extLst>
            <a:ext uri="{FF2B5EF4-FFF2-40B4-BE49-F238E27FC236}">
              <a16:creationId xmlns:a16="http://schemas.microsoft.com/office/drawing/2014/main" id="{00000000-0008-0000-0200-0000FF04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280" name="Line 55">
          <a:extLst>
            <a:ext uri="{FF2B5EF4-FFF2-40B4-BE49-F238E27FC236}">
              <a16:creationId xmlns:a16="http://schemas.microsoft.com/office/drawing/2014/main" id="{00000000-0008-0000-0200-000000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281" name="Line 56">
          <a:extLst>
            <a:ext uri="{FF2B5EF4-FFF2-40B4-BE49-F238E27FC236}">
              <a16:creationId xmlns:a16="http://schemas.microsoft.com/office/drawing/2014/main" id="{00000000-0008-0000-0200-000001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282" name="Rectangle 57">
          <a:extLst>
            <a:ext uri="{FF2B5EF4-FFF2-40B4-BE49-F238E27FC236}">
              <a16:creationId xmlns:a16="http://schemas.microsoft.com/office/drawing/2014/main" id="{00000000-0008-0000-0200-000002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283" name="Line 58">
          <a:extLst>
            <a:ext uri="{FF2B5EF4-FFF2-40B4-BE49-F238E27FC236}">
              <a16:creationId xmlns:a16="http://schemas.microsoft.com/office/drawing/2014/main" id="{00000000-0008-0000-0200-000003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284" name="Line 59">
          <a:extLst>
            <a:ext uri="{FF2B5EF4-FFF2-40B4-BE49-F238E27FC236}">
              <a16:creationId xmlns:a16="http://schemas.microsoft.com/office/drawing/2014/main" id="{00000000-0008-0000-0200-000004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285" name="Line 60">
          <a:extLst>
            <a:ext uri="{FF2B5EF4-FFF2-40B4-BE49-F238E27FC236}">
              <a16:creationId xmlns:a16="http://schemas.microsoft.com/office/drawing/2014/main" id="{00000000-0008-0000-0200-000005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286" name="Line 61">
          <a:extLst>
            <a:ext uri="{FF2B5EF4-FFF2-40B4-BE49-F238E27FC236}">
              <a16:creationId xmlns:a16="http://schemas.microsoft.com/office/drawing/2014/main" id="{00000000-0008-0000-0200-000006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287" name="Line 62">
          <a:extLst>
            <a:ext uri="{FF2B5EF4-FFF2-40B4-BE49-F238E27FC236}">
              <a16:creationId xmlns:a16="http://schemas.microsoft.com/office/drawing/2014/main" id="{00000000-0008-0000-0200-000007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288" name="Line 63">
          <a:extLst>
            <a:ext uri="{FF2B5EF4-FFF2-40B4-BE49-F238E27FC236}">
              <a16:creationId xmlns:a16="http://schemas.microsoft.com/office/drawing/2014/main" id="{00000000-0008-0000-0200-000008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289" name="Line 64">
          <a:extLst>
            <a:ext uri="{FF2B5EF4-FFF2-40B4-BE49-F238E27FC236}">
              <a16:creationId xmlns:a16="http://schemas.microsoft.com/office/drawing/2014/main" id="{00000000-0008-0000-0200-000009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290" name="Line 65">
          <a:extLst>
            <a:ext uri="{FF2B5EF4-FFF2-40B4-BE49-F238E27FC236}">
              <a16:creationId xmlns:a16="http://schemas.microsoft.com/office/drawing/2014/main" id="{00000000-0008-0000-0200-00000A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291" name="Line 66">
          <a:extLst>
            <a:ext uri="{FF2B5EF4-FFF2-40B4-BE49-F238E27FC236}">
              <a16:creationId xmlns:a16="http://schemas.microsoft.com/office/drawing/2014/main" id="{00000000-0008-0000-0200-00000B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292" name="Line 67">
          <a:extLst>
            <a:ext uri="{FF2B5EF4-FFF2-40B4-BE49-F238E27FC236}">
              <a16:creationId xmlns:a16="http://schemas.microsoft.com/office/drawing/2014/main" id="{00000000-0008-0000-0200-00000C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293" name="Line 68">
          <a:extLst>
            <a:ext uri="{FF2B5EF4-FFF2-40B4-BE49-F238E27FC236}">
              <a16:creationId xmlns:a16="http://schemas.microsoft.com/office/drawing/2014/main" id="{00000000-0008-0000-0200-00000D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294" name="Line 1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295" name="Drawing 16">
          <a:extLst>
            <a:ext uri="{FF2B5EF4-FFF2-40B4-BE49-F238E27FC236}">
              <a16:creationId xmlns:a16="http://schemas.microsoft.com/office/drawing/2014/main" id="{00000000-0008-0000-0200-00000F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296" name="Line 3">
          <a:extLst>
            <a:ext uri="{FF2B5EF4-FFF2-40B4-BE49-F238E27FC236}">
              <a16:creationId xmlns:a16="http://schemas.microsoft.com/office/drawing/2014/main" id="{00000000-0008-0000-0200-000010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297" name="Line 4">
          <a:extLst>
            <a:ext uri="{FF2B5EF4-FFF2-40B4-BE49-F238E27FC236}">
              <a16:creationId xmlns:a16="http://schemas.microsoft.com/office/drawing/2014/main" id="{00000000-0008-0000-0200-000011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298" name="Line 5">
          <a:extLst>
            <a:ext uri="{FF2B5EF4-FFF2-40B4-BE49-F238E27FC236}">
              <a16:creationId xmlns:a16="http://schemas.microsoft.com/office/drawing/2014/main" id="{00000000-0008-0000-0200-000012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299" name="Line 6">
          <a:extLst>
            <a:ext uri="{FF2B5EF4-FFF2-40B4-BE49-F238E27FC236}">
              <a16:creationId xmlns:a16="http://schemas.microsoft.com/office/drawing/2014/main" id="{00000000-0008-0000-0200-000013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300" name="Line 7">
          <a:extLst>
            <a:ext uri="{FF2B5EF4-FFF2-40B4-BE49-F238E27FC236}">
              <a16:creationId xmlns:a16="http://schemas.microsoft.com/office/drawing/2014/main" id="{00000000-0008-0000-0200-000014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301" name="Line 8">
          <a:extLst>
            <a:ext uri="{FF2B5EF4-FFF2-40B4-BE49-F238E27FC236}">
              <a16:creationId xmlns:a16="http://schemas.microsoft.com/office/drawing/2014/main" id="{00000000-0008-0000-0200-000015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302" name="Line 9">
          <a:extLst>
            <a:ext uri="{FF2B5EF4-FFF2-40B4-BE49-F238E27FC236}">
              <a16:creationId xmlns:a16="http://schemas.microsoft.com/office/drawing/2014/main" id="{00000000-0008-0000-0200-000016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303" name="Line 10">
          <a:extLst>
            <a:ext uri="{FF2B5EF4-FFF2-40B4-BE49-F238E27FC236}">
              <a16:creationId xmlns:a16="http://schemas.microsoft.com/office/drawing/2014/main" id="{00000000-0008-0000-0200-000017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304" name="Line 11">
          <a:extLst>
            <a:ext uri="{FF2B5EF4-FFF2-40B4-BE49-F238E27FC236}">
              <a16:creationId xmlns:a16="http://schemas.microsoft.com/office/drawing/2014/main" id="{00000000-0008-0000-0200-000018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305" name="Line 12">
          <a:extLst>
            <a:ext uri="{FF2B5EF4-FFF2-40B4-BE49-F238E27FC236}">
              <a16:creationId xmlns:a16="http://schemas.microsoft.com/office/drawing/2014/main" id="{00000000-0008-0000-0200-000019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306" name="Line 13">
          <a:extLst>
            <a:ext uri="{FF2B5EF4-FFF2-40B4-BE49-F238E27FC236}">
              <a16:creationId xmlns:a16="http://schemas.microsoft.com/office/drawing/2014/main" id="{00000000-0008-0000-0200-00001A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07" name="Line 14">
          <a:extLst>
            <a:ext uri="{FF2B5EF4-FFF2-40B4-BE49-F238E27FC236}">
              <a16:creationId xmlns:a16="http://schemas.microsoft.com/office/drawing/2014/main" id="{00000000-0008-0000-0200-00001B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308" name="Line 15">
          <a:extLst>
            <a:ext uri="{FF2B5EF4-FFF2-40B4-BE49-F238E27FC236}">
              <a16:creationId xmlns:a16="http://schemas.microsoft.com/office/drawing/2014/main" id="{00000000-0008-0000-0200-00001C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09" name="Line 16">
          <a:extLst>
            <a:ext uri="{FF2B5EF4-FFF2-40B4-BE49-F238E27FC236}">
              <a16:creationId xmlns:a16="http://schemas.microsoft.com/office/drawing/2014/main" id="{00000000-0008-0000-0200-00001D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310" name="Line 17">
          <a:extLst>
            <a:ext uri="{FF2B5EF4-FFF2-40B4-BE49-F238E27FC236}">
              <a16:creationId xmlns:a16="http://schemas.microsoft.com/office/drawing/2014/main" id="{00000000-0008-0000-0200-00001E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311" name="Line 18">
          <a:extLst>
            <a:ext uri="{FF2B5EF4-FFF2-40B4-BE49-F238E27FC236}">
              <a16:creationId xmlns:a16="http://schemas.microsoft.com/office/drawing/2014/main" id="{00000000-0008-0000-0200-00001F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312" name="Line 19">
          <a:extLst>
            <a:ext uri="{FF2B5EF4-FFF2-40B4-BE49-F238E27FC236}">
              <a16:creationId xmlns:a16="http://schemas.microsoft.com/office/drawing/2014/main" id="{00000000-0008-0000-0200-000020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313" name="Line 20">
          <a:extLst>
            <a:ext uri="{FF2B5EF4-FFF2-40B4-BE49-F238E27FC236}">
              <a16:creationId xmlns:a16="http://schemas.microsoft.com/office/drawing/2014/main" id="{00000000-0008-0000-0200-000021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314" name="Line 21">
          <a:extLst>
            <a:ext uri="{FF2B5EF4-FFF2-40B4-BE49-F238E27FC236}">
              <a16:creationId xmlns:a16="http://schemas.microsoft.com/office/drawing/2014/main" id="{00000000-0008-0000-0200-000022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315" name="Line 22">
          <a:extLst>
            <a:ext uri="{FF2B5EF4-FFF2-40B4-BE49-F238E27FC236}">
              <a16:creationId xmlns:a16="http://schemas.microsoft.com/office/drawing/2014/main" id="{00000000-0008-0000-0200-000023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316" name="Line 23">
          <a:extLst>
            <a:ext uri="{FF2B5EF4-FFF2-40B4-BE49-F238E27FC236}">
              <a16:creationId xmlns:a16="http://schemas.microsoft.com/office/drawing/2014/main" id="{00000000-0008-0000-0200-000024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317" name="Line 24">
          <a:extLst>
            <a:ext uri="{FF2B5EF4-FFF2-40B4-BE49-F238E27FC236}">
              <a16:creationId xmlns:a16="http://schemas.microsoft.com/office/drawing/2014/main" id="{00000000-0008-0000-0200-000025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318" name="Line 25">
          <a:extLst>
            <a:ext uri="{FF2B5EF4-FFF2-40B4-BE49-F238E27FC236}">
              <a16:creationId xmlns:a16="http://schemas.microsoft.com/office/drawing/2014/main" id="{00000000-0008-0000-0200-000026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319" name="Line 26">
          <a:extLst>
            <a:ext uri="{FF2B5EF4-FFF2-40B4-BE49-F238E27FC236}">
              <a16:creationId xmlns:a16="http://schemas.microsoft.com/office/drawing/2014/main" id="{00000000-0008-0000-0200-000027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320" name="Line 27">
          <a:extLst>
            <a:ext uri="{FF2B5EF4-FFF2-40B4-BE49-F238E27FC236}">
              <a16:creationId xmlns:a16="http://schemas.microsoft.com/office/drawing/2014/main" id="{00000000-0008-0000-0200-000028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321" name="Line 28">
          <a:extLst>
            <a:ext uri="{FF2B5EF4-FFF2-40B4-BE49-F238E27FC236}">
              <a16:creationId xmlns:a16="http://schemas.microsoft.com/office/drawing/2014/main" id="{00000000-0008-0000-0200-000029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322" name="Line 29">
          <a:extLst>
            <a:ext uri="{FF2B5EF4-FFF2-40B4-BE49-F238E27FC236}">
              <a16:creationId xmlns:a16="http://schemas.microsoft.com/office/drawing/2014/main" id="{00000000-0008-0000-0200-00002A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323" name="Line 30">
          <a:extLst>
            <a:ext uri="{FF2B5EF4-FFF2-40B4-BE49-F238E27FC236}">
              <a16:creationId xmlns:a16="http://schemas.microsoft.com/office/drawing/2014/main" id="{00000000-0008-0000-0200-00002B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324" name="Line 31">
          <a:extLst>
            <a:ext uri="{FF2B5EF4-FFF2-40B4-BE49-F238E27FC236}">
              <a16:creationId xmlns:a16="http://schemas.microsoft.com/office/drawing/2014/main" id="{00000000-0008-0000-0200-00002C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325" name="Line 32">
          <a:extLst>
            <a:ext uri="{FF2B5EF4-FFF2-40B4-BE49-F238E27FC236}">
              <a16:creationId xmlns:a16="http://schemas.microsoft.com/office/drawing/2014/main" id="{00000000-0008-0000-0200-00002D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326" name="Line 33">
          <a:extLst>
            <a:ext uri="{FF2B5EF4-FFF2-40B4-BE49-F238E27FC236}">
              <a16:creationId xmlns:a16="http://schemas.microsoft.com/office/drawing/2014/main" id="{00000000-0008-0000-0200-00002E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327" name="Line 34">
          <a:extLst>
            <a:ext uri="{FF2B5EF4-FFF2-40B4-BE49-F238E27FC236}">
              <a16:creationId xmlns:a16="http://schemas.microsoft.com/office/drawing/2014/main" id="{00000000-0008-0000-0200-00002F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328" name="Line 35">
          <a:extLst>
            <a:ext uri="{FF2B5EF4-FFF2-40B4-BE49-F238E27FC236}">
              <a16:creationId xmlns:a16="http://schemas.microsoft.com/office/drawing/2014/main" id="{00000000-0008-0000-0200-000030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329" name="Line 36">
          <a:extLst>
            <a:ext uri="{FF2B5EF4-FFF2-40B4-BE49-F238E27FC236}">
              <a16:creationId xmlns:a16="http://schemas.microsoft.com/office/drawing/2014/main" id="{00000000-0008-0000-0200-000031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330" name="Line 37">
          <a:extLst>
            <a:ext uri="{FF2B5EF4-FFF2-40B4-BE49-F238E27FC236}">
              <a16:creationId xmlns:a16="http://schemas.microsoft.com/office/drawing/2014/main" id="{00000000-0008-0000-0200-000032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331" name="Line 38">
          <a:extLst>
            <a:ext uri="{FF2B5EF4-FFF2-40B4-BE49-F238E27FC236}">
              <a16:creationId xmlns:a16="http://schemas.microsoft.com/office/drawing/2014/main" id="{00000000-0008-0000-0200-000033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332" name="Line 39">
          <a:extLst>
            <a:ext uri="{FF2B5EF4-FFF2-40B4-BE49-F238E27FC236}">
              <a16:creationId xmlns:a16="http://schemas.microsoft.com/office/drawing/2014/main" id="{00000000-0008-0000-0200-00003405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333" name="Line 40">
          <a:extLst>
            <a:ext uri="{FF2B5EF4-FFF2-40B4-BE49-F238E27FC236}">
              <a16:creationId xmlns:a16="http://schemas.microsoft.com/office/drawing/2014/main" id="{00000000-0008-0000-0200-00003505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334" name="Line 41">
          <a:extLst>
            <a:ext uri="{FF2B5EF4-FFF2-40B4-BE49-F238E27FC236}">
              <a16:creationId xmlns:a16="http://schemas.microsoft.com/office/drawing/2014/main" id="{00000000-0008-0000-0200-00003605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335" name="Rectangle 42">
          <a:extLst>
            <a:ext uri="{FF2B5EF4-FFF2-40B4-BE49-F238E27FC236}">
              <a16:creationId xmlns:a16="http://schemas.microsoft.com/office/drawing/2014/main" id="{00000000-0008-0000-0200-00003705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336" name="Line 43">
          <a:extLst>
            <a:ext uri="{FF2B5EF4-FFF2-40B4-BE49-F238E27FC236}">
              <a16:creationId xmlns:a16="http://schemas.microsoft.com/office/drawing/2014/main" id="{00000000-0008-0000-0200-00003805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337" name="Line 44">
          <a:extLst>
            <a:ext uri="{FF2B5EF4-FFF2-40B4-BE49-F238E27FC236}">
              <a16:creationId xmlns:a16="http://schemas.microsoft.com/office/drawing/2014/main" id="{00000000-0008-0000-0200-000039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338" name="Line 45">
          <a:extLst>
            <a:ext uri="{FF2B5EF4-FFF2-40B4-BE49-F238E27FC236}">
              <a16:creationId xmlns:a16="http://schemas.microsoft.com/office/drawing/2014/main" id="{00000000-0008-0000-0200-00003A05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339" name="Line 46">
          <a:extLst>
            <a:ext uri="{FF2B5EF4-FFF2-40B4-BE49-F238E27FC236}">
              <a16:creationId xmlns:a16="http://schemas.microsoft.com/office/drawing/2014/main" id="{00000000-0008-0000-0200-00003B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340" name="Line 47">
          <a:extLst>
            <a:ext uri="{FF2B5EF4-FFF2-40B4-BE49-F238E27FC236}">
              <a16:creationId xmlns:a16="http://schemas.microsoft.com/office/drawing/2014/main" id="{00000000-0008-0000-0200-00003C05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341" name="Line 48">
          <a:extLst>
            <a:ext uri="{FF2B5EF4-FFF2-40B4-BE49-F238E27FC236}">
              <a16:creationId xmlns:a16="http://schemas.microsoft.com/office/drawing/2014/main" id="{00000000-0008-0000-0200-00003D05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342" name="Line 49">
          <a:extLst>
            <a:ext uri="{FF2B5EF4-FFF2-40B4-BE49-F238E27FC236}">
              <a16:creationId xmlns:a16="http://schemas.microsoft.com/office/drawing/2014/main" id="{00000000-0008-0000-0200-00003E05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343" name="Line 50">
          <a:extLst>
            <a:ext uri="{FF2B5EF4-FFF2-40B4-BE49-F238E27FC236}">
              <a16:creationId xmlns:a16="http://schemas.microsoft.com/office/drawing/2014/main" id="{00000000-0008-0000-0200-00003F05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344" name="Line 51">
          <a:extLst>
            <a:ext uri="{FF2B5EF4-FFF2-40B4-BE49-F238E27FC236}">
              <a16:creationId xmlns:a16="http://schemas.microsoft.com/office/drawing/2014/main" id="{00000000-0008-0000-0200-00004005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345" name="Line 52">
          <a:extLst>
            <a:ext uri="{FF2B5EF4-FFF2-40B4-BE49-F238E27FC236}">
              <a16:creationId xmlns:a16="http://schemas.microsoft.com/office/drawing/2014/main" id="{00000000-0008-0000-0200-00004105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346" name="Line 53">
          <a:extLst>
            <a:ext uri="{FF2B5EF4-FFF2-40B4-BE49-F238E27FC236}">
              <a16:creationId xmlns:a16="http://schemas.microsoft.com/office/drawing/2014/main" id="{00000000-0008-0000-0200-00004205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347" name="Line 54">
          <a:extLst>
            <a:ext uri="{FF2B5EF4-FFF2-40B4-BE49-F238E27FC236}">
              <a16:creationId xmlns:a16="http://schemas.microsoft.com/office/drawing/2014/main" id="{00000000-0008-0000-0200-00004305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348" name="Line 55">
          <a:extLst>
            <a:ext uri="{FF2B5EF4-FFF2-40B4-BE49-F238E27FC236}">
              <a16:creationId xmlns:a16="http://schemas.microsoft.com/office/drawing/2014/main" id="{00000000-0008-0000-0200-000044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349" name="Line 56">
          <a:extLst>
            <a:ext uri="{FF2B5EF4-FFF2-40B4-BE49-F238E27FC236}">
              <a16:creationId xmlns:a16="http://schemas.microsoft.com/office/drawing/2014/main" id="{00000000-0008-0000-0200-000045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350" name="Rectangle 57">
          <a:extLst>
            <a:ext uri="{FF2B5EF4-FFF2-40B4-BE49-F238E27FC236}">
              <a16:creationId xmlns:a16="http://schemas.microsoft.com/office/drawing/2014/main" id="{00000000-0008-0000-0200-000046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351" name="Line 58">
          <a:extLst>
            <a:ext uri="{FF2B5EF4-FFF2-40B4-BE49-F238E27FC236}">
              <a16:creationId xmlns:a16="http://schemas.microsoft.com/office/drawing/2014/main" id="{00000000-0008-0000-0200-000047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352" name="Line 59">
          <a:extLst>
            <a:ext uri="{FF2B5EF4-FFF2-40B4-BE49-F238E27FC236}">
              <a16:creationId xmlns:a16="http://schemas.microsoft.com/office/drawing/2014/main" id="{00000000-0008-0000-0200-000048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353" name="Line 60">
          <a:extLst>
            <a:ext uri="{FF2B5EF4-FFF2-40B4-BE49-F238E27FC236}">
              <a16:creationId xmlns:a16="http://schemas.microsoft.com/office/drawing/2014/main" id="{00000000-0008-0000-0200-000049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354" name="Line 61">
          <a:extLst>
            <a:ext uri="{FF2B5EF4-FFF2-40B4-BE49-F238E27FC236}">
              <a16:creationId xmlns:a16="http://schemas.microsoft.com/office/drawing/2014/main" id="{00000000-0008-0000-0200-00004A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355" name="Line 62">
          <a:extLst>
            <a:ext uri="{FF2B5EF4-FFF2-40B4-BE49-F238E27FC236}">
              <a16:creationId xmlns:a16="http://schemas.microsoft.com/office/drawing/2014/main" id="{00000000-0008-0000-0200-00004B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356" name="Line 63">
          <a:extLst>
            <a:ext uri="{FF2B5EF4-FFF2-40B4-BE49-F238E27FC236}">
              <a16:creationId xmlns:a16="http://schemas.microsoft.com/office/drawing/2014/main" id="{00000000-0008-0000-0200-00004C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357" name="Line 64">
          <a:extLst>
            <a:ext uri="{FF2B5EF4-FFF2-40B4-BE49-F238E27FC236}">
              <a16:creationId xmlns:a16="http://schemas.microsoft.com/office/drawing/2014/main" id="{00000000-0008-0000-0200-00004D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358" name="Line 65">
          <a:extLst>
            <a:ext uri="{FF2B5EF4-FFF2-40B4-BE49-F238E27FC236}">
              <a16:creationId xmlns:a16="http://schemas.microsoft.com/office/drawing/2014/main" id="{00000000-0008-0000-0200-00004E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359" name="Line 66">
          <a:extLst>
            <a:ext uri="{FF2B5EF4-FFF2-40B4-BE49-F238E27FC236}">
              <a16:creationId xmlns:a16="http://schemas.microsoft.com/office/drawing/2014/main" id="{00000000-0008-0000-0200-00004F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360" name="Line 67">
          <a:extLst>
            <a:ext uri="{FF2B5EF4-FFF2-40B4-BE49-F238E27FC236}">
              <a16:creationId xmlns:a16="http://schemas.microsoft.com/office/drawing/2014/main" id="{00000000-0008-0000-0200-000050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361" name="Line 68">
          <a:extLst>
            <a:ext uri="{FF2B5EF4-FFF2-40B4-BE49-F238E27FC236}">
              <a16:creationId xmlns:a16="http://schemas.microsoft.com/office/drawing/2014/main" id="{00000000-0008-0000-0200-000051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362" name="Line 1">
          <a:extLst>
            <a:ext uri="{FF2B5EF4-FFF2-40B4-BE49-F238E27FC236}">
              <a16:creationId xmlns:a16="http://schemas.microsoft.com/office/drawing/2014/main" id="{00000000-0008-0000-0200-000052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363" name="Drawing 16">
          <a:extLst>
            <a:ext uri="{FF2B5EF4-FFF2-40B4-BE49-F238E27FC236}">
              <a16:creationId xmlns:a16="http://schemas.microsoft.com/office/drawing/2014/main" id="{00000000-0008-0000-0200-000053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364" name="Line 3">
          <a:extLst>
            <a:ext uri="{FF2B5EF4-FFF2-40B4-BE49-F238E27FC236}">
              <a16:creationId xmlns:a16="http://schemas.microsoft.com/office/drawing/2014/main" id="{00000000-0008-0000-0200-000054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365" name="Line 4">
          <a:extLst>
            <a:ext uri="{FF2B5EF4-FFF2-40B4-BE49-F238E27FC236}">
              <a16:creationId xmlns:a16="http://schemas.microsoft.com/office/drawing/2014/main" id="{00000000-0008-0000-0200-000055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366" name="Line 5">
          <a:extLst>
            <a:ext uri="{FF2B5EF4-FFF2-40B4-BE49-F238E27FC236}">
              <a16:creationId xmlns:a16="http://schemas.microsoft.com/office/drawing/2014/main" id="{00000000-0008-0000-0200-000056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367" name="Line 6">
          <a:extLst>
            <a:ext uri="{FF2B5EF4-FFF2-40B4-BE49-F238E27FC236}">
              <a16:creationId xmlns:a16="http://schemas.microsoft.com/office/drawing/2014/main" id="{00000000-0008-0000-0200-000057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368" name="Line 7">
          <a:extLst>
            <a:ext uri="{FF2B5EF4-FFF2-40B4-BE49-F238E27FC236}">
              <a16:creationId xmlns:a16="http://schemas.microsoft.com/office/drawing/2014/main" id="{00000000-0008-0000-0200-000058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369" name="Line 8">
          <a:extLst>
            <a:ext uri="{FF2B5EF4-FFF2-40B4-BE49-F238E27FC236}">
              <a16:creationId xmlns:a16="http://schemas.microsoft.com/office/drawing/2014/main" id="{00000000-0008-0000-0200-000059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370" name="Line 9">
          <a:extLst>
            <a:ext uri="{FF2B5EF4-FFF2-40B4-BE49-F238E27FC236}">
              <a16:creationId xmlns:a16="http://schemas.microsoft.com/office/drawing/2014/main" id="{00000000-0008-0000-0200-00005A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371" name="Line 10">
          <a:extLst>
            <a:ext uri="{FF2B5EF4-FFF2-40B4-BE49-F238E27FC236}">
              <a16:creationId xmlns:a16="http://schemas.microsoft.com/office/drawing/2014/main" id="{00000000-0008-0000-0200-00005B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372" name="Line 11">
          <a:extLst>
            <a:ext uri="{FF2B5EF4-FFF2-40B4-BE49-F238E27FC236}">
              <a16:creationId xmlns:a16="http://schemas.microsoft.com/office/drawing/2014/main" id="{00000000-0008-0000-0200-00005C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373" name="Line 12">
          <a:extLst>
            <a:ext uri="{FF2B5EF4-FFF2-40B4-BE49-F238E27FC236}">
              <a16:creationId xmlns:a16="http://schemas.microsoft.com/office/drawing/2014/main" id="{00000000-0008-0000-0200-00005D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374" name="Line 13">
          <a:extLst>
            <a:ext uri="{FF2B5EF4-FFF2-40B4-BE49-F238E27FC236}">
              <a16:creationId xmlns:a16="http://schemas.microsoft.com/office/drawing/2014/main" id="{00000000-0008-0000-0200-00005E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75" name="Line 14">
          <a:extLst>
            <a:ext uri="{FF2B5EF4-FFF2-40B4-BE49-F238E27FC236}">
              <a16:creationId xmlns:a16="http://schemas.microsoft.com/office/drawing/2014/main" id="{00000000-0008-0000-0200-00005F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376" name="Line 15">
          <a:extLst>
            <a:ext uri="{FF2B5EF4-FFF2-40B4-BE49-F238E27FC236}">
              <a16:creationId xmlns:a16="http://schemas.microsoft.com/office/drawing/2014/main" id="{00000000-0008-0000-0200-000060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377" name="Line 16">
          <a:extLst>
            <a:ext uri="{FF2B5EF4-FFF2-40B4-BE49-F238E27FC236}">
              <a16:creationId xmlns:a16="http://schemas.microsoft.com/office/drawing/2014/main" id="{00000000-0008-0000-0200-000061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378" name="Line 17">
          <a:extLst>
            <a:ext uri="{FF2B5EF4-FFF2-40B4-BE49-F238E27FC236}">
              <a16:creationId xmlns:a16="http://schemas.microsoft.com/office/drawing/2014/main" id="{00000000-0008-0000-0200-000062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379" name="Line 18">
          <a:extLst>
            <a:ext uri="{FF2B5EF4-FFF2-40B4-BE49-F238E27FC236}">
              <a16:creationId xmlns:a16="http://schemas.microsoft.com/office/drawing/2014/main" id="{00000000-0008-0000-0200-000063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380" name="Line 19">
          <a:extLst>
            <a:ext uri="{FF2B5EF4-FFF2-40B4-BE49-F238E27FC236}">
              <a16:creationId xmlns:a16="http://schemas.microsoft.com/office/drawing/2014/main" id="{00000000-0008-0000-0200-000064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381" name="Line 20">
          <a:extLst>
            <a:ext uri="{FF2B5EF4-FFF2-40B4-BE49-F238E27FC236}">
              <a16:creationId xmlns:a16="http://schemas.microsoft.com/office/drawing/2014/main" id="{00000000-0008-0000-0200-000065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382" name="Line 21">
          <a:extLst>
            <a:ext uri="{FF2B5EF4-FFF2-40B4-BE49-F238E27FC236}">
              <a16:creationId xmlns:a16="http://schemas.microsoft.com/office/drawing/2014/main" id="{00000000-0008-0000-0200-000066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383" name="Line 22">
          <a:extLst>
            <a:ext uri="{FF2B5EF4-FFF2-40B4-BE49-F238E27FC236}">
              <a16:creationId xmlns:a16="http://schemas.microsoft.com/office/drawing/2014/main" id="{00000000-0008-0000-0200-000067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384" name="Line 23">
          <a:extLst>
            <a:ext uri="{FF2B5EF4-FFF2-40B4-BE49-F238E27FC236}">
              <a16:creationId xmlns:a16="http://schemas.microsoft.com/office/drawing/2014/main" id="{00000000-0008-0000-0200-000068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385" name="Line 24">
          <a:extLst>
            <a:ext uri="{FF2B5EF4-FFF2-40B4-BE49-F238E27FC236}">
              <a16:creationId xmlns:a16="http://schemas.microsoft.com/office/drawing/2014/main" id="{00000000-0008-0000-0200-000069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386" name="Line 25">
          <a:extLst>
            <a:ext uri="{FF2B5EF4-FFF2-40B4-BE49-F238E27FC236}">
              <a16:creationId xmlns:a16="http://schemas.microsoft.com/office/drawing/2014/main" id="{00000000-0008-0000-0200-00006A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387" name="Line 26">
          <a:extLst>
            <a:ext uri="{FF2B5EF4-FFF2-40B4-BE49-F238E27FC236}">
              <a16:creationId xmlns:a16="http://schemas.microsoft.com/office/drawing/2014/main" id="{00000000-0008-0000-0200-00006B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388" name="Line 27">
          <a:extLst>
            <a:ext uri="{FF2B5EF4-FFF2-40B4-BE49-F238E27FC236}">
              <a16:creationId xmlns:a16="http://schemas.microsoft.com/office/drawing/2014/main" id="{00000000-0008-0000-0200-00006C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389" name="Line 28">
          <a:extLst>
            <a:ext uri="{FF2B5EF4-FFF2-40B4-BE49-F238E27FC236}">
              <a16:creationId xmlns:a16="http://schemas.microsoft.com/office/drawing/2014/main" id="{00000000-0008-0000-0200-00006D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390" name="Line 29">
          <a:extLst>
            <a:ext uri="{FF2B5EF4-FFF2-40B4-BE49-F238E27FC236}">
              <a16:creationId xmlns:a16="http://schemas.microsoft.com/office/drawing/2014/main" id="{00000000-0008-0000-0200-00006E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391" name="Line 30">
          <a:extLst>
            <a:ext uri="{FF2B5EF4-FFF2-40B4-BE49-F238E27FC236}">
              <a16:creationId xmlns:a16="http://schemas.microsoft.com/office/drawing/2014/main" id="{00000000-0008-0000-0200-00006F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392" name="Line 31">
          <a:extLst>
            <a:ext uri="{FF2B5EF4-FFF2-40B4-BE49-F238E27FC236}">
              <a16:creationId xmlns:a16="http://schemas.microsoft.com/office/drawing/2014/main" id="{00000000-0008-0000-0200-000070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393" name="Line 32">
          <a:extLst>
            <a:ext uri="{FF2B5EF4-FFF2-40B4-BE49-F238E27FC236}">
              <a16:creationId xmlns:a16="http://schemas.microsoft.com/office/drawing/2014/main" id="{00000000-0008-0000-0200-000071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394" name="Line 33">
          <a:extLst>
            <a:ext uri="{FF2B5EF4-FFF2-40B4-BE49-F238E27FC236}">
              <a16:creationId xmlns:a16="http://schemas.microsoft.com/office/drawing/2014/main" id="{00000000-0008-0000-0200-000072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395" name="Line 34">
          <a:extLst>
            <a:ext uri="{FF2B5EF4-FFF2-40B4-BE49-F238E27FC236}">
              <a16:creationId xmlns:a16="http://schemas.microsoft.com/office/drawing/2014/main" id="{00000000-0008-0000-0200-000073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396" name="Line 35">
          <a:extLst>
            <a:ext uri="{FF2B5EF4-FFF2-40B4-BE49-F238E27FC236}">
              <a16:creationId xmlns:a16="http://schemas.microsoft.com/office/drawing/2014/main" id="{00000000-0008-0000-0200-000074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397" name="Line 36">
          <a:extLst>
            <a:ext uri="{FF2B5EF4-FFF2-40B4-BE49-F238E27FC236}">
              <a16:creationId xmlns:a16="http://schemas.microsoft.com/office/drawing/2014/main" id="{00000000-0008-0000-0200-000075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398" name="Line 37">
          <a:extLst>
            <a:ext uri="{FF2B5EF4-FFF2-40B4-BE49-F238E27FC236}">
              <a16:creationId xmlns:a16="http://schemas.microsoft.com/office/drawing/2014/main" id="{00000000-0008-0000-0200-000076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399" name="Line 38">
          <a:extLst>
            <a:ext uri="{FF2B5EF4-FFF2-40B4-BE49-F238E27FC236}">
              <a16:creationId xmlns:a16="http://schemas.microsoft.com/office/drawing/2014/main" id="{00000000-0008-0000-0200-000077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400" name="Line 39">
          <a:extLst>
            <a:ext uri="{FF2B5EF4-FFF2-40B4-BE49-F238E27FC236}">
              <a16:creationId xmlns:a16="http://schemas.microsoft.com/office/drawing/2014/main" id="{00000000-0008-0000-0200-00007805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401" name="Line 40">
          <a:extLst>
            <a:ext uri="{FF2B5EF4-FFF2-40B4-BE49-F238E27FC236}">
              <a16:creationId xmlns:a16="http://schemas.microsoft.com/office/drawing/2014/main" id="{00000000-0008-0000-0200-00007905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402" name="Line 41">
          <a:extLst>
            <a:ext uri="{FF2B5EF4-FFF2-40B4-BE49-F238E27FC236}">
              <a16:creationId xmlns:a16="http://schemas.microsoft.com/office/drawing/2014/main" id="{00000000-0008-0000-0200-00007A05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403" name="Rectangle 42">
          <a:extLst>
            <a:ext uri="{FF2B5EF4-FFF2-40B4-BE49-F238E27FC236}">
              <a16:creationId xmlns:a16="http://schemas.microsoft.com/office/drawing/2014/main" id="{00000000-0008-0000-0200-00007B05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04" name="Line 43">
          <a:extLst>
            <a:ext uri="{FF2B5EF4-FFF2-40B4-BE49-F238E27FC236}">
              <a16:creationId xmlns:a16="http://schemas.microsoft.com/office/drawing/2014/main" id="{00000000-0008-0000-0200-00007C05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05" name="Line 44">
          <a:extLst>
            <a:ext uri="{FF2B5EF4-FFF2-40B4-BE49-F238E27FC236}">
              <a16:creationId xmlns:a16="http://schemas.microsoft.com/office/drawing/2014/main" id="{00000000-0008-0000-0200-00007D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406" name="Line 45">
          <a:extLst>
            <a:ext uri="{FF2B5EF4-FFF2-40B4-BE49-F238E27FC236}">
              <a16:creationId xmlns:a16="http://schemas.microsoft.com/office/drawing/2014/main" id="{00000000-0008-0000-0200-00007E05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407" name="Line 46">
          <a:extLst>
            <a:ext uri="{FF2B5EF4-FFF2-40B4-BE49-F238E27FC236}">
              <a16:creationId xmlns:a16="http://schemas.microsoft.com/office/drawing/2014/main" id="{00000000-0008-0000-0200-00007F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408" name="Line 47">
          <a:extLst>
            <a:ext uri="{FF2B5EF4-FFF2-40B4-BE49-F238E27FC236}">
              <a16:creationId xmlns:a16="http://schemas.microsoft.com/office/drawing/2014/main" id="{00000000-0008-0000-0200-00008005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409" name="Line 48">
          <a:extLst>
            <a:ext uri="{FF2B5EF4-FFF2-40B4-BE49-F238E27FC236}">
              <a16:creationId xmlns:a16="http://schemas.microsoft.com/office/drawing/2014/main" id="{00000000-0008-0000-0200-00008105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410" name="Line 49">
          <a:extLst>
            <a:ext uri="{FF2B5EF4-FFF2-40B4-BE49-F238E27FC236}">
              <a16:creationId xmlns:a16="http://schemas.microsoft.com/office/drawing/2014/main" id="{00000000-0008-0000-0200-00008205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411" name="Line 50">
          <a:extLst>
            <a:ext uri="{FF2B5EF4-FFF2-40B4-BE49-F238E27FC236}">
              <a16:creationId xmlns:a16="http://schemas.microsoft.com/office/drawing/2014/main" id="{00000000-0008-0000-0200-00008305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412" name="Line 51">
          <a:extLst>
            <a:ext uri="{FF2B5EF4-FFF2-40B4-BE49-F238E27FC236}">
              <a16:creationId xmlns:a16="http://schemas.microsoft.com/office/drawing/2014/main" id="{00000000-0008-0000-0200-00008405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413" name="Line 52">
          <a:extLst>
            <a:ext uri="{FF2B5EF4-FFF2-40B4-BE49-F238E27FC236}">
              <a16:creationId xmlns:a16="http://schemas.microsoft.com/office/drawing/2014/main" id="{00000000-0008-0000-0200-00008505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414" name="Line 53">
          <a:extLst>
            <a:ext uri="{FF2B5EF4-FFF2-40B4-BE49-F238E27FC236}">
              <a16:creationId xmlns:a16="http://schemas.microsoft.com/office/drawing/2014/main" id="{00000000-0008-0000-0200-00008605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415" name="Line 54">
          <a:extLst>
            <a:ext uri="{FF2B5EF4-FFF2-40B4-BE49-F238E27FC236}">
              <a16:creationId xmlns:a16="http://schemas.microsoft.com/office/drawing/2014/main" id="{00000000-0008-0000-0200-00008705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416" name="Line 55">
          <a:extLst>
            <a:ext uri="{FF2B5EF4-FFF2-40B4-BE49-F238E27FC236}">
              <a16:creationId xmlns:a16="http://schemas.microsoft.com/office/drawing/2014/main" id="{00000000-0008-0000-0200-000088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417" name="Line 56">
          <a:extLst>
            <a:ext uri="{FF2B5EF4-FFF2-40B4-BE49-F238E27FC236}">
              <a16:creationId xmlns:a16="http://schemas.microsoft.com/office/drawing/2014/main" id="{00000000-0008-0000-0200-000089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418" name="Rectangle 57">
          <a:extLst>
            <a:ext uri="{FF2B5EF4-FFF2-40B4-BE49-F238E27FC236}">
              <a16:creationId xmlns:a16="http://schemas.microsoft.com/office/drawing/2014/main" id="{00000000-0008-0000-0200-00008A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419" name="Line 58">
          <a:extLst>
            <a:ext uri="{FF2B5EF4-FFF2-40B4-BE49-F238E27FC236}">
              <a16:creationId xmlns:a16="http://schemas.microsoft.com/office/drawing/2014/main" id="{00000000-0008-0000-0200-00008B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420" name="Line 59">
          <a:extLst>
            <a:ext uri="{FF2B5EF4-FFF2-40B4-BE49-F238E27FC236}">
              <a16:creationId xmlns:a16="http://schemas.microsoft.com/office/drawing/2014/main" id="{00000000-0008-0000-0200-00008C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421" name="Line 60">
          <a:extLst>
            <a:ext uri="{FF2B5EF4-FFF2-40B4-BE49-F238E27FC236}">
              <a16:creationId xmlns:a16="http://schemas.microsoft.com/office/drawing/2014/main" id="{00000000-0008-0000-0200-00008D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422" name="Line 61">
          <a:extLst>
            <a:ext uri="{FF2B5EF4-FFF2-40B4-BE49-F238E27FC236}">
              <a16:creationId xmlns:a16="http://schemas.microsoft.com/office/drawing/2014/main" id="{00000000-0008-0000-0200-00008E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423" name="Line 62">
          <a:extLst>
            <a:ext uri="{FF2B5EF4-FFF2-40B4-BE49-F238E27FC236}">
              <a16:creationId xmlns:a16="http://schemas.microsoft.com/office/drawing/2014/main" id="{00000000-0008-0000-0200-00008F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424" name="Line 63">
          <a:extLst>
            <a:ext uri="{FF2B5EF4-FFF2-40B4-BE49-F238E27FC236}">
              <a16:creationId xmlns:a16="http://schemas.microsoft.com/office/drawing/2014/main" id="{00000000-0008-0000-0200-000090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425" name="Line 64">
          <a:extLst>
            <a:ext uri="{FF2B5EF4-FFF2-40B4-BE49-F238E27FC236}">
              <a16:creationId xmlns:a16="http://schemas.microsoft.com/office/drawing/2014/main" id="{00000000-0008-0000-0200-000091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426" name="Line 65">
          <a:extLst>
            <a:ext uri="{FF2B5EF4-FFF2-40B4-BE49-F238E27FC236}">
              <a16:creationId xmlns:a16="http://schemas.microsoft.com/office/drawing/2014/main" id="{00000000-0008-0000-0200-000092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427" name="Line 66">
          <a:extLst>
            <a:ext uri="{FF2B5EF4-FFF2-40B4-BE49-F238E27FC236}">
              <a16:creationId xmlns:a16="http://schemas.microsoft.com/office/drawing/2014/main" id="{00000000-0008-0000-0200-000093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428" name="Line 67">
          <a:extLst>
            <a:ext uri="{FF2B5EF4-FFF2-40B4-BE49-F238E27FC236}">
              <a16:creationId xmlns:a16="http://schemas.microsoft.com/office/drawing/2014/main" id="{00000000-0008-0000-0200-000094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429" name="Line 68">
          <a:extLst>
            <a:ext uri="{FF2B5EF4-FFF2-40B4-BE49-F238E27FC236}">
              <a16:creationId xmlns:a16="http://schemas.microsoft.com/office/drawing/2014/main" id="{00000000-0008-0000-0200-000095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430" name="Line 1">
          <a:extLst>
            <a:ext uri="{FF2B5EF4-FFF2-40B4-BE49-F238E27FC236}">
              <a16:creationId xmlns:a16="http://schemas.microsoft.com/office/drawing/2014/main" id="{00000000-0008-0000-0200-000096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431" name="Drawing 16">
          <a:extLst>
            <a:ext uri="{FF2B5EF4-FFF2-40B4-BE49-F238E27FC236}">
              <a16:creationId xmlns:a16="http://schemas.microsoft.com/office/drawing/2014/main" id="{00000000-0008-0000-0200-000097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432" name="Line 3">
          <a:extLst>
            <a:ext uri="{FF2B5EF4-FFF2-40B4-BE49-F238E27FC236}">
              <a16:creationId xmlns:a16="http://schemas.microsoft.com/office/drawing/2014/main" id="{00000000-0008-0000-0200-000098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433" name="Line 4">
          <a:extLst>
            <a:ext uri="{FF2B5EF4-FFF2-40B4-BE49-F238E27FC236}">
              <a16:creationId xmlns:a16="http://schemas.microsoft.com/office/drawing/2014/main" id="{00000000-0008-0000-0200-000099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434" name="Line 5">
          <a:extLst>
            <a:ext uri="{FF2B5EF4-FFF2-40B4-BE49-F238E27FC236}">
              <a16:creationId xmlns:a16="http://schemas.microsoft.com/office/drawing/2014/main" id="{00000000-0008-0000-0200-00009A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435" name="Line 6">
          <a:extLst>
            <a:ext uri="{FF2B5EF4-FFF2-40B4-BE49-F238E27FC236}">
              <a16:creationId xmlns:a16="http://schemas.microsoft.com/office/drawing/2014/main" id="{00000000-0008-0000-0200-00009B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436" name="Line 7">
          <a:extLst>
            <a:ext uri="{FF2B5EF4-FFF2-40B4-BE49-F238E27FC236}">
              <a16:creationId xmlns:a16="http://schemas.microsoft.com/office/drawing/2014/main" id="{00000000-0008-0000-0200-00009C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437" name="Line 8">
          <a:extLst>
            <a:ext uri="{FF2B5EF4-FFF2-40B4-BE49-F238E27FC236}">
              <a16:creationId xmlns:a16="http://schemas.microsoft.com/office/drawing/2014/main" id="{00000000-0008-0000-0200-00009D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438" name="Line 9">
          <a:extLst>
            <a:ext uri="{FF2B5EF4-FFF2-40B4-BE49-F238E27FC236}">
              <a16:creationId xmlns:a16="http://schemas.microsoft.com/office/drawing/2014/main" id="{00000000-0008-0000-0200-00009E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439" name="Line 10">
          <a:extLst>
            <a:ext uri="{FF2B5EF4-FFF2-40B4-BE49-F238E27FC236}">
              <a16:creationId xmlns:a16="http://schemas.microsoft.com/office/drawing/2014/main" id="{00000000-0008-0000-0200-00009F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440" name="Line 11">
          <a:extLst>
            <a:ext uri="{FF2B5EF4-FFF2-40B4-BE49-F238E27FC236}">
              <a16:creationId xmlns:a16="http://schemas.microsoft.com/office/drawing/2014/main" id="{00000000-0008-0000-0200-0000A0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441" name="Line 12">
          <a:extLst>
            <a:ext uri="{FF2B5EF4-FFF2-40B4-BE49-F238E27FC236}">
              <a16:creationId xmlns:a16="http://schemas.microsoft.com/office/drawing/2014/main" id="{00000000-0008-0000-0200-0000A1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442" name="Line 13">
          <a:extLst>
            <a:ext uri="{FF2B5EF4-FFF2-40B4-BE49-F238E27FC236}">
              <a16:creationId xmlns:a16="http://schemas.microsoft.com/office/drawing/2014/main" id="{00000000-0008-0000-0200-0000A2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443" name="Line 14">
          <a:extLst>
            <a:ext uri="{FF2B5EF4-FFF2-40B4-BE49-F238E27FC236}">
              <a16:creationId xmlns:a16="http://schemas.microsoft.com/office/drawing/2014/main" id="{00000000-0008-0000-0200-0000A3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444" name="Line 15">
          <a:extLst>
            <a:ext uri="{FF2B5EF4-FFF2-40B4-BE49-F238E27FC236}">
              <a16:creationId xmlns:a16="http://schemas.microsoft.com/office/drawing/2014/main" id="{00000000-0008-0000-0200-0000A4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445" name="Line 16">
          <a:extLst>
            <a:ext uri="{FF2B5EF4-FFF2-40B4-BE49-F238E27FC236}">
              <a16:creationId xmlns:a16="http://schemas.microsoft.com/office/drawing/2014/main" id="{00000000-0008-0000-0200-0000A5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446" name="Line 17">
          <a:extLst>
            <a:ext uri="{FF2B5EF4-FFF2-40B4-BE49-F238E27FC236}">
              <a16:creationId xmlns:a16="http://schemas.microsoft.com/office/drawing/2014/main" id="{00000000-0008-0000-0200-0000A6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447" name="Line 18">
          <a:extLst>
            <a:ext uri="{FF2B5EF4-FFF2-40B4-BE49-F238E27FC236}">
              <a16:creationId xmlns:a16="http://schemas.microsoft.com/office/drawing/2014/main" id="{00000000-0008-0000-0200-0000A7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448" name="Line 19">
          <a:extLst>
            <a:ext uri="{FF2B5EF4-FFF2-40B4-BE49-F238E27FC236}">
              <a16:creationId xmlns:a16="http://schemas.microsoft.com/office/drawing/2014/main" id="{00000000-0008-0000-0200-0000A8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449" name="Line 20">
          <a:extLst>
            <a:ext uri="{FF2B5EF4-FFF2-40B4-BE49-F238E27FC236}">
              <a16:creationId xmlns:a16="http://schemas.microsoft.com/office/drawing/2014/main" id="{00000000-0008-0000-0200-0000A9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450" name="Line 21">
          <a:extLst>
            <a:ext uri="{FF2B5EF4-FFF2-40B4-BE49-F238E27FC236}">
              <a16:creationId xmlns:a16="http://schemas.microsoft.com/office/drawing/2014/main" id="{00000000-0008-0000-0200-0000AA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451" name="Line 22">
          <a:extLst>
            <a:ext uri="{FF2B5EF4-FFF2-40B4-BE49-F238E27FC236}">
              <a16:creationId xmlns:a16="http://schemas.microsoft.com/office/drawing/2014/main" id="{00000000-0008-0000-0200-0000AB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452" name="Line 23">
          <a:extLst>
            <a:ext uri="{FF2B5EF4-FFF2-40B4-BE49-F238E27FC236}">
              <a16:creationId xmlns:a16="http://schemas.microsoft.com/office/drawing/2014/main" id="{00000000-0008-0000-0200-0000AC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453" name="Line 24">
          <a:extLst>
            <a:ext uri="{FF2B5EF4-FFF2-40B4-BE49-F238E27FC236}">
              <a16:creationId xmlns:a16="http://schemas.microsoft.com/office/drawing/2014/main" id="{00000000-0008-0000-0200-0000AD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454" name="Line 25">
          <a:extLst>
            <a:ext uri="{FF2B5EF4-FFF2-40B4-BE49-F238E27FC236}">
              <a16:creationId xmlns:a16="http://schemas.microsoft.com/office/drawing/2014/main" id="{00000000-0008-0000-0200-0000AE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455" name="Line 26">
          <a:extLst>
            <a:ext uri="{FF2B5EF4-FFF2-40B4-BE49-F238E27FC236}">
              <a16:creationId xmlns:a16="http://schemas.microsoft.com/office/drawing/2014/main" id="{00000000-0008-0000-0200-0000AF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456" name="Line 27">
          <a:extLst>
            <a:ext uri="{FF2B5EF4-FFF2-40B4-BE49-F238E27FC236}">
              <a16:creationId xmlns:a16="http://schemas.microsoft.com/office/drawing/2014/main" id="{00000000-0008-0000-0200-0000B0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457" name="Line 28">
          <a:extLst>
            <a:ext uri="{FF2B5EF4-FFF2-40B4-BE49-F238E27FC236}">
              <a16:creationId xmlns:a16="http://schemas.microsoft.com/office/drawing/2014/main" id="{00000000-0008-0000-0200-0000B1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458" name="Line 29">
          <a:extLst>
            <a:ext uri="{FF2B5EF4-FFF2-40B4-BE49-F238E27FC236}">
              <a16:creationId xmlns:a16="http://schemas.microsoft.com/office/drawing/2014/main" id="{00000000-0008-0000-0200-0000B2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459" name="Line 30">
          <a:extLst>
            <a:ext uri="{FF2B5EF4-FFF2-40B4-BE49-F238E27FC236}">
              <a16:creationId xmlns:a16="http://schemas.microsoft.com/office/drawing/2014/main" id="{00000000-0008-0000-0200-0000B3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460" name="Line 31">
          <a:extLst>
            <a:ext uri="{FF2B5EF4-FFF2-40B4-BE49-F238E27FC236}">
              <a16:creationId xmlns:a16="http://schemas.microsoft.com/office/drawing/2014/main" id="{00000000-0008-0000-0200-0000B4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461" name="Line 32">
          <a:extLst>
            <a:ext uri="{FF2B5EF4-FFF2-40B4-BE49-F238E27FC236}">
              <a16:creationId xmlns:a16="http://schemas.microsoft.com/office/drawing/2014/main" id="{00000000-0008-0000-0200-0000B5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462" name="Line 33">
          <a:extLst>
            <a:ext uri="{FF2B5EF4-FFF2-40B4-BE49-F238E27FC236}">
              <a16:creationId xmlns:a16="http://schemas.microsoft.com/office/drawing/2014/main" id="{00000000-0008-0000-0200-0000B6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463" name="Line 34">
          <a:extLst>
            <a:ext uri="{FF2B5EF4-FFF2-40B4-BE49-F238E27FC236}">
              <a16:creationId xmlns:a16="http://schemas.microsoft.com/office/drawing/2014/main" id="{00000000-0008-0000-0200-0000B7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464" name="Line 35">
          <a:extLst>
            <a:ext uri="{FF2B5EF4-FFF2-40B4-BE49-F238E27FC236}">
              <a16:creationId xmlns:a16="http://schemas.microsoft.com/office/drawing/2014/main" id="{00000000-0008-0000-0200-0000B8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465" name="Line 36">
          <a:extLst>
            <a:ext uri="{FF2B5EF4-FFF2-40B4-BE49-F238E27FC236}">
              <a16:creationId xmlns:a16="http://schemas.microsoft.com/office/drawing/2014/main" id="{00000000-0008-0000-0200-0000B9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466" name="Line 37">
          <a:extLst>
            <a:ext uri="{FF2B5EF4-FFF2-40B4-BE49-F238E27FC236}">
              <a16:creationId xmlns:a16="http://schemas.microsoft.com/office/drawing/2014/main" id="{00000000-0008-0000-0200-0000BA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467" name="Line 38">
          <a:extLst>
            <a:ext uri="{FF2B5EF4-FFF2-40B4-BE49-F238E27FC236}">
              <a16:creationId xmlns:a16="http://schemas.microsoft.com/office/drawing/2014/main" id="{00000000-0008-0000-0200-0000BB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468" name="Line 39">
          <a:extLst>
            <a:ext uri="{FF2B5EF4-FFF2-40B4-BE49-F238E27FC236}">
              <a16:creationId xmlns:a16="http://schemas.microsoft.com/office/drawing/2014/main" id="{00000000-0008-0000-0200-0000BC05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469" name="Line 40">
          <a:extLst>
            <a:ext uri="{FF2B5EF4-FFF2-40B4-BE49-F238E27FC236}">
              <a16:creationId xmlns:a16="http://schemas.microsoft.com/office/drawing/2014/main" id="{00000000-0008-0000-0200-0000BD05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470" name="Line 41">
          <a:extLst>
            <a:ext uri="{FF2B5EF4-FFF2-40B4-BE49-F238E27FC236}">
              <a16:creationId xmlns:a16="http://schemas.microsoft.com/office/drawing/2014/main" id="{00000000-0008-0000-0200-0000BE05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471" name="Rectangle 42">
          <a:extLst>
            <a:ext uri="{FF2B5EF4-FFF2-40B4-BE49-F238E27FC236}">
              <a16:creationId xmlns:a16="http://schemas.microsoft.com/office/drawing/2014/main" id="{00000000-0008-0000-0200-0000BF05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72" name="Line 43">
          <a:extLst>
            <a:ext uri="{FF2B5EF4-FFF2-40B4-BE49-F238E27FC236}">
              <a16:creationId xmlns:a16="http://schemas.microsoft.com/office/drawing/2014/main" id="{00000000-0008-0000-0200-0000C005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473" name="Line 44">
          <a:extLst>
            <a:ext uri="{FF2B5EF4-FFF2-40B4-BE49-F238E27FC236}">
              <a16:creationId xmlns:a16="http://schemas.microsoft.com/office/drawing/2014/main" id="{00000000-0008-0000-0200-0000C1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474" name="Line 45">
          <a:extLst>
            <a:ext uri="{FF2B5EF4-FFF2-40B4-BE49-F238E27FC236}">
              <a16:creationId xmlns:a16="http://schemas.microsoft.com/office/drawing/2014/main" id="{00000000-0008-0000-0200-0000C205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475" name="Line 46">
          <a:extLst>
            <a:ext uri="{FF2B5EF4-FFF2-40B4-BE49-F238E27FC236}">
              <a16:creationId xmlns:a16="http://schemas.microsoft.com/office/drawing/2014/main" id="{00000000-0008-0000-0200-0000C305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476" name="Line 47">
          <a:extLst>
            <a:ext uri="{FF2B5EF4-FFF2-40B4-BE49-F238E27FC236}">
              <a16:creationId xmlns:a16="http://schemas.microsoft.com/office/drawing/2014/main" id="{00000000-0008-0000-0200-0000C405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477" name="Line 48">
          <a:extLst>
            <a:ext uri="{FF2B5EF4-FFF2-40B4-BE49-F238E27FC236}">
              <a16:creationId xmlns:a16="http://schemas.microsoft.com/office/drawing/2014/main" id="{00000000-0008-0000-0200-0000C505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478" name="Line 49">
          <a:extLst>
            <a:ext uri="{FF2B5EF4-FFF2-40B4-BE49-F238E27FC236}">
              <a16:creationId xmlns:a16="http://schemas.microsoft.com/office/drawing/2014/main" id="{00000000-0008-0000-0200-0000C605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479" name="Line 50">
          <a:extLst>
            <a:ext uri="{FF2B5EF4-FFF2-40B4-BE49-F238E27FC236}">
              <a16:creationId xmlns:a16="http://schemas.microsoft.com/office/drawing/2014/main" id="{00000000-0008-0000-0200-0000C705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480" name="Line 51">
          <a:extLst>
            <a:ext uri="{FF2B5EF4-FFF2-40B4-BE49-F238E27FC236}">
              <a16:creationId xmlns:a16="http://schemas.microsoft.com/office/drawing/2014/main" id="{00000000-0008-0000-0200-0000C805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481" name="Line 52">
          <a:extLst>
            <a:ext uri="{FF2B5EF4-FFF2-40B4-BE49-F238E27FC236}">
              <a16:creationId xmlns:a16="http://schemas.microsoft.com/office/drawing/2014/main" id="{00000000-0008-0000-0200-0000C905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482" name="Line 53">
          <a:extLst>
            <a:ext uri="{FF2B5EF4-FFF2-40B4-BE49-F238E27FC236}">
              <a16:creationId xmlns:a16="http://schemas.microsoft.com/office/drawing/2014/main" id="{00000000-0008-0000-0200-0000CA05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483" name="Line 54">
          <a:extLst>
            <a:ext uri="{FF2B5EF4-FFF2-40B4-BE49-F238E27FC236}">
              <a16:creationId xmlns:a16="http://schemas.microsoft.com/office/drawing/2014/main" id="{00000000-0008-0000-0200-0000CB05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484" name="Line 55">
          <a:extLst>
            <a:ext uri="{FF2B5EF4-FFF2-40B4-BE49-F238E27FC236}">
              <a16:creationId xmlns:a16="http://schemas.microsoft.com/office/drawing/2014/main" id="{00000000-0008-0000-0200-0000CC05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485" name="Line 56">
          <a:extLst>
            <a:ext uri="{FF2B5EF4-FFF2-40B4-BE49-F238E27FC236}">
              <a16:creationId xmlns:a16="http://schemas.microsoft.com/office/drawing/2014/main" id="{00000000-0008-0000-0200-0000CD05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486" name="Rectangle 57">
          <a:extLst>
            <a:ext uri="{FF2B5EF4-FFF2-40B4-BE49-F238E27FC236}">
              <a16:creationId xmlns:a16="http://schemas.microsoft.com/office/drawing/2014/main" id="{00000000-0008-0000-0200-0000CE05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487" name="Line 58">
          <a:extLst>
            <a:ext uri="{FF2B5EF4-FFF2-40B4-BE49-F238E27FC236}">
              <a16:creationId xmlns:a16="http://schemas.microsoft.com/office/drawing/2014/main" id="{00000000-0008-0000-0200-0000CF05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488" name="Line 59">
          <a:extLst>
            <a:ext uri="{FF2B5EF4-FFF2-40B4-BE49-F238E27FC236}">
              <a16:creationId xmlns:a16="http://schemas.microsoft.com/office/drawing/2014/main" id="{00000000-0008-0000-0200-0000D005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489" name="Line 60">
          <a:extLst>
            <a:ext uri="{FF2B5EF4-FFF2-40B4-BE49-F238E27FC236}">
              <a16:creationId xmlns:a16="http://schemas.microsoft.com/office/drawing/2014/main" id="{00000000-0008-0000-0200-0000D105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490" name="Line 61">
          <a:extLst>
            <a:ext uri="{FF2B5EF4-FFF2-40B4-BE49-F238E27FC236}">
              <a16:creationId xmlns:a16="http://schemas.microsoft.com/office/drawing/2014/main" id="{00000000-0008-0000-0200-0000D2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491" name="Line 62">
          <a:extLst>
            <a:ext uri="{FF2B5EF4-FFF2-40B4-BE49-F238E27FC236}">
              <a16:creationId xmlns:a16="http://schemas.microsoft.com/office/drawing/2014/main" id="{00000000-0008-0000-0200-0000D305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492" name="Line 63">
          <a:extLst>
            <a:ext uri="{FF2B5EF4-FFF2-40B4-BE49-F238E27FC236}">
              <a16:creationId xmlns:a16="http://schemas.microsoft.com/office/drawing/2014/main" id="{00000000-0008-0000-0200-0000D405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493" name="Line 64">
          <a:extLst>
            <a:ext uri="{FF2B5EF4-FFF2-40B4-BE49-F238E27FC236}">
              <a16:creationId xmlns:a16="http://schemas.microsoft.com/office/drawing/2014/main" id="{00000000-0008-0000-0200-0000D505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494" name="Line 65">
          <a:extLst>
            <a:ext uri="{FF2B5EF4-FFF2-40B4-BE49-F238E27FC236}">
              <a16:creationId xmlns:a16="http://schemas.microsoft.com/office/drawing/2014/main" id="{00000000-0008-0000-0200-0000D605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495" name="Line 66">
          <a:extLst>
            <a:ext uri="{FF2B5EF4-FFF2-40B4-BE49-F238E27FC236}">
              <a16:creationId xmlns:a16="http://schemas.microsoft.com/office/drawing/2014/main" id="{00000000-0008-0000-0200-0000D705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496" name="Line 67">
          <a:extLst>
            <a:ext uri="{FF2B5EF4-FFF2-40B4-BE49-F238E27FC236}">
              <a16:creationId xmlns:a16="http://schemas.microsoft.com/office/drawing/2014/main" id="{00000000-0008-0000-0200-0000D805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497" name="Line 68">
          <a:extLst>
            <a:ext uri="{FF2B5EF4-FFF2-40B4-BE49-F238E27FC236}">
              <a16:creationId xmlns:a16="http://schemas.microsoft.com/office/drawing/2014/main" id="{00000000-0008-0000-0200-0000D905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498" name="Line 1">
          <a:extLst>
            <a:ext uri="{FF2B5EF4-FFF2-40B4-BE49-F238E27FC236}">
              <a16:creationId xmlns:a16="http://schemas.microsoft.com/office/drawing/2014/main" id="{00000000-0008-0000-0200-0000DA05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499" name="Drawing 16">
          <a:extLst>
            <a:ext uri="{FF2B5EF4-FFF2-40B4-BE49-F238E27FC236}">
              <a16:creationId xmlns:a16="http://schemas.microsoft.com/office/drawing/2014/main" id="{00000000-0008-0000-0200-0000DB05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500" name="Line 3">
          <a:extLst>
            <a:ext uri="{FF2B5EF4-FFF2-40B4-BE49-F238E27FC236}">
              <a16:creationId xmlns:a16="http://schemas.microsoft.com/office/drawing/2014/main" id="{00000000-0008-0000-0200-0000DC05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501" name="Line 4">
          <a:extLst>
            <a:ext uri="{FF2B5EF4-FFF2-40B4-BE49-F238E27FC236}">
              <a16:creationId xmlns:a16="http://schemas.microsoft.com/office/drawing/2014/main" id="{00000000-0008-0000-0200-0000DD05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502" name="Line 5">
          <a:extLst>
            <a:ext uri="{FF2B5EF4-FFF2-40B4-BE49-F238E27FC236}">
              <a16:creationId xmlns:a16="http://schemas.microsoft.com/office/drawing/2014/main" id="{00000000-0008-0000-0200-0000DE05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503" name="Line 6">
          <a:extLst>
            <a:ext uri="{FF2B5EF4-FFF2-40B4-BE49-F238E27FC236}">
              <a16:creationId xmlns:a16="http://schemas.microsoft.com/office/drawing/2014/main" id="{00000000-0008-0000-0200-0000DF05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504" name="Line 7">
          <a:extLst>
            <a:ext uri="{FF2B5EF4-FFF2-40B4-BE49-F238E27FC236}">
              <a16:creationId xmlns:a16="http://schemas.microsoft.com/office/drawing/2014/main" id="{00000000-0008-0000-0200-0000E005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505" name="Line 8">
          <a:extLst>
            <a:ext uri="{FF2B5EF4-FFF2-40B4-BE49-F238E27FC236}">
              <a16:creationId xmlns:a16="http://schemas.microsoft.com/office/drawing/2014/main" id="{00000000-0008-0000-0200-0000E105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506" name="Line 9">
          <a:extLst>
            <a:ext uri="{FF2B5EF4-FFF2-40B4-BE49-F238E27FC236}">
              <a16:creationId xmlns:a16="http://schemas.microsoft.com/office/drawing/2014/main" id="{00000000-0008-0000-0200-0000E205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507" name="Line 10">
          <a:extLst>
            <a:ext uri="{FF2B5EF4-FFF2-40B4-BE49-F238E27FC236}">
              <a16:creationId xmlns:a16="http://schemas.microsoft.com/office/drawing/2014/main" id="{00000000-0008-0000-0200-0000E305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508" name="Line 11">
          <a:extLst>
            <a:ext uri="{FF2B5EF4-FFF2-40B4-BE49-F238E27FC236}">
              <a16:creationId xmlns:a16="http://schemas.microsoft.com/office/drawing/2014/main" id="{00000000-0008-0000-0200-0000E405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509" name="Line 12">
          <a:extLst>
            <a:ext uri="{FF2B5EF4-FFF2-40B4-BE49-F238E27FC236}">
              <a16:creationId xmlns:a16="http://schemas.microsoft.com/office/drawing/2014/main" id="{00000000-0008-0000-0200-0000E505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510" name="Line 13">
          <a:extLst>
            <a:ext uri="{FF2B5EF4-FFF2-40B4-BE49-F238E27FC236}">
              <a16:creationId xmlns:a16="http://schemas.microsoft.com/office/drawing/2014/main" id="{00000000-0008-0000-0200-0000E605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11" name="Line 14">
          <a:extLst>
            <a:ext uri="{FF2B5EF4-FFF2-40B4-BE49-F238E27FC236}">
              <a16:creationId xmlns:a16="http://schemas.microsoft.com/office/drawing/2014/main" id="{00000000-0008-0000-0200-0000E705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512" name="Line 15">
          <a:extLst>
            <a:ext uri="{FF2B5EF4-FFF2-40B4-BE49-F238E27FC236}">
              <a16:creationId xmlns:a16="http://schemas.microsoft.com/office/drawing/2014/main" id="{00000000-0008-0000-0200-0000E805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13" name="Line 16">
          <a:extLst>
            <a:ext uri="{FF2B5EF4-FFF2-40B4-BE49-F238E27FC236}">
              <a16:creationId xmlns:a16="http://schemas.microsoft.com/office/drawing/2014/main" id="{00000000-0008-0000-0200-0000E905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514" name="Line 17">
          <a:extLst>
            <a:ext uri="{FF2B5EF4-FFF2-40B4-BE49-F238E27FC236}">
              <a16:creationId xmlns:a16="http://schemas.microsoft.com/office/drawing/2014/main" id="{00000000-0008-0000-0200-0000EA05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515" name="Line 18">
          <a:extLst>
            <a:ext uri="{FF2B5EF4-FFF2-40B4-BE49-F238E27FC236}">
              <a16:creationId xmlns:a16="http://schemas.microsoft.com/office/drawing/2014/main" id="{00000000-0008-0000-0200-0000EB05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516" name="Line 19">
          <a:extLst>
            <a:ext uri="{FF2B5EF4-FFF2-40B4-BE49-F238E27FC236}">
              <a16:creationId xmlns:a16="http://schemas.microsoft.com/office/drawing/2014/main" id="{00000000-0008-0000-0200-0000EC05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517" name="Line 20">
          <a:extLst>
            <a:ext uri="{FF2B5EF4-FFF2-40B4-BE49-F238E27FC236}">
              <a16:creationId xmlns:a16="http://schemas.microsoft.com/office/drawing/2014/main" id="{00000000-0008-0000-0200-0000ED05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518" name="Line 21">
          <a:extLst>
            <a:ext uri="{FF2B5EF4-FFF2-40B4-BE49-F238E27FC236}">
              <a16:creationId xmlns:a16="http://schemas.microsoft.com/office/drawing/2014/main" id="{00000000-0008-0000-0200-0000EE05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519" name="Line 22">
          <a:extLst>
            <a:ext uri="{FF2B5EF4-FFF2-40B4-BE49-F238E27FC236}">
              <a16:creationId xmlns:a16="http://schemas.microsoft.com/office/drawing/2014/main" id="{00000000-0008-0000-0200-0000EF05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520" name="Line 23">
          <a:extLst>
            <a:ext uri="{FF2B5EF4-FFF2-40B4-BE49-F238E27FC236}">
              <a16:creationId xmlns:a16="http://schemas.microsoft.com/office/drawing/2014/main" id="{00000000-0008-0000-0200-0000F005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521" name="Line 24">
          <a:extLst>
            <a:ext uri="{FF2B5EF4-FFF2-40B4-BE49-F238E27FC236}">
              <a16:creationId xmlns:a16="http://schemas.microsoft.com/office/drawing/2014/main" id="{00000000-0008-0000-0200-0000F105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522" name="Line 25">
          <a:extLst>
            <a:ext uri="{FF2B5EF4-FFF2-40B4-BE49-F238E27FC236}">
              <a16:creationId xmlns:a16="http://schemas.microsoft.com/office/drawing/2014/main" id="{00000000-0008-0000-0200-0000F205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523" name="Line 26">
          <a:extLst>
            <a:ext uri="{FF2B5EF4-FFF2-40B4-BE49-F238E27FC236}">
              <a16:creationId xmlns:a16="http://schemas.microsoft.com/office/drawing/2014/main" id="{00000000-0008-0000-0200-0000F305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524" name="Line 27">
          <a:extLst>
            <a:ext uri="{FF2B5EF4-FFF2-40B4-BE49-F238E27FC236}">
              <a16:creationId xmlns:a16="http://schemas.microsoft.com/office/drawing/2014/main" id="{00000000-0008-0000-0200-0000F405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525" name="Line 28">
          <a:extLst>
            <a:ext uri="{FF2B5EF4-FFF2-40B4-BE49-F238E27FC236}">
              <a16:creationId xmlns:a16="http://schemas.microsoft.com/office/drawing/2014/main" id="{00000000-0008-0000-0200-0000F505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526" name="Line 29">
          <a:extLst>
            <a:ext uri="{FF2B5EF4-FFF2-40B4-BE49-F238E27FC236}">
              <a16:creationId xmlns:a16="http://schemas.microsoft.com/office/drawing/2014/main" id="{00000000-0008-0000-0200-0000F605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527" name="Line 30">
          <a:extLst>
            <a:ext uri="{FF2B5EF4-FFF2-40B4-BE49-F238E27FC236}">
              <a16:creationId xmlns:a16="http://schemas.microsoft.com/office/drawing/2014/main" id="{00000000-0008-0000-0200-0000F705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528" name="Line 31">
          <a:extLst>
            <a:ext uri="{FF2B5EF4-FFF2-40B4-BE49-F238E27FC236}">
              <a16:creationId xmlns:a16="http://schemas.microsoft.com/office/drawing/2014/main" id="{00000000-0008-0000-0200-0000F805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529" name="Line 32">
          <a:extLst>
            <a:ext uri="{FF2B5EF4-FFF2-40B4-BE49-F238E27FC236}">
              <a16:creationId xmlns:a16="http://schemas.microsoft.com/office/drawing/2014/main" id="{00000000-0008-0000-0200-0000F905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530" name="Line 33">
          <a:extLst>
            <a:ext uri="{FF2B5EF4-FFF2-40B4-BE49-F238E27FC236}">
              <a16:creationId xmlns:a16="http://schemas.microsoft.com/office/drawing/2014/main" id="{00000000-0008-0000-0200-0000FA05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531" name="Line 34">
          <a:extLst>
            <a:ext uri="{FF2B5EF4-FFF2-40B4-BE49-F238E27FC236}">
              <a16:creationId xmlns:a16="http://schemas.microsoft.com/office/drawing/2014/main" id="{00000000-0008-0000-0200-0000FB05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532" name="Line 35">
          <a:extLst>
            <a:ext uri="{FF2B5EF4-FFF2-40B4-BE49-F238E27FC236}">
              <a16:creationId xmlns:a16="http://schemas.microsoft.com/office/drawing/2014/main" id="{00000000-0008-0000-0200-0000FC05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533" name="Line 36">
          <a:extLst>
            <a:ext uri="{FF2B5EF4-FFF2-40B4-BE49-F238E27FC236}">
              <a16:creationId xmlns:a16="http://schemas.microsoft.com/office/drawing/2014/main" id="{00000000-0008-0000-0200-0000FD05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534" name="Line 37">
          <a:extLst>
            <a:ext uri="{FF2B5EF4-FFF2-40B4-BE49-F238E27FC236}">
              <a16:creationId xmlns:a16="http://schemas.microsoft.com/office/drawing/2014/main" id="{00000000-0008-0000-0200-0000FE05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535" name="Line 38">
          <a:extLst>
            <a:ext uri="{FF2B5EF4-FFF2-40B4-BE49-F238E27FC236}">
              <a16:creationId xmlns:a16="http://schemas.microsoft.com/office/drawing/2014/main" id="{00000000-0008-0000-0200-0000FF05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536" name="Line 39">
          <a:extLst>
            <a:ext uri="{FF2B5EF4-FFF2-40B4-BE49-F238E27FC236}">
              <a16:creationId xmlns:a16="http://schemas.microsoft.com/office/drawing/2014/main" id="{00000000-0008-0000-0200-000000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537" name="Line 40">
          <a:extLst>
            <a:ext uri="{FF2B5EF4-FFF2-40B4-BE49-F238E27FC236}">
              <a16:creationId xmlns:a16="http://schemas.microsoft.com/office/drawing/2014/main" id="{00000000-0008-0000-0200-000001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538" name="Line 41">
          <a:extLst>
            <a:ext uri="{FF2B5EF4-FFF2-40B4-BE49-F238E27FC236}">
              <a16:creationId xmlns:a16="http://schemas.microsoft.com/office/drawing/2014/main" id="{00000000-0008-0000-0200-000002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539" name="Rectangle 42">
          <a:extLst>
            <a:ext uri="{FF2B5EF4-FFF2-40B4-BE49-F238E27FC236}">
              <a16:creationId xmlns:a16="http://schemas.microsoft.com/office/drawing/2014/main" id="{00000000-0008-0000-0200-000003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540" name="Line 43">
          <a:extLst>
            <a:ext uri="{FF2B5EF4-FFF2-40B4-BE49-F238E27FC236}">
              <a16:creationId xmlns:a16="http://schemas.microsoft.com/office/drawing/2014/main" id="{00000000-0008-0000-0200-000004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541" name="Line 44">
          <a:extLst>
            <a:ext uri="{FF2B5EF4-FFF2-40B4-BE49-F238E27FC236}">
              <a16:creationId xmlns:a16="http://schemas.microsoft.com/office/drawing/2014/main" id="{00000000-0008-0000-0200-000005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542" name="Line 45">
          <a:extLst>
            <a:ext uri="{FF2B5EF4-FFF2-40B4-BE49-F238E27FC236}">
              <a16:creationId xmlns:a16="http://schemas.microsoft.com/office/drawing/2014/main" id="{00000000-0008-0000-0200-000006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543" name="Line 46">
          <a:extLst>
            <a:ext uri="{FF2B5EF4-FFF2-40B4-BE49-F238E27FC236}">
              <a16:creationId xmlns:a16="http://schemas.microsoft.com/office/drawing/2014/main" id="{00000000-0008-0000-0200-000007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544" name="Line 47">
          <a:extLst>
            <a:ext uri="{FF2B5EF4-FFF2-40B4-BE49-F238E27FC236}">
              <a16:creationId xmlns:a16="http://schemas.microsoft.com/office/drawing/2014/main" id="{00000000-0008-0000-0200-000008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545" name="Line 48">
          <a:extLst>
            <a:ext uri="{FF2B5EF4-FFF2-40B4-BE49-F238E27FC236}">
              <a16:creationId xmlns:a16="http://schemas.microsoft.com/office/drawing/2014/main" id="{00000000-0008-0000-0200-000009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546" name="Line 49">
          <a:extLst>
            <a:ext uri="{FF2B5EF4-FFF2-40B4-BE49-F238E27FC236}">
              <a16:creationId xmlns:a16="http://schemas.microsoft.com/office/drawing/2014/main" id="{00000000-0008-0000-0200-00000A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547" name="Line 50">
          <a:extLst>
            <a:ext uri="{FF2B5EF4-FFF2-40B4-BE49-F238E27FC236}">
              <a16:creationId xmlns:a16="http://schemas.microsoft.com/office/drawing/2014/main" id="{00000000-0008-0000-0200-00000B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548" name="Line 51">
          <a:extLst>
            <a:ext uri="{FF2B5EF4-FFF2-40B4-BE49-F238E27FC236}">
              <a16:creationId xmlns:a16="http://schemas.microsoft.com/office/drawing/2014/main" id="{00000000-0008-0000-0200-00000C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549" name="Line 52">
          <a:extLst>
            <a:ext uri="{FF2B5EF4-FFF2-40B4-BE49-F238E27FC236}">
              <a16:creationId xmlns:a16="http://schemas.microsoft.com/office/drawing/2014/main" id="{00000000-0008-0000-0200-00000D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550" name="Line 53">
          <a:extLst>
            <a:ext uri="{FF2B5EF4-FFF2-40B4-BE49-F238E27FC236}">
              <a16:creationId xmlns:a16="http://schemas.microsoft.com/office/drawing/2014/main" id="{00000000-0008-0000-0200-00000E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551" name="Line 54">
          <a:extLst>
            <a:ext uri="{FF2B5EF4-FFF2-40B4-BE49-F238E27FC236}">
              <a16:creationId xmlns:a16="http://schemas.microsoft.com/office/drawing/2014/main" id="{00000000-0008-0000-0200-00000F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552" name="Line 55">
          <a:extLst>
            <a:ext uri="{FF2B5EF4-FFF2-40B4-BE49-F238E27FC236}">
              <a16:creationId xmlns:a16="http://schemas.microsoft.com/office/drawing/2014/main" id="{00000000-0008-0000-0200-000010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553" name="Line 56">
          <a:extLst>
            <a:ext uri="{FF2B5EF4-FFF2-40B4-BE49-F238E27FC236}">
              <a16:creationId xmlns:a16="http://schemas.microsoft.com/office/drawing/2014/main" id="{00000000-0008-0000-0200-000011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554" name="Rectangle 57">
          <a:extLst>
            <a:ext uri="{FF2B5EF4-FFF2-40B4-BE49-F238E27FC236}">
              <a16:creationId xmlns:a16="http://schemas.microsoft.com/office/drawing/2014/main" id="{00000000-0008-0000-0200-000012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555" name="Line 58">
          <a:extLst>
            <a:ext uri="{FF2B5EF4-FFF2-40B4-BE49-F238E27FC236}">
              <a16:creationId xmlns:a16="http://schemas.microsoft.com/office/drawing/2014/main" id="{00000000-0008-0000-0200-000013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556" name="Line 59">
          <a:extLst>
            <a:ext uri="{FF2B5EF4-FFF2-40B4-BE49-F238E27FC236}">
              <a16:creationId xmlns:a16="http://schemas.microsoft.com/office/drawing/2014/main" id="{00000000-0008-0000-0200-000014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557" name="Line 60">
          <a:extLst>
            <a:ext uri="{FF2B5EF4-FFF2-40B4-BE49-F238E27FC236}">
              <a16:creationId xmlns:a16="http://schemas.microsoft.com/office/drawing/2014/main" id="{00000000-0008-0000-0200-000015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558" name="Line 61">
          <a:extLst>
            <a:ext uri="{FF2B5EF4-FFF2-40B4-BE49-F238E27FC236}">
              <a16:creationId xmlns:a16="http://schemas.microsoft.com/office/drawing/2014/main" id="{00000000-0008-0000-0200-000016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559" name="Line 62">
          <a:extLst>
            <a:ext uri="{FF2B5EF4-FFF2-40B4-BE49-F238E27FC236}">
              <a16:creationId xmlns:a16="http://schemas.microsoft.com/office/drawing/2014/main" id="{00000000-0008-0000-0200-000017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560" name="Line 63">
          <a:extLst>
            <a:ext uri="{FF2B5EF4-FFF2-40B4-BE49-F238E27FC236}">
              <a16:creationId xmlns:a16="http://schemas.microsoft.com/office/drawing/2014/main" id="{00000000-0008-0000-0200-000018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561" name="Line 64">
          <a:extLst>
            <a:ext uri="{FF2B5EF4-FFF2-40B4-BE49-F238E27FC236}">
              <a16:creationId xmlns:a16="http://schemas.microsoft.com/office/drawing/2014/main" id="{00000000-0008-0000-0200-000019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562" name="Line 65">
          <a:extLst>
            <a:ext uri="{FF2B5EF4-FFF2-40B4-BE49-F238E27FC236}">
              <a16:creationId xmlns:a16="http://schemas.microsoft.com/office/drawing/2014/main" id="{00000000-0008-0000-0200-00001A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563" name="Line 66">
          <a:extLst>
            <a:ext uri="{FF2B5EF4-FFF2-40B4-BE49-F238E27FC236}">
              <a16:creationId xmlns:a16="http://schemas.microsoft.com/office/drawing/2014/main" id="{00000000-0008-0000-0200-00001B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564" name="Line 67">
          <a:extLst>
            <a:ext uri="{FF2B5EF4-FFF2-40B4-BE49-F238E27FC236}">
              <a16:creationId xmlns:a16="http://schemas.microsoft.com/office/drawing/2014/main" id="{00000000-0008-0000-0200-00001C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565" name="Line 68">
          <a:extLst>
            <a:ext uri="{FF2B5EF4-FFF2-40B4-BE49-F238E27FC236}">
              <a16:creationId xmlns:a16="http://schemas.microsoft.com/office/drawing/2014/main" id="{00000000-0008-0000-0200-00001D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566" name="Line 1">
          <a:extLst>
            <a:ext uri="{FF2B5EF4-FFF2-40B4-BE49-F238E27FC236}">
              <a16:creationId xmlns:a16="http://schemas.microsoft.com/office/drawing/2014/main" id="{00000000-0008-0000-0200-00001E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567" name="Drawing 16">
          <a:extLst>
            <a:ext uri="{FF2B5EF4-FFF2-40B4-BE49-F238E27FC236}">
              <a16:creationId xmlns:a16="http://schemas.microsoft.com/office/drawing/2014/main" id="{00000000-0008-0000-0200-00001F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568" name="Line 3">
          <a:extLst>
            <a:ext uri="{FF2B5EF4-FFF2-40B4-BE49-F238E27FC236}">
              <a16:creationId xmlns:a16="http://schemas.microsoft.com/office/drawing/2014/main" id="{00000000-0008-0000-0200-000020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569" name="Line 4">
          <a:extLst>
            <a:ext uri="{FF2B5EF4-FFF2-40B4-BE49-F238E27FC236}">
              <a16:creationId xmlns:a16="http://schemas.microsoft.com/office/drawing/2014/main" id="{00000000-0008-0000-0200-000021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570" name="Line 5">
          <a:extLst>
            <a:ext uri="{FF2B5EF4-FFF2-40B4-BE49-F238E27FC236}">
              <a16:creationId xmlns:a16="http://schemas.microsoft.com/office/drawing/2014/main" id="{00000000-0008-0000-0200-000022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571" name="Line 6">
          <a:extLst>
            <a:ext uri="{FF2B5EF4-FFF2-40B4-BE49-F238E27FC236}">
              <a16:creationId xmlns:a16="http://schemas.microsoft.com/office/drawing/2014/main" id="{00000000-0008-0000-0200-000023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572" name="Line 7">
          <a:extLst>
            <a:ext uri="{FF2B5EF4-FFF2-40B4-BE49-F238E27FC236}">
              <a16:creationId xmlns:a16="http://schemas.microsoft.com/office/drawing/2014/main" id="{00000000-0008-0000-0200-000024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573" name="Line 8">
          <a:extLst>
            <a:ext uri="{FF2B5EF4-FFF2-40B4-BE49-F238E27FC236}">
              <a16:creationId xmlns:a16="http://schemas.microsoft.com/office/drawing/2014/main" id="{00000000-0008-0000-0200-000025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574" name="Line 9">
          <a:extLst>
            <a:ext uri="{FF2B5EF4-FFF2-40B4-BE49-F238E27FC236}">
              <a16:creationId xmlns:a16="http://schemas.microsoft.com/office/drawing/2014/main" id="{00000000-0008-0000-0200-000026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575" name="Line 10">
          <a:extLst>
            <a:ext uri="{FF2B5EF4-FFF2-40B4-BE49-F238E27FC236}">
              <a16:creationId xmlns:a16="http://schemas.microsoft.com/office/drawing/2014/main" id="{00000000-0008-0000-0200-000027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576" name="Line 11">
          <a:extLst>
            <a:ext uri="{FF2B5EF4-FFF2-40B4-BE49-F238E27FC236}">
              <a16:creationId xmlns:a16="http://schemas.microsoft.com/office/drawing/2014/main" id="{00000000-0008-0000-0200-000028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577" name="Line 12">
          <a:extLst>
            <a:ext uri="{FF2B5EF4-FFF2-40B4-BE49-F238E27FC236}">
              <a16:creationId xmlns:a16="http://schemas.microsoft.com/office/drawing/2014/main" id="{00000000-0008-0000-0200-000029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578" name="Line 13">
          <a:extLst>
            <a:ext uri="{FF2B5EF4-FFF2-40B4-BE49-F238E27FC236}">
              <a16:creationId xmlns:a16="http://schemas.microsoft.com/office/drawing/2014/main" id="{00000000-0008-0000-0200-00002A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79" name="Line 14">
          <a:extLst>
            <a:ext uri="{FF2B5EF4-FFF2-40B4-BE49-F238E27FC236}">
              <a16:creationId xmlns:a16="http://schemas.microsoft.com/office/drawing/2014/main" id="{00000000-0008-0000-0200-00002B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580" name="Line 15">
          <a:extLst>
            <a:ext uri="{FF2B5EF4-FFF2-40B4-BE49-F238E27FC236}">
              <a16:creationId xmlns:a16="http://schemas.microsoft.com/office/drawing/2014/main" id="{00000000-0008-0000-0200-00002C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581" name="Line 16">
          <a:extLst>
            <a:ext uri="{FF2B5EF4-FFF2-40B4-BE49-F238E27FC236}">
              <a16:creationId xmlns:a16="http://schemas.microsoft.com/office/drawing/2014/main" id="{00000000-0008-0000-0200-00002D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582" name="Line 17">
          <a:extLst>
            <a:ext uri="{FF2B5EF4-FFF2-40B4-BE49-F238E27FC236}">
              <a16:creationId xmlns:a16="http://schemas.microsoft.com/office/drawing/2014/main" id="{00000000-0008-0000-0200-00002E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583" name="Line 18">
          <a:extLst>
            <a:ext uri="{FF2B5EF4-FFF2-40B4-BE49-F238E27FC236}">
              <a16:creationId xmlns:a16="http://schemas.microsoft.com/office/drawing/2014/main" id="{00000000-0008-0000-0200-00002F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584" name="Line 19">
          <a:extLst>
            <a:ext uri="{FF2B5EF4-FFF2-40B4-BE49-F238E27FC236}">
              <a16:creationId xmlns:a16="http://schemas.microsoft.com/office/drawing/2014/main" id="{00000000-0008-0000-0200-000030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585" name="Line 20">
          <a:extLst>
            <a:ext uri="{FF2B5EF4-FFF2-40B4-BE49-F238E27FC236}">
              <a16:creationId xmlns:a16="http://schemas.microsoft.com/office/drawing/2014/main" id="{00000000-0008-0000-0200-000031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586" name="Line 21">
          <a:extLst>
            <a:ext uri="{FF2B5EF4-FFF2-40B4-BE49-F238E27FC236}">
              <a16:creationId xmlns:a16="http://schemas.microsoft.com/office/drawing/2014/main" id="{00000000-0008-0000-0200-000032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587" name="Line 22">
          <a:extLst>
            <a:ext uri="{FF2B5EF4-FFF2-40B4-BE49-F238E27FC236}">
              <a16:creationId xmlns:a16="http://schemas.microsoft.com/office/drawing/2014/main" id="{00000000-0008-0000-0200-000033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588" name="Line 23">
          <a:extLst>
            <a:ext uri="{FF2B5EF4-FFF2-40B4-BE49-F238E27FC236}">
              <a16:creationId xmlns:a16="http://schemas.microsoft.com/office/drawing/2014/main" id="{00000000-0008-0000-0200-00003406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589" name="Line 24">
          <a:extLst>
            <a:ext uri="{FF2B5EF4-FFF2-40B4-BE49-F238E27FC236}">
              <a16:creationId xmlns:a16="http://schemas.microsoft.com/office/drawing/2014/main" id="{00000000-0008-0000-0200-00003506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590" name="Line 25">
          <a:extLst>
            <a:ext uri="{FF2B5EF4-FFF2-40B4-BE49-F238E27FC236}">
              <a16:creationId xmlns:a16="http://schemas.microsoft.com/office/drawing/2014/main" id="{00000000-0008-0000-0200-00003606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591" name="Line 26">
          <a:extLst>
            <a:ext uri="{FF2B5EF4-FFF2-40B4-BE49-F238E27FC236}">
              <a16:creationId xmlns:a16="http://schemas.microsoft.com/office/drawing/2014/main" id="{00000000-0008-0000-0200-00003706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592" name="Line 27">
          <a:extLst>
            <a:ext uri="{FF2B5EF4-FFF2-40B4-BE49-F238E27FC236}">
              <a16:creationId xmlns:a16="http://schemas.microsoft.com/office/drawing/2014/main" id="{00000000-0008-0000-0200-00003806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593" name="Line 28">
          <a:extLst>
            <a:ext uri="{FF2B5EF4-FFF2-40B4-BE49-F238E27FC236}">
              <a16:creationId xmlns:a16="http://schemas.microsoft.com/office/drawing/2014/main" id="{00000000-0008-0000-0200-00003906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594" name="Line 29">
          <a:extLst>
            <a:ext uri="{FF2B5EF4-FFF2-40B4-BE49-F238E27FC236}">
              <a16:creationId xmlns:a16="http://schemas.microsoft.com/office/drawing/2014/main" id="{00000000-0008-0000-0200-00003A06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595" name="Line 30">
          <a:extLst>
            <a:ext uri="{FF2B5EF4-FFF2-40B4-BE49-F238E27FC236}">
              <a16:creationId xmlns:a16="http://schemas.microsoft.com/office/drawing/2014/main" id="{00000000-0008-0000-0200-00003B06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596" name="Line 31">
          <a:extLst>
            <a:ext uri="{FF2B5EF4-FFF2-40B4-BE49-F238E27FC236}">
              <a16:creationId xmlns:a16="http://schemas.microsoft.com/office/drawing/2014/main" id="{00000000-0008-0000-0200-00003C06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597" name="Line 32">
          <a:extLst>
            <a:ext uri="{FF2B5EF4-FFF2-40B4-BE49-F238E27FC236}">
              <a16:creationId xmlns:a16="http://schemas.microsoft.com/office/drawing/2014/main" id="{00000000-0008-0000-0200-00003D06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598" name="Line 33">
          <a:extLst>
            <a:ext uri="{FF2B5EF4-FFF2-40B4-BE49-F238E27FC236}">
              <a16:creationId xmlns:a16="http://schemas.microsoft.com/office/drawing/2014/main" id="{00000000-0008-0000-0200-00003E06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599" name="Line 34">
          <a:extLst>
            <a:ext uri="{FF2B5EF4-FFF2-40B4-BE49-F238E27FC236}">
              <a16:creationId xmlns:a16="http://schemas.microsoft.com/office/drawing/2014/main" id="{00000000-0008-0000-0200-00003F06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600" name="Line 35">
          <a:extLst>
            <a:ext uri="{FF2B5EF4-FFF2-40B4-BE49-F238E27FC236}">
              <a16:creationId xmlns:a16="http://schemas.microsoft.com/office/drawing/2014/main" id="{00000000-0008-0000-0200-00004006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601" name="Line 36">
          <a:extLst>
            <a:ext uri="{FF2B5EF4-FFF2-40B4-BE49-F238E27FC236}">
              <a16:creationId xmlns:a16="http://schemas.microsoft.com/office/drawing/2014/main" id="{00000000-0008-0000-0200-00004106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602" name="Line 37">
          <a:extLst>
            <a:ext uri="{FF2B5EF4-FFF2-40B4-BE49-F238E27FC236}">
              <a16:creationId xmlns:a16="http://schemas.microsoft.com/office/drawing/2014/main" id="{00000000-0008-0000-0200-00004206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603" name="Line 38">
          <a:extLst>
            <a:ext uri="{FF2B5EF4-FFF2-40B4-BE49-F238E27FC236}">
              <a16:creationId xmlns:a16="http://schemas.microsoft.com/office/drawing/2014/main" id="{00000000-0008-0000-0200-00004306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604" name="Line 39">
          <a:extLst>
            <a:ext uri="{FF2B5EF4-FFF2-40B4-BE49-F238E27FC236}">
              <a16:creationId xmlns:a16="http://schemas.microsoft.com/office/drawing/2014/main" id="{00000000-0008-0000-0200-000044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605" name="Line 40">
          <a:extLst>
            <a:ext uri="{FF2B5EF4-FFF2-40B4-BE49-F238E27FC236}">
              <a16:creationId xmlns:a16="http://schemas.microsoft.com/office/drawing/2014/main" id="{00000000-0008-0000-0200-000045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606" name="Line 41">
          <a:extLst>
            <a:ext uri="{FF2B5EF4-FFF2-40B4-BE49-F238E27FC236}">
              <a16:creationId xmlns:a16="http://schemas.microsoft.com/office/drawing/2014/main" id="{00000000-0008-0000-0200-000046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607" name="Rectangle 42">
          <a:extLst>
            <a:ext uri="{FF2B5EF4-FFF2-40B4-BE49-F238E27FC236}">
              <a16:creationId xmlns:a16="http://schemas.microsoft.com/office/drawing/2014/main" id="{00000000-0008-0000-0200-000047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08" name="Line 43">
          <a:extLst>
            <a:ext uri="{FF2B5EF4-FFF2-40B4-BE49-F238E27FC236}">
              <a16:creationId xmlns:a16="http://schemas.microsoft.com/office/drawing/2014/main" id="{00000000-0008-0000-0200-000048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09" name="Line 44">
          <a:extLst>
            <a:ext uri="{FF2B5EF4-FFF2-40B4-BE49-F238E27FC236}">
              <a16:creationId xmlns:a16="http://schemas.microsoft.com/office/drawing/2014/main" id="{00000000-0008-0000-0200-000049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610" name="Line 45">
          <a:extLst>
            <a:ext uri="{FF2B5EF4-FFF2-40B4-BE49-F238E27FC236}">
              <a16:creationId xmlns:a16="http://schemas.microsoft.com/office/drawing/2014/main" id="{00000000-0008-0000-0200-00004A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611" name="Line 46">
          <a:extLst>
            <a:ext uri="{FF2B5EF4-FFF2-40B4-BE49-F238E27FC236}">
              <a16:creationId xmlns:a16="http://schemas.microsoft.com/office/drawing/2014/main" id="{00000000-0008-0000-0200-00004B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612" name="Line 47">
          <a:extLst>
            <a:ext uri="{FF2B5EF4-FFF2-40B4-BE49-F238E27FC236}">
              <a16:creationId xmlns:a16="http://schemas.microsoft.com/office/drawing/2014/main" id="{00000000-0008-0000-0200-00004C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613" name="Line 48">
          <a:extLst>
            <a:ext uri="{FF2B5EF4-FFF2-40B4-BE49-F238E27FC236}">
              <a16:creationId xmlns:a16="http://schemas.microsoft.com/office/drawing/2014/main" id="{00000000-0008-0000-0200-00004D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614" name="Line 49">
          <a:extLst>
            <a:ext uri="{FF2B5EF4-FFF2-40B4-BE49-F238E27FC236}">
              <a16:creationId xmlns:a16="http://schemas.microsoft.com/office/drawing/2014/main" id="{00000000-0008-0000-0200-00004E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615" name="Line 50">
          <a:extLst>
            <a:ext uri="{FF2B5EF4-FFF2-40B4-BE49-F238E27FC236}">
              <a16:creationId xmlns:a16="http://schemas.microsoft.com/office/drawing/2014/main" id="{00000000-0008-0000-0200-00004F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616" name="Line 51">
          <a:extLst>
            <a:ext uri="{FF2B5EF4-FFF2-40B4-BE49-F238E27FC236}">
              <a16:creationId xmlns:a16="http://schemas.microsoft.com/office/drawing/2014/main" id="{00000000-0008-0000-0200-000050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617" name="Line 52">
          <a:extLst>
            <a:ext uri="{FF2B5EF4-FFF2-40B4-BE49-F238E27FC236}">
              <a16:creationId xmlns:a16="http://schemas.microsoft.com/office/drawing/2014/main" id="{00000000-0008-0000-0200-000051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618" name="Line 53">
          <a:extLst>
            <a:ext uri="{FF2B5EF4-FFF2-40B4-BE49-F238E27FC236}">
              <a16:creationId xmlns:a16="http://schemas.microsoft.com/office/drawing/2014/main" id="{00000000-0008-0000-0200-000052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619" name="Line 54">
          <a:extLst>
            <a:ext uri="{FF2B5EF4-FFF2-40B4-BE49-F238E27FC236}">
              <a16:creationId xmlns:a16="http://schemas.microsoft.com/office/drawing/2014/main" id="{00000000-0008-0000-0200-000053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620" name="Line 55">
          <a:extLst>
            <a:ext uri="{FF2B5EF4-FFF2-40B4-BE49-F238E27FC236}">
              <a16:creationId xmlns:a16="http://schemas.microsoft.com/office/drawing/2014/main" id="{00000000-0008-0000-0200-000054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621" name="Line 56">
          <a:extLst>
            <a:ext uri="{FF2B5EF4-FFF2-40B4-BE49-F238E27FC236}">
              <a16:creationId xmlns:a16="http://schemas.microsoft.com/office/drawing/2014/main" id="{00000000-0008-0000-0200-000055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622" name="Rectangle 57">
          <a:extLst>
            <a:ext uri="{FF2B5EF4-FFF2-40B4-BE49-F238E27FC236}">
              <a16:creationId xmlns:a16="http://schemas.microsoft.com/office/drawing/2014/main" id="{00000000-0008-0000-0200-000056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623" name="Line 58">
          <a:extLst>
            <a:ext uri="{FF2B5EF4-FFF2-40B4-BE49-F238E27FC236}">
              <a16:creationId xmlns:a16="http://schemas.microsoft.com/office/drawing/2014/main" id="{00000000-0008-0000-0200-000057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624" name="Line 59">
          <a:extLst>
            <a:ext uri="{FF2B5EF4-FFF2-40B4-BE49-F238E27FC236}">
              <a16:creationId xmlns:a16="http://schemas.microsoft.com/office/drawing/2014/main" id="{00000000-0008-0000-0200-000058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625" name="Line 60">
          <a:extLst>
            <a:ext uri="{FF2B5EF4-FFF2-40B4-BE49-F238E27FC236}">
              <a16:creationId xmlns:a16="http://schemas.microsoft.com/office/drawing/2014/main" id="{00000000-0008-0000-0200-000059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626" name="Line 61">
          <a:extLst>
            <a:ext uri="{FF2B5EF4-FFF2-40B4-BE49-F238E27FC236}">
              <a16:creationId xmlns:a16="http://schemas.microsoft.com/office/drawing/2014/main" id="{00000000-0008-0000-0200-00005A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627" name="Line 62">
          <a:extLst>
            <a:ext uri="{FF2B5EF4-FFF2-40B4-BE49-F238E27FC236}">
              <a16:creationId xmlns:a16="http://schemas.microsoft.com/office/drawing/2014/main" id="{00000000-0008-0000-0200-00005B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628" name="Line 63">
          <a:extLst>
            <a:ext uri="{FF2B5EF4-FFF2-40B4-BE49-F238E27FC236}">
              <a16:creationId xmlns:a16="http://schemas.microsoft.com/office/drawing/2014/main" id="{00000000-0008-0000-0200-00005C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629" name="Line 64">
          <a:extLst>
            <a:ext uri="{FF2B5EF4-FFF2-40B4-BE49-F238E27FC236}">
              <a16:creationId xmlns:a16="http://schemas.microsoft.com/office/drawing/2014/main" id="{00000000-0008-0000-0200-00005D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630" name="Line 65">
          <a:extLst>
            <a:ext uri="{FF2B5EF4-FFF2-40B4-BE49-F238E27FC236}">
              <a16:creationId xmlns:a16="http://schemas.microsoft.com/office/drawing/2014/main" id="{00000000-0008-0000-0200-00005E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631" name="Line 66">
          <a:extLst>
            <a:ext uri="{FF2B5EF4-FFF2-40B4-BE49-F238E27FC236}">
              <a16:creationId xmlns:a16="http://schemas.microsoft.com/office/drawing/2014/main" id="{00000000-0008-0000-0200-00005F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632" name="Line 67">
          <a:extLst>
            <a:ext uri="{FF2B5EF4-FFF2-40B4-BE49-F238E27FC236}">
              <a16:creationId xmlns:a16="http://schemas.microsoft.com/office/drawing/2014/main" id="{00000000-0008-0000-0200-000060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633" name="Line 68">
          <a:extLst>
            <a:ext uri="{FF2B5EF4-FFF2-40B4-BE49-F238E27FC236}">
              <a16:creationId xmlns:a16="http://schemas.microsoft.com/office/drawing/2014/main" id="{00000000-0008-0000-0200-000061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634" name="Line 1">
          <a:extLst>
            <a:ext uri="{FF2B5EF4-FFF2-40B4-BE49-F238E27FC236}">
              <a16:creationId xmlns:a16="http://schemas.microsoft.com/office/drawing/2014/main" id="{00000000-0008-0000-0200-000062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635" name="Drawing 16">
          <a:extLst>
            <a:ext uri="{FF2B5EF4-FFF2-40B4-BE49-F238E27FC236}">
              <a16:creationId xmlns:a16="http://schemas.microsoft.com/office/drawing/2014/main" id="{00000000-0008-0000-0200-000063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636" name="Line 3">
          <a:extLst>
            <a:ext uri="{FF2B5EF4-FFF2-40B4-BE49-F238E27FC236}">
              <a16:creationId xmlns:a16="http://schemas.microsoft.com/office/drawing/2014/main" id="{00000000-0008-0000-0200-000064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637" name="Line 4">
          <a:extLst>
            <a:ext uri="{FF2B5EF4-FFF2-40B4-BE49-F238E27FC236}">
              <a16:creationId xmlns:a16="http://schemas.microsoft.com/office/drawing/2014/main" id="{00000000-0008-0000-0200-000065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638" name="Line 5">
          <a:extLst>
            <a:ext uri="{FF2B5EF4-FFF2-40B4-BE49-F238E27FC236}">
              <a16:creationId xmlns:a16="http://schemas.microsoft.com/office/drawing/2014/main" id="{00000000-0008-0000-0200-000066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639" name="Line 6">
          <a:extLst>
            <a:ext uri="{FF2B5EF4-FFF2-40B4-BE49-F238E27FC236}">
              <a16:creationId xmlns:a16="http://schemas.microsoft.com/office/drawing/2014/main" id="{00000000-0008-0000-0200-000067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640" name="Line 7">
          <a:extLst>
            <a:ext uri="{FF2B5EF4-FFF2-40B4-BE49-F238E27FC236}">
              <a16:creationId xmlns:a16="http://schemas.microsoft.com/office/drawing/2014/main" id="{00000000-0008-0000-0200-000068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641" name="Line 8">
          <a:extLst>
            <a:ext uri="{FF2B5EF4-FFF2-40B4-BE49-F238E27FC236}">
              <a16:creationId xmlns:a16="http://schemas.microsoft.com/office/drawing/2014/main" id="{00000000-0008-0000-0200-000069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642" name="Line 9">
          <a:extLst>
            <a:ext uri="{FF2B5EF4-FFF2-40B4-BE49-F238E27FC236}">
              <a16:creationId xmlns:a16="http://schemas.microsoft.com/office/drawing/2014/main" id="{00000000-0008-0000-0200-00006A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643" name="Line 10">
          <a:extLst>
            <a:ext uri="{FF2B5EF4-FFF2-40B4-BE49-F238E27FC236}">
              <a16:creationId xmlns:a16="http://schemas.microsoft.com/office/drawing/2014/main" id="{00000000-0008-0000-0200-00006B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644" name="Line 11">
          <a:extLst>
            <a:ext uri="{FF2B5EF4-FFF2-40B4-BE49-F238E27FC236}">
              <a16:creationId xmlns:a16="http://schemas.microsoft.com/office/drawing/2014/main" id="{00000000-0008-0000-0200-00006C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645" name="Line 12">
          <a:extLst>
            <a:ext uri="{FF2B5EF4-FFF2-40B4-BE49-F238E27FC236}">
              <a16:creationId xmlns:a16="http://schemas.microsoft.com/office/drawing/2014/main" id="{00000000-0008-0000-0200-00006D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646" name="Line 13">
          <a:extLst>
            <a:ext uri="{FF2B5EF4-FFF2-40B4-BE49-F238E27FC236}">
              <a16:creationId xmlns:a16="http://schemas.microsoft.com/office/drawing/2014/main" id="{00000000-0008-0000-0200-00006E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647" name="Line 14">
          <a:extLst>
            <a:ext uri="{FF2B5EF4-FFF2-40B4-BE49-F238E27FC236}">
              <a16:creationId xmlns:a16="http://schemas.microsoft.com/office/drawing/2014/main" id="{00000000-0008-0000-0200-00006F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648" name="Line 15">
          <a:extLst>
            <a:ext uri="{FF2B5EF4-FFF2-40B4-BE49-F238E27FC236}">
              <a16:creationId xmlns:a16="http://schemas.microsoft.com/office/drawing/2014/main" id="{00000000-0008-0000-0200-000070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649" name="Line 16">
          <a:extLst>
            <a:ext uri="{FF2B5EF4-FFF2-40B4-BE49-F238E27FC236}">
              <a16:creationId xmlns:a16="http://schemas.microsoft.com/office/drawing/2014/main" id="{00000000-0008-0000-0200-000071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650" name="Line 17">
          <a:extLst>
            <a:ext uri="{FF2B5EF4-FFF2-40B4-BE49-F238E27FC236}">
              <a16:creationId xmlns:a16="http://schemas.microsoft.com/office/drawing/2014/main" id="{00000000-0008-0000-0200-000072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651" name="Line 18">
          <a:extLst>
            <a:ext uri="{FF2B5EF4-FFF2-40B4-BE49-F238E27FC236}">
              <a16:creationId xmlns:a16="http://schemas.microsoft.com/office/drawing/2014/main" id="{00000000-0008-0000-0200-000073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652" name="Line 19">
          <a:extLst>
            <a:ext uri="{FF2B5EF4-FFF2-40B4-BE49-F238E27FC236}">
              <a16:creationId xmlns:a16="http://schemas.microsoft.com/office/drawing/2014/main" id="{00000000-0008-0000-0200-000074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653" name="Line 20">
          <a:extLst>
            <a:ext uri="{FF2B5EF4-FFF2-40B4-BE49-F238E27FC236}">
              <a16:creationId xmlns:a16="http://schemas.microsoft.com/office/drawing/2014/main" id="{00000000-0008-0000-0200-000075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654" name="Line 21">
          <a:extLst>
            <a:ext uri="{FF2B5EF4-FFF2-40B4-BE49-F238E27FC236}">
              <a16:creationId xmlns:a16="http://schemas.microsoft.com/office/drawing/2014/main" id="{00000000-0008-0000-0200-000076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655" name="Line 22">
          <a:extLst>
            <a:ext uri="{FF2B5EF4-FFF2-40B4-BE49-F238E27FC236}">
              <a16:creationId xmlns:a16="http://schemas.microsoft.com/office/drawing/2014/main" id="{00000000-0008-0000-0200-000077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656" name="Line 23">
          <a:extLst>
            <a:ext uri="{FF2B5EF4-FFF2-40B4-BE49-F238E27FC236}">
              <a16:creationId xmlns:a16="http://schemas.microsoft.com/office/drawing/2014/main" id="{00000000-0008-0000-0200-00007806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657" name="Line 24">
          <a:extLst>
            <a:ext uri="{FF2B5EF4-FFF2-40B4-BE49-F238E27FC236}">
              <a16:creationId xmlns:a16="http://schemas.microsoft.com/office/drawing/2014/main" id="{00000000-0008-0000-0200-00007906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658" name="Line 25">
          <a:extLst>
            <a:ext uri="{FF2B5EF4-FFF2-40B4-BE49-F238E27FC236}">
              <a16:creationId xmlns:a16="http://schemas.microsoft.com/office/drawing/2014/main" id="{00000000-0008-0000-0200-00007A06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659" name="Line 26">
          <a:extLst>
            <a:ext uri="{FF2B5EF4-FFF2-40B4-BE49-F238E27FC236}">
              <a16:creationId xmlns:a16="http://schemas.microsoft.com/office/drawing/2014/main" id="{00000000-0008-0000-0200-00007B06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660" name="Line 27">
          <a:extLst>
            <a:ext uri="{FF2B5EF4-FFF2-40B4-BE49-F238E27FC236}">
              <a16:creationId xmlns:a16="http://schemas.microsoft.com/office/drawing/2014/main" id="{00000000-0008-0000-0200-00007C06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661" name="Line 28">
          <a:extLst>
            <a:ext uri="{FF2B5EF4-FFF2-40B4-BE49-F238E27FC236}">
              <a16:creationId xmlns:a16="http://schemas.microsoft.com/office/drawing/2014/main" id="{00000000-0008-0000-0200-00007D06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662" name="Line 29">
          <a:extLst>
            <a:ext uri="{FF2B5EF4-FFF2-40B4-BE49-F238E27FC236}">
              <a16:creationId xmlns:a16="http://schemas.microsoft.com/office/drawing/2014/main" id="{00000000-0008-0000-0200-00007E06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663" name="Line 30">
          <a:extLst>
            <a:ext uri="{FF2B5EF4-FFF2-40B4-BE49-F238E27FC236}">
              <a16:creationId xmlns:a16="http://schemas.microsoft.com/office/drawing/2014/main" id="{00000000-0008-0000-0200-00007F06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664" name="Line 31">
          <a:extLst>
            <a:ext uri="{FF2B5EF4-FFF2-40B4-BE49-F238E27FC236}">
              <a16:creationId xmlns:a16="http://schemas.microsoft.com/office/drawing/2014/main" id="{00000000-0008-0000-0200-00008006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665" name="Line 32">
          <a:extLst>
            <a:ext uri="{FF2B5EF4-FFF2-40B4-BE49-F238E27FC236}">
              <a16:creationId xmlns:a16="http://schemas.microsoft.com/office/drawing/2014/main" id="{00000000-0008-0000-0200-00008106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666" name="Line 33">
          <a:extLst>
            <a:ext uri="{FF2B5EF4-FFF2-40B4-BE49-F238E27FC236}">
              <a16:creationId xmlns:a16="http://schemas.microsoft.com/office/drawing/2014/main" id="{00000000-0008-0000-0200-00008206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667" name="Line 34">
          <a:extLst>
            <a:ext uri="{FF2B5EF4-FFF2-40B4-BE49-F238E27FC236}">
              <a16:creationId xmlns:a16="http://schemas.microsoft.com/office/drawing/2014/main" id="{00000000-0008-0000-0200-00008306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668" name="Line 35">
          <a:extLst>
            <a:ext uri="{FF2B5EF4-FFF2-40B4-BE49-F238E27FC236}">
              <a16:creationId xmlns:a16="http://schemas.microsoft.com/office/drawing/2014/main" id="{00000000-0008-0000-0200-00008406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669" name="Line 36">
          <a:extLst>
            <a:ext uri="{FF2B5EF4-FFF2-40B4-BE49-F238E27FC236}">
              <a16:creationId xmlns:a16="http://schemas.microsoft.com/office/drawing/2014/main" id="{00000000-0008-0000-0200-00008506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670" name="Line 37">
          <a:extLst>
            <a:ext uri="{FF2B5EF4-FFF2-40B4-BE49-F238E27FC236}">
              <a16:creationId xmlns:a16="http://schemas.microsoft.com/office/drawing/2014/main" id="{00000000-0008-0000-0200-00008606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671" name="Line 38">
          <a:extLst>
            <a:ext uri="{FF2B5EF4-FFF2-40B4-BE49-F238E27FC236}">
              <a16:creationId xmlns:a16="http://schemas.microsoft.com/office/drawing/2014/main" id="{00000000-0008-0000-0200-00008706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672" name="Line 39">
          <a:extLst>
            <a:ext uri="{FF2B5EF4-FFF2-40B4-BE49-F238E27FC236}">
              <a16:creationId xmlns:a16="http://schemas.microsoft.com/office/drawing/2014/main" id="{00000000-0008-0000-0200-000088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673" name="Line 40">
          <a:extLst>
            <a:ext uri="{FF2B5EF4-FFF2-40B4-BE49-F238E27FC236}">
              <a16:creationId xmlns:a16="http://schemas.microsoft.com/office/drawing/2014/main" id="{00000000-0008-0000-0200-000089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674" name="Line 41">
          <a:extLst>
            <a:ext uri="{FF2B5EF4-FFF2-40B4-BE49-F238E27FC236}">
              <a16:creationId xmlns:a16="http://schemas.microsoft.com/office/drawing/2014/main" id="{00000000-0008-0000-0200-00008A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675" name="Rectangle 1674">
          <a:extLst>
            <a:ext uri="{FF2B5EF4-FFF2-40B4-BE49-F238E27FC236}">
              <a16:creationId xmlns:a16="http://schemas.microsoft.com/office/drawing/2014/main" id="{00000000-0008-0000-0200-00008B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76" name="Line 43">
          <a:extLst>
            <a:ext uri="{FF2B5EF4-FFF2-40B4-BE49-F238E27FC236}">
              <a16:creationId xmlns:a16="http://schemas.microsoft.com/office/drawing/2014/main" id="{00000000-0008-0000-0200-00008C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677" name="Line 44">
          <a:extLst>
            <a:ext uri="{FF2B5EF4-FFF2-40B4-BE49-F238E27FC236}">
              <a16:creationId xmlns:a16="http://schemas.microsoft.com/office/drawing/2014/main" id="{00000000-0008-0000-0200-00008D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678" name="Line 45">
          <a:extLst>
            <a:ext uri="{FF2B5EF4-FFF2-40B4-BE49-F238E27FC236}">
              <a16:creationId xmlns:a16="http://schemas.microsoft.com/office/drawing/2014/main" id="{00000000-0008-0000-0200-00008E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679" name="Line 46">
          <a:extLst>
            <a:ext uri="{FF2B5EF4-FFF2-40B4-BE49-F238E27FC236}">
              <a16:creationId xmlns:a16="http://schemas.microsoft.com/office/drawing/2014/main" id="{00000000-0008-0000-0200-00008F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680" name="Line 47">
          <a:extLst>
            <a:ext uri="{FF2B5EF4-FFF2-40B4-BE49-F238E27FC236}">
              <a16:creationId xmlns:a16="http://schemas.microsoft.com/office/drawing/2014/main" id="{00000000-0008-0000-0200-000090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681" name="Line 48">
          <a:extLst>
            <a:ext uri="{FF2B5EF4-FFF2-40B4-BE49-F238E27FC236}">
              <a16:creationId xmlns:a16="http://schemas.microsoft.com/office/drawing/2014/main" id="{00000000-0008-0000-0200-000091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682" name="Line 49">
          <a:extLst>
            <a:ext uri="{FF2B5EF4-FFF2-40B4-BE49-F238E27FC236}">
              <a16:creationId xmlns:a16="http://schemas.microsoft.com/office/drawing/2014/main" id="{00000000-0008-0000-0200-000092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683" name="Line 50">
          <a:extLst>
            <a:ext uri="{FF2B5EF4-FFF2-40B4-BE49-F238E27FC236}">
              <a16:creationId xmlns:a16="http://schemas.microsoft.com/office/drawing/2014/main" id="{00000000-0008-0000-0200-000093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684" name="Line 51">
          <a:extLst>
            <a:ext uri="{FF2B5EF4-FFF2-40B4-BE49-F238E27FC236}">
              <a16:creationId xmlns:a16="http://schemas.microsoft.com/office/drawing/2014/main" id="{00000000-0008-0000-0200-000094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685" name="Line 52">
          <a:extLst>
            <a:ext uri="{FF2B5EF4-FFF2-40B4-BE49-F238E27FC236}">
              <a16:creationId xmlns:a16="http://schemas.microsoft.com/office/drawing/2014/main" id="{00000000-0008-0000-0200-000095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686" name="Line 53">
          <a:extLst>
            <a:ext uri="{FF2B5EF4-FFF2-40B4-BE49-F238E27FC236}">
              <a16:creationId xmlns:a16="http://schemas.microsoft.com/office/drawing/2014/main" id="{00000000-0008-0000-0200-000096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687" name="Line 54">
          <a:extLst>
            <a:ext uri="{FF2B5EF4-FFF2-40B4-BE49-F238E27FC236}">
              <a16:creationId xmlns:a16="http://schemas.microsoft.com/office/drawing/2014/main" id="{00000000-0008-0000-0200-000097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688" name="Line 55">
          <a:extLst>
            <a:ext uri="{FF2B5EF4-FFF2-40B4-BE49-F238E27FC236}">
              <a16:creationId xmlns:a16="http://schemas.microsoft.com/office/drawing/2014/main" id="{00000000-0008-0000-0200-000098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689" name="Line 56">
          <a:extLst>
            <a:ext uri="{FF2B5EF4-FFF2-40B4-BE49-F238E27FC236}">
              <a16:creationId xmlns:a16="http://schemas.microsoft.com/office/drawing/2014/main" id="{00000000-0008-0000-0200-000099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690" name="Rectangle 1689">
          <a:extLst>
            <a:ext uri="{FF2B5EF4-FFF2-40B4-BE49-F238E27FC236}">
              <a16:creationId xmlns:a16="http://schemas.microsoft.com/office/drawing/2014/main" id="{00000000-0008-0000-0200-00009A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691" name="Line 58">
          <a:extLst>
            <a:ext uri="{FF2B5EF4-FFF2-40B4-BE49-F238E27FC236}">
              <a16:creationId xmlns:a16="http://schemas.microsoft.com/office/drawing/2014/main" id="{00000000-0008-0000-0200-00009B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692" name="Line 59">
          <a:extLst>
            <a:ext uri="{FF2B5EF4-FFF2-40B4-BE49-F238E27FC236}">
              <a16:creationId xmlns:a16="http://schemas.microsoft.com/office/drawing/2014/main" id="{00000000-0008-0000-0200-00009C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693" name="Line 60">
          <a:extLst>
            <a:ext uri="{FF2B5EF4-FFF2-40B4-BE49-F238E27FC236}">
              <a16:creationId xmlns:a16="http://schemas.microsoft.com/office/drawing/2014/main" id="{00000000-0008-0000-0200-00009D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694" name="Line 61">
          <a:extLst>
            <a:ext uri="{FF2B5EF4-FFF2-40B4-BE49-F238E27FC236}">
              <a16:creationId xmlns:a16="http://schemas.microsoft.com/office/drawing/2014/main" id="{00000000-0008-0000-0200-00009E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695" name="Line 62">
          <a:extLst>
            <a:ext uri="{FF2B5EF4-FFF2-40B4-BE49-F238E27FC236}">
              <a16:creationId xmlns:a16="http://schemas.microsoft.com/office/drawing/2014/main" id="{00000000-0008-0000-0200-00009F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696" name="Line 63">
          <a:extLst>
            <a:ext uri="{FF2B5EF4-FFF2-40B4-BE49-F238E27FC236}">
              <a16:creationId xmlns:a16="http://schemas.microsoft.com/office/drawing/2014/main" id="{00000000-0008-0000-0200-0000A0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697" name="Line 64">
          <a:extLst>
            <a:ext uri="{FF2B5EF4-FFF2-40B4-BE49-F238E27FC236}">
              <a16:creationId xmlns:a16="http://schemas.microsoft.com/office/drawing/2014/main" id="{00000000-0008-0000-0200-0000A1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698" name="Line 65">
          <a:extLst>
            <a:ext uri="{FF2B5EF4-FFF2-40B4-BE49-F238E27FC236}">
              <a16:creationId xmlns:a16="http://schemas.microsoft.com/office/drawing/2014/main" id="{00000000-0008-0000-0200-0000A2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699" name="Line 66">
          <a:extLst>
            <a:ext uri="{FF2B5EF4-FFF2-40B4-BE49-F238E27FC236}">
              <a16:creationId xmlns:a16="http://schemas.microsoft.com/office/drawing/2014/main" id="{00000000-0008-0000-0200-0000A3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700" name="Line 67">
          <a:extLst>
            <a:ext uri="{FF2B5EF4-FFF2-40B4-BE49-F238E27FC236}">
              <a16:creationId xmlns:a16="http://schemas.microsoft.com/office/drawing/2014/main" id="{00000000-0008-0000-0200-0000A4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701" name="Line 68">
          <a:extLst>
            <a:ext uri="{FF2B5EF4-FFF2-40B4-BE49-F238E27FC236}">
              <a16:creationId xmlns:a16="http://schemas.microsoft.com/office/drawing/2014/main" id="{00000000-0008-0000-0200-0000A5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702" name="Line 1">
          <a:extLst>
            <a:ext uri="{FF2B5EF4-FFF2-40B4-BE49-F238E27FC236}">
              <a16:creationId xmlns:a16="http://schemas.microsoft.com/office/drawing/2014/main" id="{00000000-0008-0000-0200-0000A6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703" name="Drawing 16">
          <a:extLst>
            <a:ext uri="{FF2B5EF4-FFF2-40B4-BE49-F238E27FC236}">
              <a16:creationId xmlns:a16="http://schemas.microsoft.com/office/drawing/2014/main" id="{00000000-0008-0000-0200-0000A7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704" name="Line 3">
          <a:extLst>
            <a:ext uri="{FF2B5EF4-FFF2-40B4-BE49-F238E27FC236}">
              <a16:creationId xmlns:a16="http://schemas.microsoft.com/office/drawing/2014/main" id="{00000000-0008-0000-0200-0000A8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705" name="Line 4">
          <a:extLst>
            <a:ext uri="{FF2B5EF4-FFF2-40B4-BE49-F238E27FC236}">
              <a16:creationId xmlns:a16="http://schemas.microsoft.com/office/drawing/2014/main" id="{00000000-0008-0000-0200-0000A9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706" name="Line 5">
          <a:extLst>
            <a:ext uri="{FF2B5EF4-FFF2-40B4-BE49-F238E27FC236}">
              <a16:creationId xmlns:a16="http://schemas.microsoft.com/office/drawing/2014/main" id="{00000000-0008-0000-0200-0000AA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707" name="Line 6">
          <a:extLst>
            <a:ext uri="{FF2B5EF4-FFF2-40B4-BE49-F238E27FC236}">
              <a16:creationId xmlns:a16="http://schemas.microsoft.com/office/drawing/2014/main" id="{00000000-0008-0000-0200-0000AB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708" name="Line 7">
          <a:extLst>
            <a:ext uri="{FF2B5EF4-FFF2-40B4-BE49-F238E27FC236}">
              <a16:creationId xmlns:a16="http://schemas.microsoft.com/office/drawing/2014/main" id="{00000000-0008-0000-0200-0000AC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709" name="Line 8">
          <a:extLst>
            <a:ext uri="{FF2B5EF4-FFF2-40B4-BE49-F238E27FC236}">
              <a16:creationId xmlns:a16="http://schemas.microsoft.com/office/drawing/2014/main" id="{00000000-0008-0000-0200-0000AD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710" name="Line 9">
          <a:extLst>
            <a:ext uri="{FF2B5EF4-FFF2-40B4-BE49-F238E27FC236}">
              <a16:creationId xmlns:a16="http://schemas.microsoft.com/office/drawing/2014/main" id="{00000000-0008-0000-0200-0000AE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711" name="Line 10">
          <a:extLst>
            <a:ext uri="{FF2B5EF4-FFF2-40B4-BE49-F238E27FC236}">
              <a16:creationId xmlns:a16="http://schemas.microsoft.com/office/drawing/2014/main" id="{00000000-0008-0000-0200-0000AF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712" name="Line 11">
          <a:extLst>
            <a:ext uri="{FF2B5EF4-FFF2-40B4-BE49-F238E27FC236}">
              <a16:creationId xmlns:a16="http://schemas.microsoft.com/office/drawing/2014/main" id="{00000000-0008-0000-0200-0000B0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713" name="Line 12">
          <a:extLst>
            <a:ext uri="{FF2B5EF4-FFF2-40B4-BE49-F238E27FC236}">
              <a16:creationId xmlns:a16="http://schemas.microsoft.com/office/drawing/2014/main" id="{00000000-0008-0000-0200-0000B1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714" name="Line 13">
          <a:extLst>
            <a:ext uri="{FF2B5EF4-FFF2-40B4-BE49-F238E27FC236}">
              <a16:creationId xmlns:a16="http://schemas.microsoft.com/office/drawing/2014/main" id="{00000000-0008-0000-0200-0000B2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15" name="Line 14">
          <a:extLst>
            <a:ext uri="{FF2B5EF4-FFF2-40B4-BE49-F238E27FC236}">
              <a16:creationId xmlns:a16="http://schemas.microsoft.com/office/drawing/2014/main" id="{00000000-0008-0000-0200-0000B3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716" name="Line 15">
          <a:extLst>
            <a:ext uri="{FF2B5EF4-FFF2-40B4-BE49-F238E27FC236}">
              <a16:creationId xmlns:a16="http://schemas.microsoft.com/office/drawing/2014/main" id="{00000000-0008-0000-0200-0000B4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17" name="Line 16">
          <a:extLst>
            <a:ext uri="{FF2B5EF4-FFF2-40B4-BE49-F238E27FC236}">
              <a16:creationId xmlns:a16="http://schemas.microsoft.com/office/drawing/2014/main" id="{00000000-0008-0000-0200-0000B5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718" name="Line 17">
          <a:extLst>
            <a:ext uri="{FF2B5EF4-FFF2-40B4-BE49-F238E27FC236}">
              <a16:creationId xmlns:a16="http://schemas.microsoft.com/office/drawing/2014/main" id="{00000000-0008-0000-0200-0000B6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719" name="Line 18">
          <a:extLst>
            <a:ext uri="{FF2B5EF4-FFF2-40B4-BE49-F238E27FC236}">
              <a16:creationId xmlns:a16="http://schemas.microsoft.com/office/drawing/2014/main" id="{00000000-0008-0000-0200-0000B7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720" name="Line 19">
          <a:extLst>
            <a:ext uri="{FF2B5EF4-FFF2-40B4-BE49-F238E27FC236}">
              <a16:creationId xmlns:a16="http://schemas.microsoft.com/office/drawing/2014/main" id="{00000000-0008-0000-0200-0000B8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721" name="Line 20">
          <a:extLst>
            <a:ext uri="{FF2B5EF4-FFF2-40B4-BE49-F238E27FC236}">
              <a16:creationId xmlns:a16="http://schemas.microsoft.com/office/drawing/2014/main" id="{00000000-0008-0000-0200-0000B9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722" name="Line 21">
          <a:extLst>
            <a:ext uri="{FF2B5EF4-FFF2-40B4-BE49-F238E27FC236}">
              <a16:creationId xmlns:a16="http://schemas.microsoft.com/office/drawing/2014/main" id="{00000000-0008-0000-0200-0000BA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723" name="Line 22">
          <a:extLst>
            <a:ext uri="{FF2B5EF4-FFF2-40B4-BE49-F238E27FC236}">
              <a16:creationId xmlns:a16="http://schemas.microsoft.com/office/drawing/2014/main" id="{00000000-0008-0000-0200-0000BB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724" name="Line 23">
          <a:extLst>
            <a:ext uri="{FF2B5EF4-FFF2-40B4-BE49-F238E27FC236}">
              <a16:creationId xmlns:a16="http://schemas.microsoft.com/office/drawing/2014/main" id="{00000000-0008-0000-0200-0000BC06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725" name="Line 24">
          <a:extLst>
            <a:ext uri="{FF2B5EF4-FFF2-40B4-BE49-F238E27FC236}">
              <a16:creationId xmlns:a16="http://schemas.microsoft.com/office/drawing/2014/main" id="{00000000-0008-0000-0200-0000BD06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726" name="Line 25">
          <a:extLst>
            <a:ext uri="{FF2B5EF4-FFF2-40B4-BE49-F238E27FC236}">
              <a16:creationId xmlns:a16="http://schemas.microsoft.com/office/drawing/2014/main" id="{00000000-0008-0000-0200-0000BE06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727" name="Line 26">
          <a:extLst>
            <a:ext uri="{FF2B5EF4-FFF2-40B4-BE49-F238E27FC236}">
              <a16:creationId xmlns:a16="http://schemas.microsoft.com/office/drawing/2014/main" id="{00000000-0008-0000-0200-0000BF06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728" name="Line 27">
          <a:extLst>
            <a:ext uri="{FF2B5EF4-FFF2-40B4-BE49-F238E27FC236}">
              <a16:creationId xmlns:a16="http://schemas.microsoft.com/office/drawing/2014/main" id="{00000000-0008-0000-0200-0000C006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729" name="Line 28">
          <a:extLst>
            <a:ext uri="{FF2B5EF4-FFF2-40B4-BE49-F238E27FC236}">
              <a16:creationId xmlns:a16="http://schemas.microsoft.com/office/drawing/2014/main" id="{00000000-0008-0000-0200-0000C106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730" name="Line 29">
          <a:extLst>
            <a:ext uri="{FF2B5EF4-FFF2-40B4-BE49-F238E27FC236}">
              <a16:creationId xmlns:a16="http://schemas.microsoft.com/office/drawing/2014/main" id="{00000000-0008-0000-0200-0000C206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731" name="Line 30">
          <a:extLst>
            <a:ext uri="{FF2B5EF4-FFF2-40B4-BE49-F238E27FC236}">
              <a16:creationId xmlns:a16="http://schemas.microsoft.com/office/drawing/2014/main" id="{00000000-0008-0000-0200-0000C306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732" name="Line 31">
          <a:extLst>
            <a:ext uri="{FF2B5EF4-FFF2-40B4-BE49-F238E27FC236}">
              <a16:creationId xmlns:a16="http://schemas.microsoft.com/office/drawing/2014/main" id="{00000000-0008-0000-0200-0000C406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733" name="Line 32">
          <a:extLst>
            <a:ext uri="{FF2B5EF4-FFF2-40B4-BE49-F238E27FC236}">
              <a16:creationId xmlns:a16="http://schemas.microsoft.com/office/drawing/2014/main" id="{00000000-0008-0000-0200-0000C506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734" name="Line 33">
          <a:extLst>
            <a:ext uri="{FF2B5EF4-FFF2-40B4-BE49-F238E27FC236}">
              <a16:creationId xmlns:a16="http://schemas.microsoft.com/office/drawing/2014/main" id="{00000000-0008-0000-0200-0000C606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735" name="Line 34">
          <a:extLst>
            <a:ext uri="{FF2B5EF4-FFF2-40B4-BE49-F238E27FC236}">
              <a16:creationId xmlns:a16="http://schemas.microsoft.com/office/drawing/2014/main" id="{00000000-0008-0000-0200-0000C706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736" name="Line 35">
          <a:extLst>
            <a:ext uri="{FF2B5EF4-FFF2-40B4-BE49-F238E27FC236}">
              <a16:creationId xmlns:a16="http://schemas.microsoft.com/office/drawing/2014/main" id="{00000000-0008-0000-0200-0000C806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737" name="Line 36">
          <a:extLst>
            <a:ext uri="{FF2B5EF4-FFF2-40B4-BE49-F238E27FC236}">
              <a16:creationId xmlns:a16="http://schemas.microsoft.com/office/drawing/2014/main" id="{00000000-0008-0000-0200-0000C906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738" name="Line 37">
          <a:extLst>
            <a:ext uri="{FF2B5EF4-FFF2-40B4-BE49-F238E27FC236}">
              <a16:creationId xmlns:a16="http://schemas.microsoft.com/office/drawing/2014/main" id="{00000000-0008-0000-0200-0000CA06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739" name="Line 38">
          <a:extLst>
            <a:ext uri="{FF2B5EF4-FFF2-40B4-BE49-F238E27FC236}">
              <a16:creationId xmlns:a16="http://schemas.microsoft.com/office/drawing/2014/main" id="{00000000-0008-0000-0200-0000CB06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740" name="Line 39">
          <a:extLst>
            <a:ext uri="{FF2B5EF4-FFF2-40B4-BE49-F238E27FC236}">
              <a16:creationId xmlns:a16="http://schemas.microsoft.com/office/drawing/2014/main" id="{00000000-0008-0000-0200-0000CC06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741" name="Line 40">
          <a:extLst>
            <a:ext uri="{FF2B5EF4-FFF2-40B4-BE49-F238E27FC236}">
              <a16:creationId xmlns:a16="http://schemas.microsoft.com/office/drawing/2014/main" id="{00000000-0008-0000-0200-0000CD06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742" name="Line 41">
          <a:extLst>
            <a:ext uri="{FF2B5EF4-FFF2-40B4-BE49-F238E27FC236}">
              <a16:creationId xmlns:a16="http://schemas.microsoft.com/office/drawing/2014/main" id="{00000000-0008-0000-0200-0000CE06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743" name="Rectangle 42">
          <a:extLst>
            <a:ext uri="{FF2B5EF4-FFF2-40B4-BE49-F238E27FC236}">
              <a16:creationId xmlns:a16="http://schemas.microsoft.com/office/drawing/2014/main" id="{00000000-0008-0000-0200-0000CF06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744" name="Line 43">
          <a:extLst>
            <a:ext uri="{FF2B5EF4-FFF2-40B4-BE49-F238E27FC236}">
              <a16:creationId xmlns:a16="http://schemas.microsoft.com/office/drawing/2014/main" id="{00000000-0008-0000-0200-0000D006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745" name="Line 44">
          <a:extLst>
            <a:ext uri="{FF2B5EF4-FFF2-40B4-BE49-F238E27FC236}">
              <a16:creationId xmlns:a16="http://schemas.microsoft.com/office/drawing/2014/main" id="{00000000-0008-0000-0200-0000D1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746" name="Line 45">
          <a:extLst>
            <a:ext uri="{FF2B5EF4-FFF2-40B4-BE49-F238E27FC236}">
              <a16:creationId xmlns:a16="http://schemas.microsoft.com/office/drawing/2014/main" id="{00000000-0008-0000-0200-0000D206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747" name="Line 46">
          <a:extLst>
            <a:ext uri="{FF2B5EF4-FFF2-40B4-BE49-F238E27FC236}">
              <a16:creationId xmlns:a16="http://schemas.microsoft.com/office/drawing/2014/main" id="{00000000-0008-0000-0200-0000D306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748" name="Line 47">
          <a:extLst>
            <a:ext uri="{FF2B5EF4-FFF2-40B4-BE49-F238E27FC236}">
              <a16:creationId xmlns:a16="http://schemas.microsoft.com/office/drawing/2014/main" id="{00000000-0008-0000-0200-0000D406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749" name="Line 48">
          <a:extLst>
            <a:ext uri="{FF2B5EF4-FFF2-40B4-BE49-F238E27FC236}">
              <a16:creationId xmlns:a16="http://schemas.microsoft.com/office/drawing/2014/main" id="{00000000-0008-0000-0200-0000D506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750" name="Line 49">
          <a:extLst>
            <a:ext uri="{FF2B5EF4-FFF2-40B4-BE49-F238E27FC236}">
              <a16:creationId xmlns:a16="http://schemas.microsoft.com/office/drawing/2014/main" id="{00000000-0008-0000-0200-0000D606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751" name="Line 50">
          <a:extLst>
            <a:ext uri="{FF2B5EF4-FFF2-40B4-BE49-F238E27FC236}">
              <a16:creationId xmlns:a16="http://schemas.microsoft.com/office/drawing/2014/main" id="{00000000-0008-0000-0200-0000D706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752" name="Line 51">
          <a:extLst>
            <a:ext uri="{FF2B5EF4-FFF2-40B4-BE49-F238E27FC236}">
              <a16:creationId xmlns:a16="http://schemas.microsoft.com/office/drawing/2014/main" id="{00000000-0008-0000-0200-0000D806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753" name="Line 52">
          <a:extLst>
            <a:ext uri="{FF2B5EF4-FFF2-40B4-BE49-F238E27FC236}">
              <a16:creationId xmlns:a16="http://schemas.microsoft.com/office/drawing/2014/main" id="{00000000-0008-0000-0200-0000D906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754" name="Line 53">
          <a:extLst>
            <a:ext uri="{FF2B5EF4-FFF2-40B4-BE49-F238E27FC236}">
              <a16:creationId xmlns:a16="http://schemas.microsoft.com/office/drawing/2014/main" id="{00000000-0008-0000-0200-0000DA06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755" name="Line 54">
          <a:extLst>
            <a:ext uri="{FF2B5EF4-FFF2-40B4-BE49-F238E27FC236}">
              <a16:creationId xmlns:a16="http://schemas.microsoft.com/office/drawing/2014/main" id="{00000000-0008-0000-0200-0000DB06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756" name="Line 55">
          <a:extLst>
            <a:ext uri="{FF2B5EF4-FFF2-40B4-BE49-F238E27FC236}">
              <a16:creationId xmlns:a16="http://schemas.microsoft.com/office/drawing/2014/main" id="{00000000-0008-0000-0200-0000DC06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757" name="Line 56">
          <a:extLst>
            <a:ext uri="{FF2B5EF4-FFF2-40B4-BE49-F238E27FC236}">
              <a16:creationId xmlns:a16="http://schemas.microsoft.com/office/drawing/2014/main" id="{00000000-0008-0000-0200-0000DD06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758" name="Rectangle 57">
          <a:extLst>
            <a:ext uri="{FF2B5EF4-FFF2-40B4-BE49-F238E27FC236}">
              <a16:creationId xmlns:a16="http://schemas.microsoft.com/office/drawing/2014/main" id="{00000000-0008-0000-0200-0000DE06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759" name="Line 58">
          <a:extLst>
            <a:ext uri="{FF2B5EF4-FFF2-40B4-BE49-F238E27FC236}">
              <a16:creationId xmlns:a16="http://schemas.microsoft.com/office/drawing/2014/main" id="{00000000-0008-0000-0200-0000DF06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760" name="Line 59">
          <a:extLst>
            <a:ext uri="{FF2B5EF4-FFF2-40B4-BE49-F238E27FC236}">
              <a16:creationId xmlns:a16="http://schemas.microsoft.com/office/drawing/2014/main" id="{00000000-0008-0000-0200-0000E006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761" name="Line 60">
          <a:extLst>
            <a:ext uri="{FF2B5EF4-FFF2-40B4-BE49-F238E27FC236}">
              <a16:creationId xmlns:a16="http://schemas.microsoft.com/office/drawing/2014/main" id="{00000000-0008-0000-0200-0000E106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762" name="Line 61">
          <a:extLst>
            <a:ext uri="{FF2B5EF4-FFF2-40B4-BE49-F238E27FC236}">
              <a16:creationId xmlns:a16="http://schemas.microsoft.com/office/drawing/2014/main" id="{00000000-0008-0000-0200-0000E2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763" name="Line 62">
          <a:extLst>
            <a:ext uri="{FF2B5EF4-FFF2-40B4-BE49-F238E27FC236}">
              <a16:creationId xmlns:a16="http://schemas.microsoft.com/office/drawing/2014/main" id="{00000000-0008-0000-0200-0000E306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764" name="Line 63">
          <a:extLst>
            <a:ext uri="{FF2B5EF4-FFF2-40B4-BE49-F238E27FC236}">
              <a16:creationId xmlns:a16="http://schemas.microsoft.com/office/drawing/2014/main" id="{00000000-0008-0000-0200-0000E406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765" name="Line 64">
          <a:extLst>
            <a:ext uri="{FF2B5EF4-FFF2-40B4-BE49-F238E27FC236}">
              <a16:creationId xmlns:a16="http://schemas.microsoft.com/office/drawing/2014/main" id="{00000000-0008-0000-0200-0000E506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766" name="Line 65">
          <a:extLst>
            <a:ext uri="{FF2B5EF4-FFF2-40B4-BE49-F238E27FC236}">
              <a16:creationId xmlns:a16="http://schemas.microsoft.com/office/drawing/2014/main" id="{00000000-0008-0000-0200-0000E606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767" name="Line 66">
          <a:extLst>
            <a:ext uri="{FF2B5EF4-FFF2-40B4-BE49-F238E27FC236}">
              <a16:creationId xmlns:a16="http://schemas.microsoft.com/office/drawing/2014/main" id="{00000000-0008-0000-0200-0000E706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768" name="Line 67">
          <a:extLst>
            <a:ext uri="{FF2B5EF4-FFF2-40B4-BE49-F238E27FC236}">
              <a16:creationId xmlns:a16="http://schemas.microsoft.com/office/drawing/2014/main" id="{00000000-0008-0000-0200-0000E806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769" name="Line 68">
          <a:extLst>
            <a:ext uri="{FF2B5EF4-FFF2-40B4-BE49-F238E27FC236}">
              <a16:creationId xmlns:a16="http://schemas.microsoft.com/office/drawing/2014/main" id="{00000000-0008-0000-0200-0000E906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770" name="Line 1">
          <a:extLst>
            <a:ext uri="{FF2B5EF4-FFF2-40B4-BE49-F238E27FC236}">
              <a16:creationId xmlns:a16="http://schemas.microsoft.com/office/drawing/2014/main" id="{00000000-0008-0000-0200-0000EA06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771" name="Drawing 16">
          <a:extLst>
            <a:ext uri="{FF2B5EF4-FFF2-40B4-BE49-F238E27FC236}">
              <a16:creationId xmlns:a16="http://schemas.microsoft.com/office/drawing/2014/main" id="{00000000-0008-0000-0200-0000EB06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772" name="Line 3">
          <a:extLst>
            <a:ext uri="{FF2B5EF4-FFF2-40B4-BE49-F238E27FC236}">
              <a16:creationId xmlns:a16="http://schemas.microsoft.com/office/drawing/2014/main" id="{00000000-0008-0000-0200-0000EC06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773" name="Line 4">
          <a:extLst>
            <a:ext uri="{FF2B5EF4-FFF2-40B4-BE49-F238E27FC236}">
              <a16:creationId xmlns:a16="http://schemas.microsoft.com/office/drawing/2014/main" id="{00000000-0008-0000-0200-0000ED06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774" name="Line 5">
          <a:extLst>
            <a:ext uri="{FF2B5EF4-FFF2-40B4-BE49-F238E27FC236}">
              <a16:creationId xmlns:a16="http://schemas.microsoft.com/office/drawing/2014/main" id="{00000000-0008-0000-0200-0000EE06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775" name="Line 6">
          <a:extLst>
            <a:ext uri="{FF2B5EF4-FFF2-40B4-BE49-F238E27FC236}">
              <a16:creationId xmlns:a16="http://schemas.microsoft.com/office/drawing/2014/main" id="{00000000-0008-0000-0200-0000EF06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776" name="Line 7">
          <a:extLst>
            <a:ext uri="{FF2B5EF4-FFF2-40B4-BE49-F238E27FC236}">
              <a16:creationId xmlns:a16="http://schemas.microsoft.com/office/drawing/2014/main" id="{00000000-0008-0000-0200-0000F006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777" name="Line 8">
          <a:extLst>
            <a:ext uri="{FF2B5EF4-FFF2-40B4-BE49-F238E27FC236}">
              <a16:creationId xmlns:a16="http://schemas.microsoft.com/office/drawing/2014/main" id="{00000000-0008-0000-0200-0000F106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778" name="Line 9">
          <a:extLst>
            <a:ext uri="{FF2B5EF4-FFF2-40B4-BE49-F238E27FC236}">
              <a16:creationId xmlns:a16="http://schemas.microsoft.com/office/drawing/2014/main" id="{00000000-0008-0000-0200-0000F206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779" name="Line 10">
          <a:extLst>
            <a:ext uri="{FF2B5EF4-FFF2-40B4-BE49-F238E27FC236}">
              <a16:creationId xmlns:a16="http://schemas.microsoft.com/office/drawing/2014/main" id="{00000000-0008-0000-0200-0000F306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780" name="Line 11">
          <a:extLst>
            <a:ext uri="{FF2B5EF4-FFF2-40B4-BE49-F238E27FC236}">
              <a16:creationId xmlns:a16="http://schemas.microsoft.com/office/drawing/2014/main" id="{00000000-0008-0000-0200-0000F406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781" name="Line 12">
          <a:extLst>
            <a:ext uri="{FF2B5EF4-FFF2-40B4-BE49-F238E27FC236}">
              <a16:creationId xmlns:a16="http://schemas.microsoft.com/office/drawing/2014/main" id="{00000000-0008-0000-0200-0000F506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782" name="Line 13">
          <a:extLst>
            <a:ext uri="{FF2B5EF4-FFF2-40B4-BE49-F238E27FC236}">
              <a16:creationId xmlns:a16="http://schemas.microsoft.com/office/drawing/2014/main" id="{00000000-0008-0000-0200-0000F606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83" name="Line 14">
          <a:extLst>
            <a:ext uri="{FF2B5EF4-FFF2-40B4-BE49-F238E27FC236}">
              <a16:creationId xmlns:a16="http://schemas.microsoft.com/office/drawing/2014/main" id="{00000000-0008-0000-0200-0000F706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784" name="Line 15">
          <a:extLst>
            <a:ext uri="{FF2B5EF4-FFF2-40B4-BE49-F238E27FC236}">
              <a16:creationId xmlns:a16="http://schemas.microsoft.com/office/drawing/2014/main" id="{00000000-0008-0000-0200-0000F806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785" name="Line 16">
          <a:extLst>
            <a:ext uri="{FF2B5EF4-FFF2-40B4-BE49-F238E27FC236}">
              <a16:creationId xmlns:a16="http://schemas.microsoft.com/office/drawing/2014/main" id="{00000000-0008-0000-0200-0000F906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786" name="Line 17">
          <a:extLst>
            <a:ext uri="{FF2B5EF4-FFF2-40B4-BE49-F238E27FC236}">
              <a16:creationId xmlns:a16="http://schemas.microsoft.com/office/drawing/2014/main" id="{00000000-0008-0000-0200-0000FA06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787" name="Line 18">
          <a:extLst>
            <a:ext uri="{FF2B5EF4-FFF2-40B4-BE49-F238E27FC236}">
              <a16:creationId xmlns:a16="http://schemas.microsoft.com/office/drawing/2014/main" id="{00000000-0008-0000-0200-0000FB06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788" name="Line 19">
          <a:extLst>
            <a:ext uri="{FF2B5EF4-FFF2-40B4-BE49-F238E27FC236}">
              <a16:creationId xmlns:a16="http://schemas.microsoft.com/office/drawing/2014/main" id="{00000000-0008-0000-0200-0000FC06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789" name="Line 20">
          <a:extLst>
            <a:ext uri="{FF2B5EF4-FFF2-40B4-BE49-F238E27FC236}">
              <a16:creationId xmlns:a16="http://schemas.microsoft.com/office/drawing/2014/main" id="{00000000-0008-0000-0200-0000FD06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790" name="Line 21">
          <a:extLst>
            <a:ext uri="{FF2B5EF4-FFF2-40B4-BE49-F238E27FC236}">
              <a16:creationId xmlns:a16="http://schemas.microsoft.com/office/drawing/2014/main" id="{00000000-0008-0000-0200-0000FE06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791" name="Line 22">
          <a:extLst>
            <a:ext uri="{FF2B5EF4-FFF2-40B4-BE49-F238E27FC236}">
              <a16:creationId xmlns:a16="http://schemas.microsoft.com/office/drawing/2014/main" id="{00000000-0008-0000-0200-0000FF06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792" name="Line 23">
          <a:extLst>
            <a:ext uri="{FF2B5EF4-FFF2-40B4-BE49-F238E27FC236}">
              <a16:creationId xmlns:a16="http://schemas.microsoft.com/office/drawing/2014/main" id="{00000000-0008-0000-0200-000000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793" name="Line 24">
          <a:extLst>
            <a:ext uri="{FF2B5EF4-FFF2-40B4-BE49-F238E27FC236}">
              <a16:creationId xmlns:a16="http://schemas.microsoft.com/office/drawing/2014/main" id="{00000000-0008-0000-0200-000001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794" name="Line 25">
          <a:extLst>
            <a:ext uri="{FF2B5EF4-FFF2-40B4-BE49-F238E27FC236}">
              <a16:creationId xmlns:a16="http://schemas.microsoft.com/office/drawing/2014/main" id="{00000000-0008-0000-0200-000002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795" name="Line 26">
          <a:extLst>
            <a:ext uri="{FF2B5EF4-FFF2-40B4-BE49-F238E27FC236}">
              <a16:creationId xmlns:a16="http://schemas.microsoft.com/office/drawing/2014/main" id="{00000000-0008-0000-0200-000003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796" name="Line 27">
          <a:extLst>
            <a:ext uri="{FF2B5EF4-FFF2-40B4-BE49-F238E27FC236}">
              <a16:creationId xmlns:a16="http://schemas.microsoft.com/office/drawing/2014/main" id="{00000000-0008-0000-0200-000004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797" name="Line 28">
          <a:extLst>
            <a:ext uri="{FF2B5EF4-FFF2-40B4-BE49-F238E27FC236}">
              <a16:creationId xmlns:a16="http://schemas.microsoft.com/office/drawing/2014/main" id="{00000000-0008-0000-0200-000005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798" name="Line 29">
          <a:extLst>
            <a:ext uri="{FF2B5EF4-FFF2-40B4-BE49-F238E27FC236}">
              <a16:creationId xmlns:a16="http://schemas.microsoft.com/office/drawing/2014/main" id="{00000000-0008-0000-0200-000006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799" name="Line 30">
          <a:extLst>
            <a:ext uri="{FF2B5EF4-FFF2-40B4-BE49-F238E27FC236}">
              <a16:creationId xmlns:a16="http://schemas.microsoft.com/office/drawing/2014/main" id="{00000000-0008-0000-0200-000007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800" name="Line 31">
          <a:extLst>
            <a:ext uri="{FF2B5EF4-FFF2-40B4-BE49-F238E27FC236}">
              <a16:creationId xmlns:a16="http://schemas.microsoft.com/office/drawing/2014/main" id="{00000000-0008-0000-0200-000008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801" name="Line 32">
          <a:extLst>
            <a:ext uri="{FF2B5EF4-FFF2-40B4-BE49-F238E27FC236}">
              <a16:creationId xmlns:a16="http://schemas.microsoft.com/office/drawing/2014/main" id="{00000000-0008-0000-0200-000009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802" name="Line 33">
          <a:extLst>
            <a:ext uri="{FF2B5EF4-FFF2-40B4-BE49-F238E27FC236}">
              <a16:creationId xmlns:a16="http://schemas.microsoft.com/office/drawing/2014/main" id="{00000000-0008-0000-0200-00000A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803" name="Line 34">
          <a:extLst>
            <a:ext uri="{FF2B5EF4-FFF2-40B4-BE49-F238E27FC236}">
              <a16:creationId xmlns:a16="http://schemas.microsoft.com/office/drawing/2014/main" id="{00000000-0008-0000-0200-00000B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804" name="Line 35">
          <a:extLst>
            <a:ext uri="{FF2B5EF4-FFF2-40B4-BE49-F238E27FC236}">
              <a16:creationId xmlns:a16="http://schemas.microsoft.com/office/drawing/2014/main" id="{00000000-0008-0000-0200-00000C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805" name="Line 36">
          <a:extLst>
            <a:ext uri="{FF2B5EF4-FFF2-40B4-BE49-F238E27FC236}">
              <a16:creationId xmlns:a16="http://schemas.microsoft.com/office/drawing/2014/main" id="{00000000-0008-0000-0200-00000D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806" name="Line 37">
          <a:extLst>
            <a:ext uri="{FF2B5EF4-FFF2-40B4-BE49-F238E27FC236}">
              <a16:creationId xmlns:a16="http://schemas.microsoft.com/office/drawing/2014/main" id="{00000000-0008-0000-0200-00000E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807" name="Line 38">
          <a:extLst>
            <a:ext uri="{FF2B5EF4-FFF2-40B4-BE49-F238E27FC236}">
              <a16:creationId xmlns:a16="http://schemas.microsoft.com/office/drawing/2014/main" id="{00000000-0008-0000-0200-00000F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808" name="Line 39">
          <a:extLst>
            <a:ext uri="{FF2B5EF4-FFF2-40B4-BE49-F238E27FC236}">
              <a16:creationId xmlns:a16="http://schemas.microsoft.com/office/drawing/2014/main" id="{00000000-0008-0000-0200-000010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809" name="Line 40">
          <a:extLst>
            <a:ext uri="{FF2B5EF4-FFF2-40B4-BE49-F238E27FC236}">
              <a16:creationId xmlns:a16="http://schemas.microsoft.com/office/drawing/2014/main" id="{00000000-0008-0000-0200-000011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810" name="Line 41">
          <a:extLst>
            <a:ext uri="{FF2B5EF4-FFF2-40B4-BE49-F238E27FC236}">
              <a16:creationId xmlns:a16="http://schemas.microsoft.com/office/drawing/2014/main" id="{00000000-0008-0000-0200-000012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811" name="Rectangle 42">
          <a:extLst>
            <a:ext uri="{FF2B5EF4-FFF2-40B4-BE49-F238E27FC236}">
              <a16:creationId xmlns:a16="http://schemas.microsoft.com/office/drawing/2014/main" id="{00000000-0008-0000-0200-000013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12" name="Line 43">
          <a:extLst>
            <a:ext uri="{FF2B5EF4-FFF2-40B4-BE49-F238E27FC236}">
              <a16:creationId xmlns:a16="http://schemas.microsoft.com/office/drawing/2014/main" id="{00000000-0008-0000-0200-000014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13" name="Line 44">
          <a:extLst>
            <a:ext uri="{FF2B5EF4-FFF2-40B4-BE49-F238E27FC236}">
              <a16:creationId xmlns:a16="http://schemas.microsoft.com/office/drawing/2014/main" id="{00000000-0008-0000-0200-000015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814" name="Line 45">
          <a:extLst>
            <a:ext uri="{FF2B5EF4-FFF2-40B4-BE49-F238E27FC236}">
              <a16:creationId xmlns:a16="http://schemas.microsoft.com/office/drawing/2014/main" id="{00000000-0008-0000-0200-000016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815" name="Line 46">
          <a:extLst>
            <a:ext uri="{FF2B5EF4-FFF2-40B4-BE49-F238E27FC236}">
              <a16:creationId xmlns:a16="http://schemas.microsoft.com/office/drawing/2014/main" id="{00000000-0008-0000-0200-000017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816" name="Line 47">
          <a:extLst>
            <a:ext uri="{FF2B5EF4-FFF2-40B4-BE49-F238E27FC236}">
              <a16:creationId xmlns:a16="http://schemas.microsoft.com/office/drawing/2014/main" id="{00000000-0008-0000-0200-000018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817" name="Line 48">
          <a:extLst>
            <a:ext uri="{FF2B5EF4-FFF2-40B4-BE49-F238E27FC236}">
              <a16:creationId xmlns:a16="http://schemas.microsoft.com/office/drawing/2014/main" id="{00000000-0008-0000-0200-000019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818" name="Line 49">
          <a:extLst>
            <a:ext uri="{FF2B5EF4-FFF2-40B4-BE49-F238E27FC236}">
              <a16:creationId xmlns:a16="http://schemas.microsoft.com/office/drawing/2014/main" id="{00000000-0008-0000-0200-00001A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819" name="Line 50">
          <a:extLst>
            <a:ext uri="{FF2B5EF4-FFF2-40B4-BE49-F238E27FC236}">
              <a16:creationId xmlns:a16="http://schemas.microsoft.com/office/drawing/2014/main" id="{00000000-0008-0000-0200-00001B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820" name="Line 51">
          <a:extLst>
            <a:ext uri="{FF2B5EF4-FFF2-40B4-BE49-F238E27FC236}">
              <a16:creationId xmlns:a16="http://schemas.microsoft.com/office/drawing/2014/main" id="{00000000-0008-0000-0200-00001C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821" name="Line 52">
          <a:extLst>
            <a:ext uri="{FF2B5EF4-FFF2-40B4-BE49-F238E27FC236}">
              <a16:creationId xmlns:a16="http://schemas.microsoft.com/office/drawing/2014/main" id="{00000000-0008-0000-0200-00001D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822" name="Line 53">
          <a:extLst>
            <a:ext uri="{FF2B5EF4-FFF2-40B4-BE49-F238E27FC236}">
              <a16:creationId xmlns:a16="http://schemas.microsoft.com/office/drawing/2014/main" id="{00000000-0008-0000-0200-00001E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823" name="Line 54">
          <a:extLst>
            <a:ext uri="{FF2B5EF4-FFF2-40B4-BE49-F238E27FC236}">
              <a16:creationId xmlns:a16="http://schemas.microsoft.com/office/drawing/2014/main" id="{00000000-0008-0000-0200-00001F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824" name="Line 55">
          <a:extLst>
            <a:ext uri="{FF2B5EF4-FFF2-40B4-BE49-F238E27FC236}">
              <a16:creationId xmlns:a16="http://schemas.microsoft.com/office/drawing/2014/main" id="{00000000-0008-0000-0200-000020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825" name="Line 56">
          <a:extLst>
            <a:ext uri="{FF2B5EF4-FFF2-40B4-BE49-F238E27FC236}">
              <a16:creationId xmlns:a16="http://schemas.microsoft.com/office/drawing/2014/main" id="{00000000-0008-0000-0200-000021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826" name="Rectangle 57">
          <a:extLst>
            <a:ext uri="{FF2B5EF4-FFF2-40B4-BE49-F238E27FC236}">
              <a16:creationId xmlns:a16="http://schemas.microsoft.com/office/drawing/2014/main" id="{00000000-0008-0000-0200-000022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827" name="Line 58">
          <a:extLst>
            <a:ext uri="{FF2B5EF4-FFF2-40B4-BE49-F238E27FC236}">
              <a16:creationId xmlns:a16="http://schemas.microsoft.com/office/drawing/2014/main" id="{00000000-0008-0000-0200-000023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828" name="Line 59">
          <a:extLst>
            <a:ext uri="{FF2B5EF4-FFF2-40B4-BE49-F238E27FC236}">
              <a16:creationId xmlns:a16="http://schemas.microsoft.com/office/drawing/2014/main" id="{00000000-0008-0000-0200-000024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829" name="Line 60">
          <a:extLst>
            <a:ext uri="{FF2B5EF4-FFF2-40B4-BE49-F238E27FC236}">
              <a16:creationId xmlns:a16="http://schemas.microsoft.com/office/drawing/2014/main" id="{00000000-0008-0000-0200-000025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830" name="Line 61">
          <a:extLst>
            <a:ext uri="{FF2B5EF4-FFF2-40B4-BE49-F238E27FC236}">
              <a16:creationId xmlns:a16="http://schemas.microsoft.com/office/drawing/2014/main" id="{00000000-0008-0000-0200-000026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831" name="Line 62">
          <a:extLst>
            <a:ext uri="{FF2B5EF4-FFF2-40B4-BE49-F238E27FC236}">
              <a16:creationId xmlns:a16="http://schemas.microsoft.com/office/drawing/2014/main" id="{00000000-0008-0000-0200-000027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832" name="Line 63">
          <a:extLst>
            <a:ext uri="{FF2B5EF4-FFF2-40B4-BE49-F238E27FC236}">
              <a16:creationId xmlns:a16="http://schemas.microsoft.com/office/drawing/2014/main" id="{00000000-0008-0000-0200-000028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833" name="Line 64">
          <a:extLst>
            <a:ext uri="{FF2B5EF4-FFF2-40B4-BE49-F238E27FC236}">
              <a16:creationId xmlns:a16="http://schemas.microsoft.com/office/drawing/2014/main" id="{00000000-0008-0000-0200-000029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834" name="Line 65">
          <a:extLst>
            <a:ext uri="{FF2B5EF4-FFF2-40B4-BE49-F238E27FC236}">
              <a16:creationId xmlns:a16="http://schemas.microsoft.com/office/drawing/2014/main" id="{00000000-0008-0000-0200-00002A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835" name="Line 66">
          <a:extLst>
            <a:ext uri="{FF2B5EF4-FFF2-40B4-BE49-F238E27FC236}">
              <a16:creationId xmlns:a16="http://schemas.microsoft.com/office/drawing/2014/main" id="{00000000-0008-0000-0200-00002B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836" name="Line 67">
          <a:extLst>
            <a:ext uri="{FF2B5EF4-FFF2-40B4-BE49-F238E27FC236}">
              <a16:creationId xmlns:a16="http://schemas.microsoft.com/office/drawing/2014/main" id="{00000000-0008-0000-0200-00002C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837" name="Line 68">
          <a:extLst>
            <a:ext uri="{FF2B5EF4-FFF2-40B4-BE49-F238E27FC236}">
              <a16:creationId xmlns:a16="http://schemas.microsoft.com/office/drawing/2014/main" id="{00000000-0008-0000-0200-00002D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838" name="Line 1">
          <a:extLst>
            <a:ext uri="{FF2B5EF4-FFF2-40B4-BE49-F238E27FC236}">
              <a16:creationId xmlns:a16="http://schemas.microsoft.com/office/drawing/2014/main" id="{00000000-0008-0000-0200-00002E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839" name="Drawing 16">
          <a:extLst>
            <a:ext uri="{FF2B5EF4-FFF2-40B4-BE49-F238E27FC236}">
              <a16:creationId xmlns:a16="http://schemas.microsoft.com/office/drawing/2014/main" id="{00000000-0008-0000-0200-00002F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840" name="Line 3">
          <a:extLst>
            <a:ext uri="{FF2B5EF4-FFF2-40B4-BE49-F238E27FC236}">
              <a16:creationId xmlns:a16="http://schemas.microsoft.com/office/drawing/2014/main" id="{00000000-0008-0000-0200-000030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841" name="Line 4">
          <a:extLst>
            <a:ext uri="{FF2B5EF4-FFF2-40B4-BE49-F238E27FC236}">
              <a16:creationId xmlns:a16="http://schemas.microsoft.com/office/drawing/2014/main" id="{00000000-0008-0000-0200-000031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842" name="Line 5">
          <a:extLst>
            <a:ext uri="{FF2B5EF4-FFF2-40B4-BE49-F238E27FC236}">
              <a16:creationId xmlns:a16="http://schemas.microsoft.com/office/drawing/2014/main" id="{00000000-0008-0000-0200-000032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843" name="Line 6">
          <a:extLst>
            <a:ext uri="{FF2B5EF4-FFF2-40B4-BE49-F238E27FC236}">
              <a16:creationId xmlns:a16="http://schemas.microsoft.com/office/drawing/2014/main" id="{00000000-0008-0000-0200-000033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844" name="Line 7">
          <a:extLst>
            <a:ext uri="{FF2B5EF4-FFF2-40B4-BE49-F238E27FC236}">
              <a16:creationId xmlns:a16="http://schemas.microsoft.com/office/drawing/2014/main" id="{00000000-0008-0000-0200-00003407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845" name="Line 8">
          <a:extLst>
            <a:ext uri="{FF2B5EF4-FFF2-40B4-BE49-F238E27FC236}">
              <a16:creationId xmlns:a16="http://schemas.microsoft.com/office/drawing/2014/main" id="{00000000-0008-0000-0200-00003507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846" name="Line 9">
          <a:extLst>
            <a:ext uri="{FF2B5EF4-FFF2-40B4-BE49-F238E27FC236}">
              <a16:creationId xmlns:a16="http://schemas.microsoft.com/office/drawing/2014/main" id="{00000000-0008-0000-0200-00003607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847" name="Line 10">
          <a:extLst>
            <a:ext uri="{FF2B5EF4-FFF2-40B4-BE49-F238E27FC236}">
              <a16:creationId xmlns:a16="http://schemas.microsoft.com/office/drawing/2014/main" id="{00000000-0008-0000-0200-00003707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848" name="Line 11">
          <a:extLst>
            <a:ext uri="{FF2B5EF4-FFF2-40B4-BE49-F238E27FC236}">
              <a16:creationId xmlns:a16="http://schemas.microsoft.com/office/drawing/2014/main" id="{00000000-0008-0000-0200-00003807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849" name="Line 12">
          <a:extLst>
            <a:ext uri="{FF2B5EF4-FFF2-40B4-BE49-F238E27FC236}">
              <a16:creationId xmlns:a16="http://schemas.microsoft.com/office/drawing/2014/main" id="{00000000-0008-0000-0200-00003907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850" name="Line 13">
          <a:extLst>
            <a:ext uri="{FF2B5EF4-FFF2-40B4-BE49-F238E27FC236}">
              <a16:creationId xmlns:a16="http://schemas.microsoft.com/office/drawing/2014/main" id="{00000000-0008-0000-0200-00003A07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851" name="Line 14">
          <a:extLst>
            <a:ext uri="{FF2B5EF4-FFF2-40B4-BE49-F238E27FC236}">
              <a16:creationId xmlns:a16="http://schemas.microsoft.com/office/drawing/2014/main" id="{00000000-0008-0000-0200-00003B07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852" name="Line 15">
          <a:extLst>
            <a:ext uri="{FF2B5EF4-FFF2-40B4-BE49-F238E27FC236}">
              <a16:creationId xmlns:a16="http://schemas.microsoft.com/office/drawing/2014/main" id="{00000000-0008-0000-0200-00003C07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853" name="Line 16">
          <a:extLst>
            <a:ext uri="{FF2B5EF4-FFF2-40B4-BE49-F238E27FC236}">
              <a16:creationId xmlns:a16="http://schemas.microsoft.com/office/drawing/2014/main" id="{00000000-0008-0000-0200-00003D07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854" name="Line 17">
          <a:extLst>
            <a:ext uri="{FF2B5EF4-FFF2-40B4-BE49-F238E27FC236}">
              <a16:creationId xmlns:a16="http://schemas.microsoft.com/office/drawing/2014/main" id="{00000000-0008-0000-0200-00003E07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855" name="Line 18">
          <a:extLst>
            <a:ext uri="{FF2B5EF4-FFF2-40B4-BE49-F238E27FC236}">
              <a16:creationId xmlns:a16="http://schemas.microsoft.com/office/drawing/2014/main" id="{00000000-0008-0000-0200-00003F07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856" name="Line 19">
          <a:extLst>
            <a:ext uri="{FF2B5EF4-FFF2-40B4-BE49-F238E27FC236}">
              <a16:creationId xmlns:a16="http://schemas.microsoft.com/office/drawing/2014/main" id="{00000000-0008-0000-0200-00004007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857" name="Line 20">
          <a:extLst>
            <a:ext uri="{FF2B5EF4-FFF2-40B4-BE49-F238E27FC236}">
              <a16:creationId xmlns:a16="http://schemas.microsoft.com/office/drawing/2014/main" id="{00000000-0008-0000-0200-00004107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858" name="Line 21">
          <a:extLst>
            <a:ext uri="{FF2B5EF4-FFF2-40B4-BE49-F238E27FC236}">
              <a16:creationId xmlns:a16="http://schemas.microsoft.com/office/drawing/2014/main" id="{00000000-0008-0000-0200-00004207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859" name="Line 22">
          <a:extLst>
            <a:ext uri="{FF2B5EF4-FFF2-40B4-BE49-F238E27FC236}">
              <a16:creationId xmlns:a16="http://schemas.microsoft.com/office/drawing/2014/main" id="{00000000-0008-0000-0200-00004307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860" name="Line 23">
          <a:extLst>
            <a:ext uri="{FF2B5EF4-FFF2-40B4-BE49-F238E27FC236}">
              <a16:creationId xmlns:a16="http://schemas.microsoft.com/office/drawing/2014/main" id="{00000000-0008-0000-0200-000044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861" name="Line 24">
          <a:extLst>
            <a:ext uri="{FF2B5EF4-FFF2-40B4-BE49-F238E27FC236}">
              <a16:creationId xmlns:a16="http://schemas.microsoft.com/office/drawing/2014/main" id="{00000000-0008-0000-0200-000045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862" name="Line 25">
          <a:extLst>
            <a:ext uri="{FF2B5EF4-FFF2-40B4-BE49-F238E27FC236}">
              <a16:creationId xmlns:a16="http://schemas.microsoft.com/office/drawing/2014/main" id="{00000000-0008-0000-0200-000046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863" name="Line 26">
          <a:extLst>
            <a:ext uri="{FF2B5EF4-FFF2-40B4-BE49-F238E27FC236}">
              <a16:creationId xmlns:a16="http://schemas.microsoft.com/office/drawing/2014/main" id="{00000000-0008-0000-0200-000047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864" name="Line 27">
          <a:extLst>
            <a:ext uri="{FF2B5EF4-FFF2-40B4-BE49-F238E27FC236}">
              <a16:creationId xmlns:a16="http://schemas.microsoft.com/office/drawing/2014/main" id="{00000000-0008-0000-0200-000048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865" name="Line 28">
          <a:extLst>
            <a:ext uri="{FF2B5EF4-FFF2-40B4-BE49-F238E27FC236}">
              <a16:creationId xmlns:a16="http://schemas.microsoft.com/office/drawing/2014/main" id="{00000000-0008-0000-0200-000049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866" name="Line 29">
          <a:extLst>
            <a:ext uri="{FF2B5EF4-FFF2-40B4-BE49-F238E27FC236}">
              <a16:creationId xmlns:a16="http://schemas.microsoft.com/office/drawing/2014/main" id="{00000000-0008-0000-0200-00004A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867" name="Line 30">
          <a:extLst>
            <a:ext uri="{FF2B5EF4-FFF2-40B4-BE49-F238E27FC236}">
              <a16:creationId xmlns:a16="http://schemas.microsoft.com/office/drawing/2014/main" id="{00000000-0008-0000-0200-00004B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868" name="Line 31">
          <a:extLst>
            <a:ext uri="{FF2B5EF4-FFF2-40B4-BE49-F238E27FC236}">
              <a16:creationId xmlns:a16="http://schemas.microsoft.com/office/drawing/2014/main" id="{00000000-0008-0000-0200-00004C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869" name="Line 32">
          <a:extLst>
            <a:ext uri="{FF2B5EF4-FFF2-40B4-BE49-F238E27FC236}">
              <a16:creationId xmlns:a16="http://schemas.microsoft.com/office/drawing/2014/main" id="{00000000-0008-0000-0200-00004D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870" name="Line 33">
          <a:extLst>
            <a:ext uri="{FF2B5EF4-FFF2-40B4-BE49-F238E27FC236}">
              <a16:creationId xmlns:a16="http://schemas.microsoft.com/office/drawing/2014/main" id="{00000000-0008-0000-0200-00004E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871" name="Line 34">
          <a:extLst>
            <a:ext uri="{FF2B5EF4-FFF2-40B4-BE49-F238E27FC236}">
              <a16:creationId xmlns:a16="http://schemas.microsoft.com/office/drawing/2014/main" id="{00000000-0008-0000-0200-00004F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872" name="Line 35">
          <a:extLst>
            <a:ext uri="{FF2B5EF4-FFF2-40B4-BE49-F238E27FC236}">
              <a16:creationId xmlns:a16="http://schemas.microsoft.com/office/drawing/2014/main" id="{00000000-0008-0000-0200-000050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873" name="Line 36">
          <a:extLst>
            <a:ext uri="{FF2B5EF4-FFF2-40B4-BE49-F238E27FC236}">
              <a16:creationId xmlns:a16="http://schemas.microsoft.com/office/drawing/2014/main" id="{00000000-0008-0000-0200-000051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874" name="Line 37">
          <a:extLst>
            <a:ext uri="{FF2B5EF4-FFF2-40B4-BE49-F238E27FC236}">
              <a16:creationId xmlns:a16="http://schemas.microsoft.com/office/drawing/2014/main" id="{00000000-0008-0000-0200-000052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875" name="Line 38">
          <a:extLst>
            <a:ext uri="{FF2B5EF4-FFF2-40B4-BE49-F238E27FC236}">
              <a16:creationId xmlns:a16="http://schemas.microsoft.com/office/drawing/2014/main" id="{00000000-0008-0000-0200-000053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876" name="Line 39">
          <a:extLst>
            <a:ext uri="{FF2B5EF4-FFF2-40B4-BE49-F238E27FC236}">
              <a16:creationId xmlns:a16="http://schemas.microsoft.com/office/drawing/2014/main" id="{00000000-0008-0000-0200-000054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877" name="Line 40">
          <a:extLst>
            <a:ext uri="{FF2B5EF4-FFF2-40B4-BE49-F238E27FC236}">
              <a16:creationId xmlns:a16="http://schemas.microsoft.com/office/drawing/2014/main" id="{00000000-0008-0000-0200-000055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878" name="Line 41">
          <a:extLst>
            <a:ext uri="{FF2B5EF4-FFF2-40B4-BE49-F238E27FC236}">
              <a16:creationId xmlns:a16="http://schemas.microsoft.com/office/drawing/2014/main" id="{00000000-0008-0000-0200-000056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879" name="Rectangle 42">
          <a:extLst>
            <a:ext uri="{FF2B5EF4-FFF2-40B4-BE49-F238E27FC236}">
              <a16:creationId xmlns:a16="http://schemas.microsoft.com/office/drawing/2014/main" id="{00000000-0008-0000-0200-000057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80" name="Line 43">
          <a:extLst>
            <a:ext uri="{FF2B5EF4-FFF2-40B4-BE49-F238E27FC236}">
              <a16:creationId xmlns:a16="http://schemas.microsoft.com/office/drawing/2014/main" id="{00000000-0008-0000-0200-000058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881" name="Line 44">
          <a:extLst>
            <a:ext uri="{FF2B5EF4-FFF2-40B4-BE49-F238E27FC236}">
              <a16:creationId xmlns:a16="http://schemas.microsoft.com/office/drawing/2014/main" id="{00000000-0008-0000-0200-000059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882" name="Line 45">
          <a:extLst>
            <a:ext uri="{FF2B5EF4-FFF2-40B4-BE49-F238E27FC236}">
              <a16:creationId xmlns:a16="http://schemas.microsoft.com/office/drawing/2014/main" id="{00000000-0008-0000-0200-00005A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883" name="Line 46">
          <a:extLst>
            <a:ext uri="{FF2B5EF4-FFF2-40B4-BE49-F238E27FC236}">
              <a16:creationId xmlns:a16="http://schemas.microsoft.com/office/drawing/2014/main" id="{00000000-0008-0000-0200-00005B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884" name="Line 47">
          <a:extLst>
            <a:ext uri="{FF2B5EF4-FFF2-40B4-BE49-F238E27FC236}">
              <a16:creationId xmlns:a16="http://schemas.microsoft.com/office/drawing/2014/main" id="{00000000-0008-0000-0200-00005C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885" name="Line 48">
          <a:extLst>
            <a:ext uri="{FF2B5EF4-FFF2-40B4-BE49-F238E27FC236}">
              <a16:creationId xmlns:a16="http://schemas.microsoft.com/office/drawing/2014/main" id="{00000000-0008-0000-0200-00005D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886" name="Line 49">
          <a:extLst>
            <a:ext uri="{FF2B5EF4-FFF2-40B4-BE49-F238E27FC236}">
              <a16:creationId xmlns:a16="http://schemas.microsoft.com/office/drawing/2014/main" id="{00000000-0008-0000-0200-00005E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887" name="Line 50">
          <a:extLst>
            <a:ext uri="{FF2B5EF4-FFF2-40B4-BE49-F238E27FC236}">
              <a16:creationId xmlns:a16="http://schemas.microsoft.com/office/drawing/2014/main" id="{00000000-0008-0000-0200-00005F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888" name="Line 51">
          <a:extLst>
            <a:ext uri="{FF2B5EF4-FFF2-40B4-BE49-F238E27FC236}">
              <a16:creationId xmlns:a16="http://schemas.microsoft.com/office/drawing/2014/main" id="{00000000-0008-0000-0200-000060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889" name="Line 52">
          <a:extLst>
            <a:ext uri="{FF2B5EF4-FFF2-40B4-BE49-F238E27FC236}">
              <a16:creationId xmlns:a16="http://schemas.microsoft.com/office/drawing/2014/main" id="{00000000-0008-0000-0200-000061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890" name="Line 53">
          <a:extLst>
            <a:ext uri="{FF2B5EF4-FFF2-40B4-BE49-F238E27FC236}">
              <a16:creationId xmlns:a16="http://schemas.microsoft.com/office/drawing/2014/main" id="{00000000-0008-0000-0200-000062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891" name="Line 54">
          <a:extLst>
            <a:ext uri="{FF2B5EF4-FFF2-40B4-BE49-F238E27FC236}">
              <a16:creationId xmlns:a16="http://schemas.microsoft.com/office/drawing/2014/main" id="{00000000-0008-0000-0200-000063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892" name="Line 55">
          <a:extLst>
            <a:ext uri="{FF2B5EF4-FFF2-40B4-BE49-F238E27FC236}">
              <a16:creationId xmlns:a16="http://schemas.microsoft.com/office/drawing/2014/main" id="{00000000-0008-0000-0200-000064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893" name="Line 56">
          <a:extLst>
            <a:ext uri="{FF2B5EF4-FFF2-40B4-BE49-F238E27FC236}">
              <a16:creationId xmlns:a16="http://schemas.microsoft.com/office/drawing/2014/main" id="{00000000-0008-0000-0200-000065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894" name="Rectangle 57">
          <a:extLst>
            <a:ext uri="{FF2B5EF4-FFF2-40B4-BE49-F238E27FC236}">
              <a16:creationId xmlns:a16="http://schemas.microsoft.com/office/drawing/2014/main" id="{00000000-0008-0000-0200-000066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895" name="Line 58">
          <a:extLst>
            <a:ext uri="{FF2B5EF4-FFF2-40B4-BE49-F238E27FC236}">
              <a16:creationId xmlns:a16="http://schemas.microsoft.com/office/drawing/2014/main" id="{00000000-0008-0000-0200-000067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896" name="Line 59">
          <a:extLst>
            <a:ext uri="{FF2B5EF4-FFF2-40B4-BE49-F238E27FC236}">
              <a16:creationId xmlns:a16="http://schemas.microsoft.com/office/drawing/2014/main" id="{00000000-0008-0000-0200-000068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897" name="Line 60">
          <a:extLst>
            <a:ext uri="{FF2B5EF4-FFF2-40B4-BE49-F238E27FC236}">
              <a16:creationId xmlns:a16="http://schemas.microsoft.com/office/drawing/2014/main" id="{00000000-0008-0000-0200-000069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898" name="Line 61">
          <a:extLst>
            <a:ext uri="{FF2B5EF4-FFF2-40B4-BE49-F238E27FC236}">
              <a16:creationId xmlns:a16="http://schemas.microsoft.com/office/drawing/2014/main" id="{00000000-0008-0000-0200-00006A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899" name="Line 62">
          <a:extLst>
            <a:ext uri="{FF2B5EF4-FFF2-40B4-BE49-F238E27FC236}">
              <a16:creationId xmlns:a16="http://schemas.microsoft.com/office/drawing/2014/main" id="{00000000-0008-0000-0200-00006B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900" name="Line 63">
          <a:extLst>
            <a:ext uri="{FF2B5EF4-FFF2-40B4-BE49-F238E27FC236}">
              <a16:creationId xmlns:a16="http://schemas.microsoft.com/office/drawing/2014/main" id="{00000000-0008-0000-0200-00006C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901" name="Line 64">
          <a:extLst>
            <a:ext uri="{FF2B5EF4-FFF2-40B4-BE49-F238E27FC236}">
              <a16:creationId xmlns:a16="http://schemas.microsoft.com/office/drawing/2014/main" id="{00000000-0008-0000-0200-00006D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902" name="Line 65">
          <a:extLst>
            <a:ext uri="{FF2B5EF4-FFF2-40B4-BE49-F238E27FC236}">
              <a16:creationId xmlns:a16="http://schemas.microsoft.com/office/drawing/2014/main" id="{00000000-0008-0000-0200-00006E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903" name="Line 66">
          <a:extLst>
            <a:ext uri="{FF2B5EF4-FFF2-40B4-BE49-F238E27FC236}">
              <a16:creationId xmlns:a16="http://schemas.microsoft.com/office/drawing/2014/main" id="{00000000-0008-0000-0200-00006F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904" name="Line 67">
          <a:extLst>
            <a:ext uri="{FF2B5EF4-FFF2-40B4-BE49-F238E27FC236}">
              <a16:creationId xmlns:a16="http://schemas.microsoft.com/office/drawing/2014/main" id="{00000000-0008-0000-0200-000070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905" name="Line 68">
          <a:extLst>
            <a:ext uri="{FF2B5EF4-FFF2-40B4-BE49-F238E27FC236}">
              <a16:creationId xmlns:a16="http://schemas.microsoft.com/office/drawing/2014/main" id="{00000000-0008-0000-0200-000071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906" name="Line 1">
          <a:extLst>
            <a:ext uri="{FF2B5EF4-FFF2-40B4-BE49-F238E27FC236}">
              <a16:creationId xmlns:a16="http://schemas.microsoft.com/office/drawing/2014/main" id="{00000000-0008-0000-0200-000072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907" name="Drawing 16">
          <a:extLst>
            <a:ext uri="{FF2B5EF4-FFF2-40B4-BE49-F238E27FC236}">
              <a16:creationId xmlns:a16="http://schemas.microsoft.com/office/drawing/2014/main" id="{00000000-0008-0000-0200-000073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908" name="Line 3">
          <a:extLst>
            <a:ext uri="{FF2B5EF4-FFF2-40B4-BE49-F238E27FC236}">
              <a16:creationId xmlns:a16="http://schemas.microsoft.com/office/drawing/2014/main" id="{00000000-0008-0000-0200-000074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909" name="Line 4">
          <a:extLst>
            <a:ext uri="{FF2B5EF4-FFF2-40B4-BE49-F238E27FC236}">
              <a16:creationId xmlns:a16="http://schemas.microsoft.com/office/drawing/2014/main" id="{00000000-0008-0000-0200-000075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910" name="Line 5">
          <a:extLst>
            <a:ext uri="{FF2B5EF4-FFF2-40B4-BE49-F238E27FC236}">
              <a16:creationId xmlns:a16="http://schemas.microsoft.com/office/drawing/2014/main" id="{00000000-0008-0000-0200-000076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911" name="Line 6">
          <a:extLst>
            <a:ext uri="{FF2B5EF4-FFF2-40B4-BE49-F238E27FC236}">
              <a16:creationId xmlns:a16="http://schemas.microsoft.com/office/drawing/2014/main" id="{00000000-0008-0000-0200-000077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912" name="Line 7">
          <a:extLst>
            <a:ext uri="{FF2B5EF4-FFF2-40B4-BE49-F238E27FC236}">
              <a16:creationId xmlns:a16="http://schemas.microsoft.com/office/drawing/2014/main" id="{00000000-0008-0000-0200-00007807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913" name="Line 8">
          <a:extLst>
            <a:ext uri="{FF2B5EF4-FFF2-40B4-BE49-F238E27FC236}">
              <a16:creationId xmlns:a16="http://schemas.microsoft.com/office/drawing/2014/main" id="{00000000-0008-0000-0200-00007907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914" name="Line 9">
          <a:extLst>
            <a:ext uri="{FF2B5EF4-FFF2-40B4-BE49-F238E27FC236}">
              <a16:creationId xmlns:a16="http://schemas.microsoft.com/office/drawing/2014/main" id="{00000000-0008-0000-0200-00007A07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915" name="Line 10">
          <a:extLst>
            <a:ext uri="{FF2B5EF4-FFF2-40B4-BE49-F238E27FC236}">
              <a16:creationId xmlns:a16="http://schemas.microsoft.com/office/drawing/2014/main" id="{00000000-0008-0000-0200-00007B07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916" name="Line 11">
          <a:extLst>
            <a:ext uri="{FF2B5EF4-FFF2-40B4-BE49-F238E27FC236}">
              <a16:creationId xmlns:a16="http://schemas.microsoft.com/office/drawing/2014/main" id="{00000000-0008-0000-0200-00007C07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917" name="Line 12">
          <a:extLst>
            <a:ext uri="{FF2B5EF4-FFF2-40B4-BE49-F238E27FC236}">
              <a16:creationId xmlns:a16="http://schemas.microsoft.com/office/drawing/2014/main" id="{00000000-0008-0000-0200-00007D07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918" name="Line 13">
          <a:extLst>
            <a:ext uri="{FF2B5EF4-FFF2-40B4-BE49-F238E27FC236}">
              <a16:creationId xmlns:a16="http://schemas.microsoft.com/office/drawing/2014/main" id="{00000000-0008-0000-0200-00007E07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19" name="Line 14">
          <a:extLst>
            <a:ext uri="{FF2B5EF4-FFF2-40B4-BE49-F238E27FC236}">
              <a16:creationId xmlns:a16="http://schemas.microsoft.com/office/drawing/2014/main" id="{00000000-0008-0000-0200-00007F07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920" name="Line 15">
          <a:extLst>
            <a:ext uri="{FF2B5EF4-FFF2-40B4-BE49-F238E27FC236}">
              <a16:creationId xmlns:a16="http://schemas.microsoft.com/office/drawing/2014/main" id="{00000000-0008-0000-0200-00008007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21" name="Line 16">
          <a:extLst>
            <a:ext uri="{FF2B5EF4-FFF2-40B4-BE49-F238E27FC236}">
              <a16:creationId xmlns:a16="http://schemas.microsoft.com/office/drawing/2014/main" id="{00000000-0008-0000-0200-00008107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922" name="Line 17">
          <a:extLst>
            <a:ext uri="{FF2B5EF4-FFF2-40B4-BE49-F238E27FC236}">
              <a16:creationId xmlns:a16="http://schemas.microsoft.com/office/drawing/2014/main" id="{00000000-0008-0000-0200-00008207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923" name="Line 18">
          <a:extLst>
            <a:ext uri="{FF2B5EF4-FFF2-40B4-BE49-F238E27FC236}">
              <a16:creationId xmlns:a16="http://schemas.microsoft.com/office/drawing/2014/main" id="{00000000-0008-0000-0200-00008307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924" name="Line 19">
          <a:extLst>
            <a:ext uri="{FF2B5EF4-FFF2-40B4-BE49-F238E27FC236}">
              <a16:creationId xmlns:a16="http://schemas.microsoft.com/office/drawing/2014/main" id="{00000000-0008-0000-0200-00008407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925" name="Line 20">
          <a:extLst>
            <a:ext uri="{FF2B5EF4-FFF2-40B4-BE49-F238E27FC236}">
              <a16:creationId xmlns:a16="http://schemas.microsoft.com/office/drawing/2014/main" id="{00000000-0008-0000-0200-00008507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926" name="Line 21">
          <a:extLst>
            <a:ext uri="{FF2B5EF4-FFF2-40B4-BE49-F238E27FC236}">
              <a16:creationId xmlns:a16="http://schemas.microsoft.com/office/drawing/2014/main" id="{00000000-0008-0000-0200-00008607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927" name="Line 22">
          <a:extLst>
            <a:ext uri="{FF2B5EF4-FFF2-40B4-BE49-F238E27FC236}">
              <a16:creationId xmlns:a16="http://schemas.microsoft.com/office/drawing/2014/main" id="{00000000-0008-0000-0200-00008707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928" name="Line 23">
          <a:extLst>
            <a:ext uri="{FF2B5EF4-FFF2-40B4-BE49-F238E27FC236}">
              <a16:creationId xmlns:a16="http://schemas.microsoft.com/office/drawing/2014/main" id="{00000000-0008-0000-0200-000088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929" name="Line 24">
          <a:extLst>
            <a:ext uri="{FF2B5EF4-FFF2-40B4-BE49-F238E27FC236}">
              <a16:creationId xmlns:a16="http://schemas.microsoft.com/office/drawing/2014/main" id="{00000000-0008-0000-0200-000089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930" name="Line 25">
          <a:extLst>
            <a:ext uri="{FF2B5EF4-FFF2-40B4-BE49-F238E27FC236}">
              <a16:creationId xmlns:a16="http://schemas.microsoft.com/office/drawing/2014/main" id="{00000000-0008-0000-0200-00008A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931" name="Line 26">
          <a:extLst>
            <a:ext uri="{FF2B5EF4-FFF2-40B4-BE49-F238E27FC236}">
              <a16:creationId xmlns:a16="http://schemas.microsoft.com/office/drawing/2014/main" id="{00000000-0008-0000-0200-00008B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1932" name="Line 27">
          <a:extLst>
            <a:ext uri="{FF2B5EF4-FFF2-40B4-BE49-F238E27FC236}">
              <a16:creationId xmlns:a16="http://schemas.microsoft.com/office/drawing/2014/main" id="{00000000-0008-0000-0200-00008C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1933" name="Line 28">
          <a:extLst>
            <a:ext uri="{FF2B5EF4-FFF2-40B4-BE49-F238E27FC236}">
              <a16:creationId xmlns:a16="http://schemas.microsoft.com/office/drawing/2014/main" id="{00000000-0008-0000-0200-00008D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1934" name="Line 29">
          <a:extLst>
            <a:ext uri="{FF2B5EF4-FFF2-40B4-BE49-F238E27FC236}">
              <a16:creationId xmlns:a16="http://schemas.microsoft.com/office/drawing/2014/main" id="{00000000-0008-0000-0200-00008E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1935" name="Line 30">
          <a:extLst>
            <a:ext uri="{FF2B5EF4-FFF2-40B4-BE49-F238E27FC236}">
              <a16:creationId xmlns:a16="http://schemas.microsoft.com/office/drawing/2014/main" id="{00000000-0008-0000-0200-00008F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1936" name="Line 31">
          <a:extLst>
            <a:ext uri="{FF2B5EF4-FFF2-40B4-BE49-F238E27FC236}">
              <a16:creationId xmlns:a16="http://schemas.microsoft.com/office/drawing/2014/main" id="{00000000-0008-0000-0200-000090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1937" name="Line 32">
          <a:extLst>
            <a:ext uri="{FF2B5EF4-FFF2-40B4-BE49-F238E27FC236}">
              <a16:creationId xmlns:a16="http://schemas.microsoft.com/office/drawing/2014/main" id="{00000000-0008-0000-0200-000091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1938" name="Line 33">
          <a:extLst>
            <a:ext uri="{FF2B5EF4-FFF2-40B4-BE49-F238E27FC236}">
              <a16:creationId xmlns:a16="http://schemas.microsoft.com/office/drawing/2014/main" id="{00000000-0008-0000-0200-000092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1939" name="Line 34">
          <a:extLst>
            <a:ext uri="{FF2B5EF4-FFF2-40B4-BE49-F238E27FC236}">
              <a16:creationId xmlns:a16="http://schemas.microsoft.com/office/drawing/2014/main" id="{00000000-0008-0000-0200-000093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1940" name="Line 35">
          <a:extLst>
            <a:ext uri="{FF2B5EF4-FFF2-40B4-BE49-F238E27FC236}">
              <a16:creationId xmlns:a16="http://schemas.microsoft.com/office/drawing/2014/main" id="{00000000-0008-0000-0200-000094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1941" name="Line 36">
          <a:extLst>
            <a:ext uri="{FF2B5EF4-FFF2-40B4-BE49-F238E27FC236}">
              <a16:creationId xmlns:a16="http://schemas.microsoft.com/office/drawing/2014/main" id="{00000000-0008-0000-0200-000095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1942" name="Line 37">
          <a:extLst>
            <a:ext uri="{FF2B5EF4-FFF2-40B4-BE49-F238E27FC236}">
              <a16:creationId xmlns:a16="http://schemas.microsoft.com/office/drawing/2014/main" id="{00000000-0008-0000-0200-000096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1943" name="Line 38">
          <a:extLst>
            <a:ext uri="{FF2B5EF4-FFF2-40B4-BE49-F238E27FC236}">
              <a16:creationId xmlns:a16="http://schemas.microsoft.com/office/drawing/2014/main" id="{00000000-0008-0000-0200-000097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1944" name="Line 39">
          <a:extLst>
            <a:ext uri="{FF2B5EF4-FFF2-40B4-BE49-F238E27FC236}">
              <a16:creationId xmlns:a16="http://schemas.microsoft.com/office/drawing/2014/main" id="{00000000-0008-0000-0200-000098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1945" name="Line 40">
          <a:extLst>
            <a:ext uri="{FF2B5EF4-FFF2-40B4-BE49-F238E27FC236}">
              <a16:creationId xmlns:a16="http://schemas.microsoft.com/office/drawing/2014/main" id="{00000000-0008-0000-0200-000099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1946" name="Line 41">
          <a:extLst>
            <a:ext uri="{FF2B5EF4-FFF2-40B4-BE49-F238E27FC236}">
              <a16:creationId xmlns:a16="http://schemas.microsoft.com/office/drawing/2014/main" id="{00000000-0008-0000-0200-00009A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1947" name="Rectangle 42">
          <a:extLst>
            <a:ext uri="{FF2B5EF4-FFF2-40B4-BE49-F238E27FC236}">
              <a16:creationId xmlns:a16="http://schemas.microsoft.com/office/drawing/2014/main" id="{00000000-0008-0000-0200-00009B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948" name="Line 43">
          <a:extLst>
            <a:ext uri="{FF2B5EF4-FFF2-40B4-BE49-F238E27FC236}">
              <a16:creationId xmlns:a16="http://schemas.microsoft.com/office/drawing/2014/main" id="{00000000-0008-0000-0200-00009C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949" name="Line 44">
          <a:extLst>
            <a:ext uri="{FF2B5EF4-FFF2-40B4-BE49-F238E27FC236}">
              <a16:creationId xmlns:a16="http://schemas.microsoft.com/office/drawing/2014/main" id="{00000000-0008-0000-0200-00009D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1950" name="Line 45">
          <a:extLst>
            <a:ext uri="{FF2B5EF4-FFF2-40B4-BE49-F238E27FC236}">
              <a16:creationId xmlns:a16="http://schemas.microsoft.com/office/drawing/2014/main" id="{00000000-0008-0000-0200-00009E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1951" name="Line 46">
          <a:extLst>
            <a:ext uri="{FF2B5EF4-FFF2-40B4-BE49-F238E27FC236}">
              <a16:creationId xmlns:a16="http://schemas.microsoft.com/office/drawing/2014/main" id="{00000000-0008-0000-0200-00009F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1952" name="Line 47">
          <a:extLst>
            <a:ext uri="{FF2B5EF4-FFF2-40B4-BE49-F238E27FC236}">
              <a16:creationId xmlns:a16="http://schemas.microsoft.com/office/drawing/2014/main" id="{00000000-0008-0000-0200-0000A0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1953" name="Line 48">
          <a:extLst>
            <a:ext uri="{FF2B5EF4-FFF2-40B4-BE49-F238E27FC236}">
              <a16:creationId xmlns:a16="http://schemas.microsoft.com/office/drawing/2014/main" id="{00000000-0008-0000-0200-0000A1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1954" name="Line 49">
          <a:extLst>
            <a:ext uri="{FF2B5EF4-FFF2-40B4-BE49-F238E27FC236}">
              <a16:creationId xmlns:a16="http://schemas.microsoft.com/office/drawing/2014/main" id="{00000000-0008-0000-0200-0000A2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1955" name="Line 50">
          <a:extLst>
            <a:ext uri="{FF2B5EF4-FFF2-40B4-BE49-F238E27FC236}">
              <a16:creationId xmlns:a16="http://schemas.microsoft.com/office/drawing/2014/main" id="{00000000-0008-0000-0200-0000A3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1956" name="Line 51">
          <a:extLst>
            <a:ext uri="{FF2B5EF4-FFF2-40B4-BE49-F238E27FC236}">
              <a16:creationId xmlns:a16="http://schemas.microsoft.com/office/drawing/2014/main" id="{00000000-0008-0000-0200-0000A4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1957" name="Line 52">
          <a:extLst>
            <a:ext uri="{FF2B5EF4-FFF2-40B4-BE49-F238E27FC236}">
              <a16:creationId xmlns:a16="http://schemas.microsoft.com/office/drawing/2014/main" id="{00000000-0008-0000-0200-0000A5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1958" name="Line 53">
          <a:extLst>
            <a:ext uri="{FF2B5EF4-FFF2-40B4-BE49-F238E27FC236}">
              <a16:creationId xmlns:a16="http://schemas.microsoft.com/office/drawing/2014/main" id="{00000000-0008-0000-0200-0000A6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1959" name="Line 54">
          <a:extLst>
            <a:ext uri="{FF2B5EF4-FFF2-40B4-BE49-F238E27FC236}">
              <a16:creationId xmlns:a16="http://schemas.microsoft.com/office/drawing/2014/main" id="{00000000-0008-0000-0200-0000A7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1960" name="Line 55">
          <a:extLst>
            <a:ext uri="{FF2B5EF4-FFF2-40B4-BE49-F238E27FC236}">
              <a16:creationId xmlns:a16="http://schemas.microsoft.com/office/drawing/2014/main" id="{00000000-0008-0000-0200-0000A8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1961" name="Line 56">
          <a:extLst>
            <a:ext uri="{FF2B5EF4-FFF2-40B4-BE49-F238E27FC236}">
              <a16:creationId xmlns:a16="http://schemas.microsoft.com/office/drawing/2014/main" id="{00000000-0008-0000-0200-0000A9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1962" name="Rectangle 57">
          <a:extLst>
            <a:ext uri="{FF2B5EF4-FFF2-40B4-BE49-F238E27FC236}">
              <a16:creationId xmlns:a16="http://schemas.microsoft.com/office/drawing/2014/main" id="{00000000-0008-0000-0200-0000AA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1963" name="Line 58">
          <a:extLst>
            <a:ext uri="{FF2B5EF4-FFF2-40B4-BE49-F238E27FC236}">
              <a16:creationId xmlns:a16="http://schemas.microsoft.com/office/drawing/2014/main" id="{00000000-0008-0000-0200-0000AB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1964" name="Line 59">
          <a:extLst>
            <a:ext uri="{FF2B5EF4-FFF2-40B4-BE49-F238E27FC236}">
              <a16:creationId xmlns:a16="http://schemas.microsoft.com/office/drawing/2014/main" id="{00000000-0008-0000-0200-0000AC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1965" name="Line 60">
          <a:extLst>
            <a:ext uri="{FF2B5EF4-FFF2-40B4-BE49-F238E27FC236}">
              <a16:creationId xmlns:a16="http://schemas.microsoft.com/office/drawing/2014/main" id="{00000000-0008-0000-0200-0000AD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1966" name="Line 61">
          <a:extLst>
            <a:ext uri="{FF2B5EF4-FFF2-40B4-BE49-F238E27FC236}">
              <a16:creationId xmlns:a16="http://schemas.microsoft.com/office/drawing/2014/main" id="{00000000-0008-0000-0200-0000AE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1967" name="Line 62">
          <a:extLst>
            <a:ext uri="{FF2B5EF4-FFF2-40B4-BE49-F238E27FC236}">
              <a16:creationId xmlns:a16="http://schemas.microsoft.com/office/drawing/2014/main" id="{00000000-0008-0000-0200-0000AF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1968" name="Line 63">
          <a:extLst>
            <a:ext uri="{FF2B5EF4-FFF2-40B4-BE49-F238E27FC236}">
              <a16:creationId xmlns:a16="http://schemas.microsoft.com/office/drawing/2014/main" id="{00000000-0008-0000-0200-0000B0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1969" name="Line 64">
          <a:extLst>
            <a:ext uri="{FF2B5EF4-FFF2-40B4-BE49-F238E27FC236}">
              <a16:creationId xmlns:a16="http://schemas.microsoft.com/office/drawing/2014/main" id="{00000000-0008-0000-0200-0000B1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1970" name="Line 65">
          <a:extLst>
            <a:ext uri="{FF2B5EF4-FFF2-40B4-BE49-F238E27FC236}">
              <a16:creationId xmlns:a16="http://schemas.microsoft.com/office/drawing/2014/main" id="{00000000-0008-0000-0200-0000B2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1971" name="Line 66">
          <a:extLst>
            <a:ext uri="{FF2B5EF4-FFF2-40B4-BE49-F238E27FC236}">
              <a16:creationId xmlns:a16="http://schemas.microsoft.com/office/drawing/2014/main" id="{00000000-0008-0000-0200-0000B3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1972" name="Line 67">
          <a:extLst>
            <a:ext uri="{FF2B5EF4-FFF2-40B4-BE49-F238E27FC236}">
              <a16:creationId xmlns:a16="http://schemas.microsoft.com/office/drawing/2014/main" id="{00000000-0008-0000-0200-0000B4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1973" name="Line 68">
          <a:extLst>
            <a:ext uri="{FF2B5EF4-FFF2-40B4-BE49-F238E27FC236}">
              <a16:creationId xmlns:a16="http://schemas.microsoft.com/office/drawing/2014/main" id="{00000000-0008-0000-0200-0000B5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1974" name="Line 1">
          <a:extLst>
            <a:ext uri="{FF2B5EF4-FFF2-40B4-BE49-F238E27FC236}">
              <a16:creationId xmlns:a16="http://schemas.microsoft.com/office/drawing/2014/main" id="{00000000-0008-0000-0200-0000B6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1975" name="Drawing 16">
          <a:extLst>
            <a:ext uri="{FF2B5EF4-FFF2-40B4-BE49-F238E27FC236}">
              <a16:creationId xmlns:a16="http://schemas.microsoft.com/office/drawing/2014/main" id="{00000000-0008-0000-0200-0000B7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1976" name="Line 3">
          <a:extLst>
            <a:ext uri="{FF2B5EF4-FFF2-40B4-BE49-F238E27FC236}">
              <a16:creationId xmlns:a16="http://schemas.microsoft.com/office/drawing/2014/main" id="{00000000-0008-0000-0200-0000B8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1977" name="Line 4">
          <a:extLst>
            <a:ext uri="{FF2B5EF4-FFF2-40B4-BE49-F238E27FC236}">
              <a16:creationId xmlns:a16="http://schemas.microsoft.com/office/drawing/2014/main" id="{00000000-0008-0000-0200-0000B9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1978" name="Line 5">
          <a:extLst>
            <a:ext uri="{FF2B5EF4-FFF2-40B4-BE49-F238E27FC236}">
              <a16:creationId xmlns:a16="http://schemas.microsoft.com/office/drawing/2014/main" id="{00000000-0008-0000-0200-0000BA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1979" name="Line 6">
          <a:extLst>
            <a:ext uri="{FF2B5EF4-FFF2-40B4-BE49-F238E27FC236}">
              <a16:creationId xmlns:a16="http://schemas.microsoft.com/office/drawing/2014/main" id="{00000000-0008-0000-0200-0000BB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1980" name="Line 7">
          <a:extLst>
            <a:ext uri="{FF2B5EF4-FFF2-40B4-BE49-F238E27FC236}">
              <a16:creationId xmlns:a16="http://schemas.microsoft.com/office/drawing/2014/main" id="{00000000-0008-0000-0200-0000BC07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1981" name="Line 8">
          <a:extLst>
            <a:ext uri="{FF2B5EF4-FFF2-40B4-BE49-F238E27FC236}">
              <a16:creationId xmlns:a16="http://schemas.microsoft.com/office/drawing/2014/main" id="{00000000-0008-0000-0200-0000BD07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1982" name="Line 9">
          <a:extLst>
            <a:ext uri="{FF2B5EF4-FFF2-40B4-BE49-F238E27FC236}">
              <a16:creationId xmlns:a16="http://schemas.microsoft.com/office/drawing/2014/main" id="{00000000-0008-0000-0200-0000BE07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1983" name="Line 10">
          <a:extLst>
            <a:ext uri="{FF2B5EF4-FFF2-40B4-BE49-F238E27FC236}">
              <a16:creationId xmlns:a16="http://schemas.microsoft.com/office/drawing/2014/main" id="{00000000-0008-0000-0200-0000BF07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1984" name="Line 11">
          <a:extLst>
            <a:ext uri="{FF2B5EF4-FFF2-40B4-BE49-F238E27FC236}">
              <a16:creationId xmlns:a16="http://schemas.microsoft.com/office/drawing/2014/main" id="{00000000-0008-0000-0200-0000C007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1985" name="Line 12">
          <a:extLst>
            <a:ext uri="{FF2B5EF4-FFF2-40B4-BE49-F238E27FC236}">
              <a16:creationId xmlns:a16="http://schemas.microsoft.com/office/drawing/2014/main" id="{00000000-0008-0000-0200-0000C107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1986" name="Line 13">
          <a:extLst>
            <a:ext uri="{FF2B5EF4-FFF2-40B4-BE49-F238E27FC236}">
              <a16:creationId xmlns:a16="http://schemas.microsoft.com/office/drawing/2014/main" id="{00000000-0008-0000-0200-0000C207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87" name="Line 14">
          <a:extLst>
            <a:ext uri="{FF2B5EF4-FFF2-40B4-BE49-F238E27FC236}">
              <a16:creationId xmlns:a16="http://schemas.microsoft.com/office/drawing/2014/main" id="{00000000-0008-0000-0200-0000C307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1988" name="Line 15">
          <a:extLst>
            <a:ext uri="{FF2B5EF4-FFF2-40B4-BE49-F238E27FC236}">
              <a16:creationId xmlns:a16="http://schemas.microsoft.com/office/drawing/2014/main" id="{00000000-0008-0000-0200-0000C407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1989" name="Line 16">
          <a:extLst>
            <a:ext uri="{FF2B5EF4-FFF2-40B4-BE49-F238E27FC236}">
              <a16:creationId xmlns:a16="http://schemas.microsoft.com/office/drawing/2014/main" id="{00000000-0008-0000-0200-0000C507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1990" name="Line 17">
          <a:extLst>
            <a:ext uri="{FF2B5EF4-FFF2-40B4-BE49-F238E27FC236}">
              <a16:creationId xmlns:a16="http://schemas.microsoft.com/office/drawing/2014/main" id="{00000000-0008-0000-0200-0000C607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1991" name="Line 18">
          <a:extLst>
            <a:ext uri="{FF2B5EF4-FFF2-40B4-BE49-F238E27FC236}">
              <a16:creationId xmlns:a16="http://schemas.microsoft.com/office/drawing/2014/main" id="{00000000-0008-0000-0200-0000C707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1992" name="Line 19">
          <a:extLst>
            <a:ext uri="{FF2B5EF4-FFF2-40B4-BE49-F238E27FC236}">
              <a16:creationId xmlns:a16="http://schemas.microsoft.com/office/drawing/2014/main" id="{00000000-0008-0000-0200-0000C807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1993" name="Line 20">
          <a:extLst>
            <a:ext uri="{FF2B5EF4-FFF2-40B4-BE49-F238E27FC236}">
              <a16:creationId xmlns:a16="http://schemas.microsoft.com/office/drawing/2014/main" id="{00000000-0008-0000-0200-0000C907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1994" name="Line 21">
          <a:extLst>
            <a:ext uri="{FF2B5EF4-FFF2-40B4-BE49-F238E27FC236}">
              <a16:creationId xmlns:a16="http://schemas.microsoft.com/office/drawing/2014/main" id="{00000000-0008-0000-0200-0000CA07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1995" name="Line 22">
          <a:extLst>
            <a:ext uri="{FF2B5EF4-FFF2-40B4-BE49-F238E27FC236}">
              <a16:creationId xmlns:a16="http://schemas.microsoft.com/office/drawing/2014/main" id="{00000000-0008-0000-0200-0000CB07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1996" name="Line 23">
          <a:extLst>
            <a:ext uri="{FF2B5EF4-FFF2-40B4-BE49-F238E27FC236}">
              <a16:creationId xmlns:a16="http://schemas.microsoft.com/office/drawing/2014/main" id="{00000000-0008-0000-0200-0000CC07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1997" name="Line 24">
          <a:extLst>
            <a:ext uri="{FF2B5EF4-FFF2-40B4-BE49-F238E27FC236}">
              <a16:creationId xmlns:a16="http://schemas.microsoft.com/office/drawing/2014/main" id="{00000000-0008-0000-0200-0000CD07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1998" name="Line 25">
          <a:extLst>
            <a:ext uri="{FF2B5EF4-FFF2-40B4-BE49-F238E27FC236}">
              <a16:creationId xmlns:a16="http://schemas.microsoft.com/office/drawing/2014/main" id="{00000000-0008-0000-0200-0000CE07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1999" name="Line 26">
          <a:extLst>
            <a:ext uri="{FF2B5EF4-FFF2-40B4-BE49-F238E27FC236}">
              <a16:creationId xmlns:a16="http://schemas.microsoft.com/office/drawing/2014/main" id="{00000000-0008-0000-0200-0000CF07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000" name="Line 27">
          <a:extLst>
            <a:ext uri="{FF2B5EF4-FFF2-40B4-BE49-F238E27FC236}">
              <a16:creationId xmlns:a16="http://schemas.microsoft.com/office/drawing/2014/main" id="{00000000-0008-0000-0200-0000D007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001" name="Line 28">
          <a:extLst>
            <a:ext uri="{FF2B5EF4-FFF2-40B4-BE49-F238E27FC236}">
              <a16:creationId xmlns:a16="http://schemas.microsoft.com/office/drawing/2014/main" id="{00000000-0008-0000-0200-0000D107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002" name="Line 29">
          <a:extLst>
            <a:ext uri="{FF2B5EF4-FFF2-40B4-BE49-F238E27FC236}">
              <a16:creationId xmlns:a16="http://schemas.microsoft.com/office/drawing/2014/main" id="{00000000-0008-0000-0200-0000D207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003" name="Line 30">
          <a:extLst>
            <a:ext uri="{FF2B5EF4-FFF2-40B4-BE49-F238E27FC236}">
              <a16:creationId xmlns:a16="http://schemas.microsoft.com/office/drawing/2014/main" id="{00000000-0008-0000-0200-0000D307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004" name="Line 31">
          <a:extLst>
            <a:ext uri="{FF2B5EF4-FFF2-40B4-BE49-F238E27FC236}">
              <a16:creationId xmlns:a16="http://schemas.microsoft.com/office/drawing/2014/main" id="{00000000-0008-0000-0200-0000D407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005" name="Line 32">
          <a:extLst>
            <a:ext uri="{FF2B5EF4-FFF2-40B4-BE49-F238E27FC236}">
              <a16:creationId xmlns:a16="http://schemas.microsoft.com/office/drawing/2014/main" id="{00000000-0008-0000-0200-0000D507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006" name="Line 33">
          <a:extLst>
            <a:ext uri="{FF2B5EF4-FFF2-40B4-BE49-F238E27FC236}">
              <a16:creationId xmlns:a16="http://schemas.microsoft.com/office/drawing/2014/main" id="{00000000-0008-0000-0200-0000D607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007" name="Line 34">
          <a:extLst>
            <a:ext uri="{FF2B5EF4-FFF2-40B4-BE49-F238E27FC236}">
              <a16:creationId xmlns:a16="http://schemas.microsoft.com/office/drawing/2014/main" id="{00000000-0008-0000-0200-0000D707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008" name="Line 35">
          <a:extLst>
            <a:ext uri="{FF2B5EF4-FFF2-40B4-BE49-F238E27FC236}">
              <a16:creationId xmlns:a16="http://schemas.microsoft.com/office/drawing/2014/main" id="{00000000-0008-0000-0200-0000D807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009" name="Line 36">
          <a:extLst>
            <a:ext uri="{FF2B5EF4-FFF2-40B4-BE49-F238E27FC236}">
              <a16:creationId xmlns:a16="http://schemas.microsoft.com/office/drawing/2014/main" id="{00000000-0008-0000-0200-0000D907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010" name="Line 37">
          <a:extLst>
            <a:ext uri="{FF2B5EF4-FFF2-40B4-BE49-F238E27FC236}">
              <a16:creationId xmlns:a16="http://schemas.microsoft.com/office/drawing/2014/main" id="{00000000-0008-0000-0200-0000DA07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011" name="Line 38">
          <a:extLst>
            <a:ext uri="{FF2B5EF4-FFF2-40B4-BE49-F238E27FC236}">
              <a16:creationId xmlns:a16="http://schemas.microsoft.com/office/drawing/2014/main" id="{00000000-0008-0000-0200-0000DB07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012" name="Line 39">
          <a:extLst>
            <a:ext uri="{FF2B5EF4-FFF2-40B4-BE49-F238E27FC236}">
              <a16:creationId xmlns:a16="http://schemas.microsoft.com/office/drawing/2014/main" id="{00000000-0008-0000-0200-0000DC07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013" name="Line 40">
          <a:extLst>
            <a:ext uri="{FF2B5EF4-FFF2-40B4-BE49-F238E27FC236}">
              <a16:creationId xmlns:a16="http://schemas.microsoft.com/office/drawing/2014/main" id="{00000000-0008-0000-0200-0000DD07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014" name="Line 41">
          <a:extLst>
            <a:ext uri="{FF2B5EF4-FFF2-40B4-BE49-F238E27FC236}">
              <a16:creationId xmlns:a16="http://schemas.microsoft.com/office/drawing/2014/main" id="{00000000-0008-0000-0200-0000DE07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015" name="Rectangle 42">
          <a:extLst>
            <a:ext uri="{FF2B5EF4-FFF2-40B4-BE49-F238E27FC236}">
              <a16:creationId xmlns:a16="http://schemas.microsoft.com/office/drawing/2014/main" id="{00000000-0008-0000-0200-0000DF07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16" name="Line 43">
          <a:extLst>
            <a:ext uri="{FF2B5EF4-FFF2-40B4-BE49-F238E27FC236}">
              <a16:creationId xmlns:a16="http://schemas.microsoft.com/office/drawing/2014/main" id="{00000000-0008-0000-0200-0000E007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17" name="Line 44">
          <a:extLst>
            <a:ext uri="{FF2B5EF4-FFF2-40B4-BE49-F238E27FC236}">
              <a16:creationId xmlns:a16="http://schemas.microsoft.com/office/drawing/2014/main" id="{00000000-0008-0000-0200-0000E1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018" name="Line 45">
          <a:extLst>
            <a:ext uri="{FF2B5EF4-FFF2-40B4-BE49-F238E27FC236}">
              <a16:creationId xmlns:a16="http://schemas.microsoft.com/office/drawing/2014/main" id="{00000000-0008-0000-0200-0000E207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019" name="Line 46">
          <a:extLst>
            <a:ext uri="{FF2B5EF4-FFF2-40B4-BE49-F238E27FC236}">
              <a16:creationId xmlns:a16="http://schemas.microsoft.com/office/drawing/2014/main" id="{00000000-0008-0000-0200-0000E307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020" name="Line 47">
          <a:extLst>
            <a:ext uri="{FF2B5EF4-FFF2-40B4-BE49-F238E27FC236}">
              <a16:creationId xmlns:a16="http://schemas.microsoft.com/office/drawing/2014/main" id="{00000000-0008-0000-0200-0000E407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021" name="Line 48">
          <a:extLst>
            <a:ext uri="{FF2B5EF4-FFF2-40B4-BE49-F238E27FC236}">
              <a16:creationId xmlns:a16="http://schemas.microsoft.com/office/drawing/2014/main" id="{00000000-0008-0000-0200-0000E507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022" name="Line 49">
          <a:extLst>
            <a:ext uri="{FF2B5EF4-FFF2-40B4-BE49-F238E27FC236}">
              <a16:creationId xmlns:a16="http://schemas.microsoft.com/office/drawing/2014/main" id="{00000000-0008-0000-0200-0000E607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023" name="Line 50">
          <a:extLst>
            <a:ext uri="{FF2B5EF4-FFF2-40B4-BE49-F238E27FC236}">
              <a16:creationId xmlns:a16="http://schemas.microsoft.com/office/drawing/2014/main" id="{00000000-0008-0000-0200-0000E707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024" name="Line 51">
          <a:extLst>
            <a:ext uri="{FF2B5EF4-FFF2-40B4-BE49-F238E27FC236}">
              <a16:creationId xmlns:a16="http://schemas.microsoft.com/office/drawing/2014/main" id="{00000000-0008-0000-0200-0000E807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025" name="Line 52">
          <a:extLst>
            <a:ext uri="{FF2B5EF4-FFF2-40B4-BE49-F238E27FC236}">
              <a16:creationId xmlns:a16="http://schemas.microsoft.com/office/drawing/2014/main" id="{00000000-0008-0000-0200-0000E907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026" name="Line 53">
          <a:extLst>
            <a:ext uri="{FF2B5EF4-FFF2-40B4-BE49-F238E27FC236}">
              <a16:creationId xmlns:a16="http://schemas.microsoft.com/office/drawing/2014/main" id="{00000000-0008-0000-0200-0000EA07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027" name="Line 54">
          <a:extLst>
            <a:ext uri="{FF2B5EF4-FFF2-40B4-BE49-F238E27FC236}">
              <a16:creationId xmlns:a16="http://schemas.microsoft.com/office/drawing/2014/main" id="{00000000-0008-0000-0200-0000EB07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028" name="Line 55">
          <a:extLst>
            <a:ext uri="{FF2B5EF4-FFF2-40B4-BE49-F238E27FC236}">
              <a16:creationId xmlns:a16="http://schemas.microsoft.com/office/drawing/2014/main" id="{00000000-0008-0000-0200-0000EC07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029" name="Line 56">
          <a:extLst>
            <a:ext uri="{FF2B5EF4-FFF2-40B4-BE49-F238E27FC236}">
              <a16:creationId xmlns:a16="http://schemas.microsoft.com/office/drawing/2014/main" id="{00000000-0008-0000-0200-0000ED07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030" name="Rectangle 57">
          <a:extLst>
            <a:ext uri="{FF2B5EF4-FFF2-40B4-BE49-F238E27FC236}">
              <a16:creationId xmlns:a16="http://schemas.microsoft.com/office/drawing/2014/main" id="{00000000-0008-0000-0200-0000EE07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031" name="Line 58">
          <a:extLst>
            <a:ext uri="{FF2B5EF4-FFF2-40B4-BE49-F238E27FC236}">
              <a16:creationId xmlns:a16="http://schemas.microsoft.com/office/drawing/2014/main" id="{00000000-0008-0000-0200-0000EF07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032" name="Line 59">
          <a:extLst>
            <a:ext uri="{FF2B5EF4-FFF2-40B4-BE49-F238E27FC236}">
              <a16:creationId xmlns:a16="http://schemas.microsoft.com/office/drawing/2014/main" id="{00000000-0008-0000-0200-0000F007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033" name="Line 60">
          <a:extLst>
            <a:ext uri="{FF2B5EF4-FFF2-40B4-BE49-F238E27FC236}">
              <a16:creationId xmlns:a16="http://schemas.microsoft.com/office/drawing/2014/main" id="{00000000-0008-0000-0200-0000F107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034" name="Line 61">
          <a:extLst>
            <a:ext uri="{FF2B5EF4-FFF2-40B4-BE49-F238E27FC236}">
              <a16:creationId xmlns:a16="http://schemas.microsoft.com/office/drawing/2014/main" id="{00000000-0008-0000-0200-0000F2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035" name="Line 62">
          <a:extLst>
            <a:ext uri="{FF2B5EF4-FFF2-40B4-BE49-F238E27FC236}">
              <a16:creationId xmlns:a16="http://schemas.microsoft.com/office/drawing/2014/main" id="{00000000-0008-0000-0200-0000F307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036" name="Line 63">
          <a:extLst>
            <a:ext uri="{FF2B5EF4-FFF2-40B4-BE49-F238E27FC236}">
              <a16:creationId xmlns:a16="http://schemas.microsoft.com/office/drawing/2014/main" id="{00000000-0008-0000-0200-0000F407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037" name="Line 64">
          <a:extLst>
            <a:ext uri="{FF2B5EF4-FFF2-40B4-BE49-F238E27FC236}">
              <a16:creationId xmlns:a16="http://schemas.microsoft.com/office/drawing/2014/main" id="{00000000-0008-0000-0200-0000F507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038" name="Line 65">
          <a:extLst>
            <a:ext uri="{FF2B5EF4-FFF2-40B4-BE49-F238E27FC236}">
              <a16:creationId xmlns:a16="http://schemas.microsoft.com/office/drawing/2014/main" id="{00000000-0008-0000-0200-0000F607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039" name="Line 66">
          <a:extLst>
            <a:ext uri="{FF2B5EF4-FFF2-40B4-BE49-F238E27FC236}">
              <a16:creationId xmlns:a16="http://schemas.microsoft.com/office/drawing/2014/main" id="{00000000-0008-0000-0200-0000F707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040" name="Line 67">
          <a:extLst>
            <a:ext uri="{FF2B5EF4-FFF2-40B4-BE49-F238E27FC236}">
              <a16:creationId xmlns:a16="http://schemas.microsoft.com/office/drawing/2014/main" id="{00000000-0008-0000-0200-0000F807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041" name="Line 68">
          <a:extLst>
            <a:ext uri="{FF2B5EF4-FFF2-40B4-BE49-F238E27FC236}">
              <a16:creationId xmlns:a16="http://schemas.microsoft.com/office/drawing/2014/main" id="{00000000-0008-0000-0200-0000F907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042" name="Line 1">
          <a:extLst>
            <a:ext uri="{FF2B5EF4-FFF2-40B4-BE49-F238E27FC236}">
              <a16:creationId xmlns:a16="http://schemas.microsoft.com/office/drawing/2014/main" id="{00000000-0008-0000-0200-0000FA07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043" name="Drawing 16">
          <a:extLst>
            <a:ext uri="{FF2B5EF4-FFF2-40B4-BE49-F238E27FC236}">
              <a16:creationId xmlns:a16="http://schemas.microsoft.com/office/drawing/2014/main" id="{00000000-0008-0000-0200-0000FB07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044" name="Line 3">
          <a:extLst>
            <a:ext uri="{FF2B5EF4-FFF2-40B4-BE49-F238E27FC236}">
              <a16:creationId xmlns:a16="http://schemas.microsoft.com/office/drawing/2014/main" id="{00000000-0008-0000-0200-0000FC07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045" name="Line 4">
          <a:extLst>
            <a:ext uri="{FF2B5EF4-FFF2-40B4-BE49-F238E27FC236}">
              <a16:creationId xmlns:a16="http://schemas.microsoft.com/office/drawing/2014/main" id="{00000000-0008-0000-0200-0000FD07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046" name="Line 5">
          <a:extLst>
            <a:ext uri="{FF2B5EF4-FFF2-40B4-BE49-F238E27FC236}">
              <a16:creationId xmlns:a16="http://schemas.microsoft.com/office/drawing/2014/main" id="{00000000-0008-0000-0200-0000FE07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047" name="Line 6">
          <a:extLst>
            <a:ext uri="{FF2B5EF4-FFF2-40B4-BE49-F238E27FC236}">
              <a16:creationId xmlns:a16="http://schemas.microsoft.com/office/drawing/2014/main" id="{00000000-0008-0000-0200-0000FF07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048" name="Line 7">
          <a:extLst>
            <a:ext uri="{FF2B5EF4-FFF2-40B4-BE49-F238E27FC236}">
              <a16:creationId xmlns:a16="http://schemas.microsoft.com/office/drawing/2014/main" id="{00000000-0008-0000-0200-000000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049" name="Line 8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050" name="Line 9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051" name="Line 10"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052" name="Line 11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053" name="Line 12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054" name="Line 13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055" name="Line 14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056" name="Line 15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057" name="Line 16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058" name="Line 17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059" name="Line 18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060" name="Line 19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061" name="Line 20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062" name="Line 21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063" name="Line 22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064" name="Line 23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065" name="Line 24">
          <a:extLst>
            <a:ext uri="{FF2B5EF4-FFF2-40B4-BE49-F238E27FC236}">
              <a16:creationId xmlns:a16="http://schemas.microsoft.com/office/drawing/2014/main" id="{00000000-0008-0000-0200-000011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066" name="Line 25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067" name="Line 26">
          <a:extLst>
            <a:ext uri="{FF2B5EF4-FFF2-40B4-BE49-F238E27FC236}">
              <a16:creationId xmlns:a16="http://schemas.microsoft.com/office/drawing/2014/main" id="{00000000-0008-0000-0200-000013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068" name="Line 27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069" name="Line 28">
          <a:extLst>
            <a:ext uri="{FF2B5EF4-FFF2-40B4-BE49-F238E27FC236}">
              <a16:creationId xmlns:a16="http://schemas.microsoft.com/office/drawing/2014/main" id="{00000000-0008-0000-0200-000015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070" name="Line 29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071" name="Line 30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072" name="Line 31">
          <a:extLst>
            <a:ext uri="{FF2B5EF4-FFF2-40B4-BE49-F238E27FC236}">
              <a16:creationId xmlns:a16="http://schemas.microsoft.com/office/drawing/2014/main" id="{00000000-0008-0000-0200-000018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073" name="Line 3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074" name="Line 33">
          <a:extLst>
            <a:ext uri="{FF2B5EF4-FFF2-40B4-BE49-F238E27FC236}">
              <a16:creationId xmlns:a16="http://schemas.microsoft.com/office/drawing/2014/main" id="{00000000-0008-0000-0200-00001A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075" name="Line 34">
          <a:extLst>
            <a:ext uri="{FF2B5EF4-FFF2-40B4-BE49-F238E27FC236}">
              <a16:creationId xmlns:a16="http://schemas.microsoft.com/office/drawing/2014/main" id="{00000000-0008-0000-0200-00001B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076" name="Line 35">
          <a:extLst>
            <a:ext uri="{FF2B5EF4-FFF2-40B4-BE49-F238E27FC236}">
              <a16:creationId xmlns:a16="http://schemas.microsoft.com/office/drawing/2014/main" id="{00000000-0008-0000-0200-00001C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077" name="Line 36">
          <a:extLst>
            <a:ext uri="{FF2B5EF4-FFF2-40B4-BE49-F238E27FC236}">
              <a16:creationId xmlns:a16="http://schemas.microsoft.com/office/drawing/2014/main" id="{00000000-0008-0000-0200-00001D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078" name="Line 37">
          <a:extLst>
            <a:ext uri="{FF2B5EF4-FFF2-40B4-BE49-F238E27FC236}">
              <a16:creationId xmlns:a16="http://schemas.microsoft.com/office/drawing/2014/main" id="{00000000-0008-0000-0200-00001E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079" name="Line 38">
          <a:extLst>
            <a:ext uri="{FF2B5EF4-FFF2-40B4-BE49-F238E27FC236}">
              <a16:creationId xmlns:a16="http://schemas.microsoft.com/office/drawing/2014/main" id="{00000000-0008-0000-0200-00001F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080" name="Line 39">
          <a:extLst>
            <a:ext uri="{FF2B5EF4-FFF2-40B4-BE49-F238E27FC236}">
              <a16:creationId xmlns:a16="http://schemas.microsoft.com/office/drawing/2014/main" id="{00000000-0008-0000-0200-000020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081" name="Line 40">
          <a:extLst>
            <a:ext uri="{FF2B5EF4-FFF2-40B4-BE49-F238E27FC236}">
              <a16:creationId xmlns:a16="http://schemas.microsoft.com/office/drawing/2014/main" id="{00000000-0008-0000-0200-000021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082" name="Line 41">
          <a:extLst>
            <a:ext uri="{FF2B5EF4-FFF2-40B4-BE49-F238E27FC236}">
              <a16:creationId xmlns:a16="http://schemas.microsoft.com/office/drawing/2014/main" id="{00000000-0008-0000-0200-000022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083" name="Rectangle 42">
          <a:extLst>
            <a:ext uri="{FF2B5EF4-FFF2-40B4-BE49-F238E27FC236}">
              <a16:creationId xmlns:a16="http://schemas.microsoft.com/office/drawing/2014/main" id="{00000000-0008-0000-0200-000023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84" name="Line 43">
          <a:extLst>
            <a:ext uri="{FF2B5EF4-FFF2-40B4-BE49-F238E27FC236}">
              <a16:creationId xmlns:a16="http://schemas.microsoft.com/office/drawing/2014/main" id="{00000000-0008-0000-0200-000024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085" name="Line 44">
          <a:extLst>
            <a:ext uri="{FF2B5EF4-FFF2-40B4-BE49-F238E27FC236}">
              <a16:creationId xmlns:a16="http://schemas.microsoft.com/office/drawing/2014/main" id="{00000000-0008-0000-0200-000025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086" name="Line 45">
          <a:extLst>
            <a:ext uri="{FF2B5EF4-FFF2-40B4-BE49-F238E27FC236}">
              <a16:creationId xmlns:a16="http://schemas.microsoft.com/office/drawing/2014/main" id="{00000000-0008-0000-0200-000026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087" name="Line 46">
          <a:extLst>
            <a:ext uri="{FF2B5EF4-FFF2-40B4-BE49-F238E27FC236}">
              <a16:creationId xmlns:a16="http://schemas.microsoft.com/office/drawing/2014/main" id="{00000000-0008-0000-0200-000027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088" name="Line 47">
          <a:extLst>
            <a:ext uri="{FF2B5EF4-FFF2-40B4-BE49-F238E27FC236}">
              <a16:creationId xmlns:a16="http://schemas.microsoft.com/office/drawing/2014/main" id="{00000000-0008-0000-0200-000028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089" name="Line 48">
          <a:extLst>
            <a:ext uri="{FF2B5EF4-FFF2-40B4-BE49-F238E27FC236}">
              <a16:creationId xmlns:a16="http://schemas.microsoft.com/office/drawing/2014/main" id="{00000000-0008-0000-0200-000029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090" name="Line 49">
          <a:extLst>
            <a:ext uri="{FF2B5EF4-FFF2-40B4-BE49-F238E27FC236}">
              <a16:creationId xmlns:a16="http://schemas.microsoft.com/office/drawing/2014/main" id="{00000000-0008-0000-0200-00002A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091" name="Line 50">
          <a:extLst>
            <a:ext uri="{FF2B5EF4-FFF2-40B4-BE49-F238E27FC236}">
              <a16:creationId xmlns:a16="http://schemas.microsoft.com/office/drawing/2014/main" id="{00000000-0008-0000-0200-00002B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092" name="Line 51">
          <a:extLst>
            <a:ext uri="{FF2B5EF4-FFF2-40B4-BE49-F238E27FC236}">
              <a16:creationId xmlns:a16="http://schemas.microsoft.com/office/drawing/2014/main" id="{00000000-0008-0000-0200-00002C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093" name="Line 52">
          <a:extLst>
            <a:ext uri="{FF2B5EF4-FFF2-40B4-BE49-F238E27FC236}">
              <a16:creationId xmlns:a16="http://schemas.microsoft.com/office/drawing/2014/main" id="{00000000-0008-0000-0200-00002D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094" name="Line 53">
          <a:extLst>
            <a:ext uri="{FF2B5EF4-FFF2-40B4-BE49-F238E27FC236}">
              <a16:creationId xmlns:a16="http://schemas.microsoft.com/office/drawing/2014/main" id="{00000000-0008-0000-0200-00002E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095" name="Line 54">
          <a:extLst>
            <a:ext uri="{FF2B5EF4-FFF2-40B4-BE49-F238E27FC236}">
              <a16:creationId xmlns:a16="http://schemas.microsoft.com/office/drawing/2014/main" id="{00000000-0008-0000-0200-00002F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096" name="Line 55">
          <a:extLst>
            <a:ext uri="{FF2B5EF4-FFF2-40B4-BE49-F238E27FC236}">
              <a16:creationId xmlns:a16="http://schemas.microsoft.com/office/drawing/2014/main" id="{00000000-0008-0000-0200-000030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097" name="Line 56">
          <a:extLst>
            <a:ext uri="{FF2B5EF4-FFF2-40B4-BE49-F238E27FC236}">
              <a16:creationId xmlns:a16="http://schemas.microsoft.com/office/drawing/2014/main" id="{00000000-0008-0000-0200-000031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098" name="Rectangle 57">
          <a:extLst>
            <a:ext uri="{FF2B5EF4-FFF2-40B4-BE49-F238E27FC236}">
              <a16:creationId xmlns:a16="http://schemas.microsoft.com/office/drawing/2014/main" id="{00000000-0008-0000-0200-000032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099" name="Line 58">
          <a:extLst>
            <a:ext uri="{FF2B5EF4-FFF2-40B4-BE49-F238E27FC236}">
              <a16:creationId xmlns:a16="http://schemas.microsoft.com/office/drawing/2014/main" id="{00000000-0008-0000-0200-000033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100" name="Line 59">
          <a:extLst>
            <a:ext uri="{FF2B5EF4-FFF2-40B4-BE49-F238E27FC236}">
              <a16:creationId xmlns:a16="http://schemas.microsoft.com/office/drawing/2014/main" id="{00000000-0008-0000-0200-00003408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101" name="Line 60">
          <a:extLst>
            <a:ext uri="{FF2B5EF4-FFF2-40B4-BE49-F238E27FC236}">
              <a16:creationId xmlns:a16="http://schemas.microsoft.com/office/drawing/2014/main" id="{00000000-0008-0000-0200-00003508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102" name="Line 61">
          <a:extLst>
            <a:ext uri="{FF2B5EF4-FFF2-40B4-BE49-F238E27FC236}">
              <a16:creationId xmlns:a16="http://schemas.microsoft.com/office/drawing/2014/main" id="{00000000-0008-0000-0200-000036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103" name="Line 62">
          <a:extLst>
            <a:ext uri="{FF2B5EF4-FFF2-40B4-BE49-F238E27FC236}">
              <a16:creationId xmlns:a16="http://schemas.microsoft.com/office/drawing/2014/main" id="{00000000-0008-0000-0200-000037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104" name="Line 63">
          <a:extLst>
            <a:ext uri="{FF2B5EF4-FFF2-40B4-BE49-F238E27FC236}">
              <a16:creationId xmlns:a16="http://schemas.microsoft.com/office/drawing/2014/main" id="{00000000-0008-0000-0200-00003808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105" name="Line 64">
          <a:extLst>
            <a:ext uri="{FF2B5EF4-FFF2-40B4-BE49-F238E27FC236}">
              <a16:creationId xmlns:a16="http://schemas.microsoft.com/office/drawing/2014/main" id="{00000000-0008-0000-0200-00003908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106" name="Line 65">
          <a:extLst>
            <a:ext uri="{FF2B5EF4-FFF2-40B4-BE49-F238E27FC236}">
              <a16:creationId xmlns:a16="http://schemas.microsoft.com/office/drawing/2014/main" id="{00000000-0008-0000-0200-00003A08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107" name="Line 66">
          <a:extLst>
            <a:ext uri="{FF2B5EF4-FFF2-40B4-BE49-F238E27FC236}">
              <a16:creationId xmlns:a16="http://schemas.microsoft.com/office/drawing/2014/main" id="{00000000-0008-0000-0200-00003B08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108" name="Line 67">
          <a:extLst>
            <a:ext uri="{FF2B5EF4-FFF2-40B4-BE49-F238E27FC236}">
              <a16:creationId xmlns:a16="http://schemas.microsoft.com/office/drawing/2014/main" id="{00000000-0008-0000-0200-00003C08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109" name="Line 68">
          <a:extLst>
            <a:ext uri="{FF2B5EF4-FFF2-40B4-BE49-F238E27FC236}">
              <a16:creationId xmlns:a16="http://schemas.microsoft.com/office/drawing/2014/main" id="{00000000-0008-0000-0200-00003D08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110" name="Line 1">
          <a:extLst>
            <a:ext uri="{FF2B5EF4-FFF2-40B4-BE49-F238E27FC236}">
              <a16:creationId xmlns:a16="http://schemas.microsoft.com/office/drawing/2014/main" id="{00000000-0008-0000-0200-00003E08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111" name="Drawing 16">
          <a:extLst>
            <a:ext uri="{FF2B5EF4-FFF2-40B4-BE49-F238E27FC236}">
              <a16:creationId xmlns:a16="http://schemas.microsoft.com/office/drawing/2014/main" id="{00000000-0008-0000-0200-00003F08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112" name="Line 3">
          <a:extLst>
            <a:ext uri="{FF2B5EF4-FFF2-40B4-BE49-F238E27FC236}">
              <a16:creationId xmlns:a16="http://schemas.microsoft.com/office/drawing/2014/main" id="{00000000-0008-0000-0200-00004008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113" name="Line 4">
          <a:extLst>
            <a:ext uri="{FF2B5EF4-FFF2-40B4-BE49-F238E27FC236}">
              <a16:creationId xmlns:a16="http://schemas.microsoft.com/office/drawing/2014/main" id="{00000000-0008-0000-0200-00004108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114" name="Line 5">
          <a:extLst>
            <a:ext uri="{FF2B5EF4-FFF2-40B4-BE49-F238E27FC236}">
              <a16:creationId xmlns:a16="http://schemas.microsoft.com/office/drawing/2014/main" id="{00000000-0008-0000-0200-00004208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115" name="Line 6">
          <a:extLst>
            <a:ext uri="{FF2B5EF4-FFF2-40B4-BE49-F238E27FC236}">
              <a16:creationId xmlns:a16="http://schemas.microsoft.com/office/drawing/2014/main" id="{00000000-0008-0000-0200-00004308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116" name="Line 7">
          <a:extLst>
            <a:ext uri="{FF2B5EF4-FFF2-40B4-BE49-F238E27FC236}">
              <a16:creationId xmlns:a16="http://schemas.microsoft.com/office/drawing/2014/main" id="{00000000-0008-0000-0200-000044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117" name="Line 8">
          <a:extLst>
            <a:ext uri="{FF2B5EF4-FFF2-40B4-BE49-F238E27FC236}">
              <a16:creationId xmlns:a16="http://schemas.microsoft.com/office/drawing/2014/main" id="{00000000-0008-0000-0200-000045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118" name="Line 9">
          <a:extLst>
            <a:ext uri="{FF2B5EF4-FFF2-40B4-BE49-F238E27FC236}">
              <a16:creationId xmlns:a16="http://schemas.microsoft.com/office/drawing/2014/main" id="{00000000-0008-0000-0200-000046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119" name="Line 10">
          <a:extLst>
            <a:ext uri="{FF2B5EF4-FFF2-40B4-BE49-F238E27FC236}">
              <a16:creationId xmlns:a16="http://schemas.microsoft.com/office/drawing/2014/main" id="{00000000-0008-0000-0200-000047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120" name="Line 11">
          <a:extLst>
            <a:ext uri="{FF2B5EF4-FFF2-40B4-BE49-F238E27FC236}">
              <a16:creationId xmlns:a16="http://schemas.microsoft.com/office/drawing/2014/main" id="{00000000-0008-0000-0200-000048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121" name="Line 12">
          <a:extLst>
            <a:ext uri="{FF2B5EF4-FFF2-40B4-BE49-F238E27FC236}">
              <a16:creationId xmlns:a16="http://schemas.microsoft.com/office/drawing/2014/main" id="{00000000-0008-0000-0200-000049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122" name="Line 13">
          <a:extLst>
            <a:ext uri="{FF2B5EF4-FFF2-40B4-BE49-F238E27FC236}">
              <a16:creationId xmlns:a16="http://schemas.microsoft.com/office/drawing/2014/main" id="{00000000-0008-0000-0200-00004A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23" name="Line 14">
          <a:extLst>
            <a:ext uri="{FF2B5EF4-FFF2-40B4-BE49-F238E27FC236}">
              <a16:creationId xmlns:a16="http://schemas.microsoft.com/office/drawing/2014/main" id="{00000000-0008-0000-0200-00004B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124" name="Line 15">
          <a:extLst>
            <a:ext uri="{FF2B5EF4-FFF2-40B4-BE49-F238E27FC236}">
              <a16:creationId xmlns:a16="http://schemas.microsoft.com/office/drawing/2014/main" id="{00000000-0008-0000-0200-00004C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25" name="Line 16">
          <a:extLst>
            <a:ext uri="{FF2B5EF4-FFF2-40B4-BE49-F238E27FC236}">
              <a16:creationId xmlns:a16="http://schemas.microsoft.com/office/drawing/2014/main" id="{00000000-0008-0000-0200-00004D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126" name="Line 17">
          <a:extLst>
            <a:ext uri="{FF2B5EF4-FFF2-40B4-BE49-F238E27FC236}">
              <a16:creationId xmlns:a16="http://schemas.microsoft.com/office/drawing/2014/main" id="{00000000-0008-0000-0200-00004E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127" name="Line 18">
          <a:extLst>
            <a:ext uri="{FF2B5EF4-FFF2-40B4-BE49-F238E27FC236}">
              <a16:creationId xmlns:a16="http://schemas.microsoft.com/office/drawing/2014/main" id="{00000000-0008-0000-0200-00004F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128" name="Line 19">
          <a:extLst>
            <a:ext uri="{FF2B5EF4-FFF2-40B4-BE49-F238E27FC236}">
              <a16:creationId xmlns:a16="http://schemas.microsoft.com/office/drawing/2014/main" id="{00000000-0008-0000-0200-000050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129" name="Line 20">
          <a:extLst>
            <a:ext uri="{FF2B5EF4-FFF2-40B4-BE49-F238E27FC236}">
              <a16:creationId xmlns:a16="http://schemas.microsoft.com/office/drawing/2014/main" id="{00000000-0008-0000-0200-000051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130" name="Line 21">
          <a:extLst>
            <a:ext uri="{FF2B5EF4-FFF2-40B4-BE49-F238E27FC236}">
              <a16:creationId xmlns:a16="http://schemas.microsoft.com/office/drawing/2014/main" id="{00000000-0008-0000-0200-000052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131" name="Line 22">
          <a:extLst>
            <a:ext uri="{FF2B5EF4-FFF2-40B4-BE49-F238E27FC236}">
              <a16:creationId xmlns:a16="http://schemas.microsoft.com/office/drawing/2014/main" id="{00000000-0008-0000-0200-000053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132" name="Line 23">
          <a:extLst>
            <a:ext uri="{FF2B5EF4-FFF2-40B4-BE49-F238E27FC236}">
              <a16:creationId xmlns:a16="http://schemas.microsoft.com/office/drawing/2014/main" id="{00000000-0008-0000-0200-000054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133" name="Line 24">
          <a:extLst>
            <a:ext uri="{FF2B5EF4-FFF2-40B4-BE49-F238E27FC236}">
              <a16:creationId xmlns:a16="http://schemas.microsoft.com/office/drawing/2014/main" id="{00000000-0008-0000-0200-000055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134" name="Line 25">
          <a:extLst>
            <a:ext uri="{FF2B5EF4-FFF2-40B4-BE49-F238E27FC236}">
              <a16:creationId xmlns:a16="http://schemas.microsoft.com/office/drawing/2014/main" id="{00000000-0008-0000-0200-000056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135" name="Line 26">
          <a:extLst>
            <a:ext uri="{FF2B5EF4-FFF2-40B4-BE49-F238E27FC236}">
              <a16:creationId xmlns:a16="http://schemas.microsoft.com/office/drawing/2014/main" id="{00000000-0008-0000-0200-000057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136" name="Line 27">
          <a:extLst>
            <a:ext uri="{FF2B5EF4-FFF2-40B4-BE49-F238E27FC236}">
              <a16:creationId xmlns:a16="http://schemas.microsoft.com/office/drawing/2014/main" id="{00000000-0008-0000-0200-000058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137" name="Line 28">
          <a:extLst>
            <a:ext uri="{FF2B5EF4-FFF2-40B4-BE49-F238E27FC236}">
              <a16:creationId xmlns:a16="http://schemas.microsoft.com/office/drawing/2014/main" id="{00000000-0008-0000-0200-000059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138" name="Line 29">
          <a:extLst>
            <a:ext uri="{FF2B5EF4-FFF2-40B4-BE49-F238E27FC236}">
              <a16:creationId xmlns:a16="http://schemas.microsoft.com/office/drawing/2014/main" id="{00000000-0008-0000-0200-00005A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139" name="Line 30">
          <a:extLst>
            <a:ext uri="{FF2B5EF4-FFF2-40B4-BE49-F238E27FC236}">
              <a16:creationId xmlns:a16="http://schemas.microsoft.com/office/drawing/2014/main" id="{00000000-0008-0000-0200-00005B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140" name="Line 31">
          <a:extLst>
            <a:ext uri="{FF2B5EF4-FFF2-40B4-BE49-F238E27FC236}">
              <a16:creationId xmlns:a16="http://schemas.microsoft.com/office/drawing/2014/main" id="{00000000-0008-0000-0200-00005C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141" name="Line 32">
          <a:extLst>
            <a:ext uri="{FF2B5EF4-FFF2-40B4-BE49-F238E27FC236}">
              <a16:creationId xmlns:a16="http://schemas.microsoft.com/office/drawing/2014/main" id="{00000000-0008-0000-0200-00005D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142" name="Line 33">
          <a:extLst>
            <a:ext uri="{FF2B5EF4-FFF2-40B4-BE49-F238E27FC236}">
              <a16:creationId xmlns:a16="http://schemas.microsoft.com/office/drawing/2014/main" id="{00000000-0008-0000-0200-00005E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143" name="Line 34">
          <a:extLst>
            <a:ext uri="{FF2B5EF4-FFF2-40B4-BE49-F238E27FC236}">
              <a16:creationId xmlns:a16="http://schemas.microsoft.com/office/drawing/2014/main" id="{00000000-0008-0000-0200-00005F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144" name="Line 35">
          <a:extLst>
            <a:ext uri="{FF2B5EF4-FFF2-40B4-BE49-F238E27FC236}">
              <a16:creationId xmlns:a16="http://schemas.microsoft.com/office/drawing/2014/main" id="{00000000-0008-0000-0200-000060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145" name="Line 36">
          <a:extLst>
            <a:ext uri="{FF2B5EF4-FFF2-40B4-BE49-F238E27FC236}">
              <a16:creationId xmlns:a16="http://schemas.microsoft.com/office/drawing/2014/main" id="{00000000-0008-0000-0200-000061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146" name="Line 37">
          <a:extLst>
            <a:ext uri="{FF2B5EF4-FFF2-40B4-BE49-F238E27FC236}">
              <a16:creationId xmlns:a16="http://schemas.microsoft.com/office/drawing/2014/main" id="{00000000-0008-0000-0200-000062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147" name="Line 38">
          <a:extLst>
            <a:ext uri="{FF2B5EF4-FFF2-40B4-BE49-F238E27FC236}">
              <a16:creationId xmlns:a16="http://schemas.microsoft.com/office/drawing/2014/main" id="{00000000-0008-0000-0200-000063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148" name="Line 39">
          <a:extLst>
            <a:ext uri="{FF2B5EF4-FFF2-40B4-BE49-F238E27FC236}">
              <a16:creationId xmlns:a16="http://schemas.microsoft.com/office/drawing/2014/main" id="{00000000-0008-0000-0200-000064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149" name="Line 40">
          <a:extLst>
            <a:ext uri="{FF2B5EF4-FFF2-40B4-BE49-F238E27FC236}">
              <a16:creationId xmlns:a16="http://schemas.microsoft.com/office/drawing/2014/main" id="{00000000-0008-0000-0200-000065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150" name="Line 41">
          <a:extLst>
            <a:ext uri="{FF2B5EF4-FFF2-40B4-BE49-F238E27FC236}">
              <a16:creationId xmlns:a16="http://schemas.microsoft.com/office/drawing/2014/main" id="{00000000-0008-0000-0200-000066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151" name="Rectangle 42">
          <a:extLst>
            <a:ext uri="{FF2B5EF4-FFF2-40B4-BE49-F238E27FC236}">
              <a16:creationId xmlns:a16="http://schemas.microsoft.com/office/drawing/2014/main" id="{00000000-0008-0000-0200-000067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52" name="Line 43">
          <a:extLst>
            <a:ext uri="{FF2B5EF4-FFF2-40B4-BE49-F238E27FC236}">
              <a16:creationId xmlns:a16="http://schemas.microsoft.com/office/drawing/2014/main" id="{00000000-0008-0000-0200-000068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53" name="Line 44">
          <a:extLst>
            <a:ext uri="{FF2B5EF4-FFF2-40B4-BE49-F238E27FC236}">
              <a16:creationId xmlns:a16="http://schemas.microsoft.com/office/drawing/2014/main" id="{00000000-0008-0000-0200-000069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154" name="Line 45">
          <a:extLst>
            <a:ext uri="{FF2B5EF4-FFF2-40B4-BE49-F238E27FC236}">
              <a16:creationId xmlns:a16="http://schemas.microsoft.com/office/drawing/2014/main" id="{00000000-0008-0000-0200-00006A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155" name="Line 46">
          <a:extLst>
            <a:ext uri="{FF2B5EF4-FFF2-40B4-BE49-F238E27FC236}">
              <a16:creationId xmlns:a16="http://schemas.microsoft.com/office/drawing/2014/main" id="{00000000-0008-0000-0200-00006B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156" name="Line 47">
          <a:extLst>
            <a:ext uri="{FF2B5EF4-FFF2-40B4-BE49-F238E27FC236}">
              <a16:creationId xmlns:a16="http://schemas.microsoft.com/office/drawing/2014/main" id="{00000000-0008-0000-0200-00006C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157" name="Line 48">
          <a:extLst>
            <a:ext uri="{FF2B5EF4-FFF2-40B4-BE49-F238E27FC236}">
              <a16:creationId xmlns:a16="http://schemas.microsoft.com/office/drawing/2014/main" id="{00000000-0008-0000-0200-00006D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158" name="Line 49">
          <a:extLst>
            <a:ext uri="{FF2B5EF4-FFF2-40B4-BE49-F238E27FC236}">
              <a16:creationId xmlns:a16="http://schemas.microsoft.com/office/drawing/2014/main" id="{00000000-0008-0000-0200-00006E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159" name="Line 50">
          <a:extLst>
            <a:ext uri="{FF2B5EF4-FFF2-40B4-BE49-F238E27FC236}">
              <a16:creationId xmlns:a16="http://schemas.microsoft.com/office/drawing/2014/main" id="{00000000-0008-0000-0200-00006F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160" name="Line 51">
          <a:extLst>
            <a:ext uri="{FF2B5EF4-FFF2-40B4-BE49-F238E27FC236}">
              <a16:creationId xmlns:a16="http://schemas.microsoft.com/office/drawing/2014/main" id="{00000000-0008-0000-0200-000070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161" name="Line 52">
          <a:extLst>
            <a:ext uri="{FF2B5EF4-FFF2-40B4-BE49-F238E27FC236}">
              <a16:creationId xmlns:a16="http://schemas.microsoft.com/office/drawing/2014/main" id="{00000000-0008-0000-0200-000071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162" name="Line 53">
          <a:extLst>
            <a:ext uri="{FF2B5EF4-FFF2-40B4-BE49-F238E27FC236}">
              <a16:creationId xmlns:a16="http://schemas.microsoft.com/office/drawing/2014/main" id="{00000000-0008-0000-0200-000072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163" name="Line 54">
          <a:extLst>
            <a:ext uri="{FF2B5EF4-FFF2-40B4-BE49-F238E27FC236}">
              <a16:creationId xmlns:a16="http://schemas.microsoft.com/office/drawing/2014/main" id="{00000000-0008-0000-0200-000073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164" name="Line 55">
          <a:extLst>
            <a:ext uri="{FF2B5EF4-FFF2-40B4-BE49-F238E27FC236}">
              <a16:creationId xmlns:a16="http://schemas.microsoft.com/office/drawing/2014/main" id="{00000000-0008-0000-0200-000074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165" name="Line 56">
          <a:extLst>
            <a:ext uri="{FF2B5EF4-FFF2-40B4-BE49-F238E27FC236}">
              <a16:creationId xmlns:a16="http://schemas.microsoft.com/office/drawing/2014/main" id="{00000000-0008-0000-0200-000075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166" name="Rectangle 57">
          <a:extLst>
            <a:ext uri="{FF2B5EF4-FFF2-40B4-BE49-F238E27FC236}">
              <a16:creationId xmlns:a16="http://schemas.microsoft.com/office/drawing/2014/main" id="{00000000-0008-0000-0200-000076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167" name="Line 58">
          <a:extLst>
            <a:ext uri="{FF2B5EF4-FFF2-40B4-BE49-F238E27FC236}">
              <a16:creationId xmlns:a16="http://schemas.microsoft.com/office/drawing/2014/main" id="{00000000-0008-0000-0200-000077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168" name="Line 59">
          <a:extLst>
            <a:ext uri="{FF2B5EF4-FFF2-40B4-BE49-F238E27FC236}">
              <a16:creationId xmlns:a16="http://schemas.microsoft.com/office/drawing/2014/main" id="{00000000-0008-0000-0200-00007808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169" name="Line 60">
          <a:extLst>
            <a:ext uri="{FF2B5EF4-FFF2-40B4-BE49-F238E27FC236}">
              <a16:creationId xmlns:a16="http://schemas.microsoft.com/office/drawing/2014/main" id="{00000000-0008-0000-0200-00007908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170" name="Line 61">
          <a:extLst>
            <a:ext uri="{FF2B5EF4-FFF2-40B4-BE49-F238E27FC236}">
              <a16:creationId xmlns:a16="http://schemas.microsoft.com/office/drawing/2014/main" id="{00000000-0008-0000-0200-00007A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171" name="Line 62">
          <a:extLst>
            <a:ext uri="{FF2B5EF4-FFF2-40B4-BE49-F238E27FC236}">
              <a16:creationId xmlns:a16="http://schemas.microsoft.com/office/drawing/2014/main" id="{00000000-0008-0000-0200-00007B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172" name="Line 63">
          <a:extLst>
            <a:ext uri="{FF2B5EF4-FFF2-40B4-BE49-F238E27FC236}">
              <a16:creationId xmlns:a16="http://schemas.microsoft.com/office/drawing/2014/main" id="{00000000-0008-0000-0200-00007C08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173" name="Line 64">
          <a:extLst>
            <a:ext uri="{FF2B5EF4-FFF2-40B4-BE49-F238E27FC236}">
              <a16:creationId xmlns:a16="http://schemas.microsoft.com/office/drawing/2014/main" id="{00000000-0008-0000-0200-00007D08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174" name="Line 65">
          <a:extLst>
            <a:ext uri="{FF2B5EF4-FFF2-40B4-BE49-F238E27FC236}">
              <a16:creationId xmlns:a16="http://schemas.microsoft.com/office/drawing/2014/main" id="{00000000-0008-0000-0200-00007E08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175" name="Line 66">
          <a:extLst>
            <a:ext uri="{FF2B5EF4-FFF2-40B4-BE49-F238E27FC236}">
              <a16:creationId xmlns:a16="http://schemas.microsoft.com/office/drawing/2014/main" id="{00000000-0008-0000-0200-00007F08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176" name="Line 67">
          <a:extLst>
            <a:ext uri="{FF2B5EF4-FFF2-40B4-BE49-F238E27FC236}">
              <a16:creationId xmlns:a16="http://schemas.microsoft.com/office/drawing/2014/main" id="{00000000-0008-0000-0200-00008008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177" name="Line 68">
          <a:extLst>
            <a:ext uri="{FF2B5EF4-FFF2-40B4-BE49-F238E27FC236}">
              <a16:creationId xmlns:a16="http://schemas.microsoft.com/office/drawing/2014/main" id="{00000000-0008-0000-0200-00008108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178" name="Line 1">
          <a:extLst>
            <a:ext uri="{FF2B5EF4-FFF2-40B4-BE49-F238E27FC236}">
              <a16:creationId xmlns:a16="http://schemas.microsoft.com/office/drawing/2014/main" id="{00000000-0008-0000-0200-00008208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179" name="Drawing 16">
          <a:extLst>
            <a:ext uri="{FF2B5EF4-FFF2-40B4-BE49-F238E27FC236}">
              <a16:creationId xmlns:a16="http://schemas.microsoft.com/office/drawing/2014/main" id="{00000000-0008-0000-0200-00008308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180" name="Line 3">
          <a:extLst>
            <a:ext uri="{FF2B5EF4-FFF2-40B4-BE49-F238E27FC236}">
              <a16:creationId xmlns:a16="http://schemas.microsoft.com/office/drawing/2014/main" id="{00000000-0008-0000-0200-00008408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181" name="Line 4">
          <a:extLst>
            <a:ext uri="{FF2B5EF4-FFF2-40B4-BE49-F238E27FC236}">
              <a16:creationId xmlns:a16="http://schemas.microsoft.com/office/drawing/2014/main" id="{00000000-0008-0000-0200-00008508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182" name="Line 5">
          <a:extLst>
            <a:ext uri="{FF2B5EF4-FFF2-40B4-BE49-F238E27FC236}">
              <a16:creationId xmlns:a16="http://schemas.microsoft.com/office/drawing/2014/main" id="{00000000-0008-0000-0200-00008608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183" name="Line 6">
          <a:extLst>
            <a:ext uri="{FF2B5EF4-FFF2-40B4-BE49-F238E27FC236}">
              <a16:creationId xmlns:a16="http://schemas.microsoft.com/office/drawing/2014/main" id="{00000000-0008-0000-0200-00008708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184" name="Line 7">
          <a:extLst>
            <a:ext uri="{FF2B5EF4-FFF2-40B4-BE49-F238E27FC236}">
              <a16:creationId xmlns:a16="http://schemas.microsoft.com/office/drawing/2014/main" id="{00000000-0008-0000-0200-000088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185" name="Line 8">
          <a:extLst>
            <a:ext uri="{FF2B5EF4-FFF2-40B4-BE49-F238E27FC236}">
              <a16:creationId xmlns:a16="http://schemas.microsoft.com/office/drawing/2014/main" id="{00000000-0008-0000-0200-000089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186" name="Line 9">
          <a:extLst>
            <a:ext uri="{FF2B5EF4-FFF2-40B4-BE49-F238E27FC236}">
              <a16:creationId xmlns:a16="http://schemas.microsoft.com/office/drawing/2014/main" id="{00000000-0008-0000-0200-00008A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187" name="Line 10">
          <a:extLst>
            <a:ext uri="{FF2B5EF4-FFF2-40B4-BE49-F238E27FC236}">
              <a16:creationId xmlns:a16="http://schemas.microsoft.com/office/drawing/2014/main" id="{00000000-0008-0000-0200-00008B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188" name="Line 11">
          <a:extLst>
            <a:ext uri="{FF2B5EF4-FFF2-40B4-BE49-F238E27FC236}">
              <a16:creationId xmlns:a16="http://schemas.microsoft.com/office/drawing/2014/main" id="{00000000-0008-0000-0200-00008C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189" name="Line 12">
          <a:extLst>
            <a:ext uri="{FF2B5EF4-FFF2-40B4-BE49-F238E27FC236}">
              <a16:creationId xmlns:a16="http://schemas.microsoft.com/office/drawing/2014/main" id="{00000000-0008-0000-0200-00008D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190" name="Line 13">
          <a:extLst>
            <a:ext uri="{FF2B5EF4-FFF2-40B4-BE49-F238E27FC236}">
              <a16:creationId xmlns:a16="http://schemas.microsoft.com/office/drawing/2014/main" id="{00000000-0008-0000-0200-00008E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91" name="Line 14">
          <a:extLst>
            <a:ext uri="{FF2B5EF4-FFF2-40B4-BE49-F238E27FC236}">
              <a16:creationId xmlns:a16="http://schemas.microsoft.com/office/drawing/2014/main" id="{00000000-0008-0000-0200-00008F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192" name="Line 15">
          <a:extLst>
            <a:ext uri="{FF2B5EF4-FFF2-40B4-BE49-F238E27FC236}">
              <a16:creationId xmlns:a16="http://schemas.microsoft.com/office/drawing/2014/main" id="{00000000-0008-0000-0200-000090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193" name="Line 16">
          <a:extLst>
            <a:ext uri="{FF2B5EF4-FFF2-40B4-BE49-F238E27FC236}">
              <a16:creationId xmlns:a16="http://schemas.microsoft.com/office/drawing/2014/main" id="{00000000-0008-0000-0200-000091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194" name="Line 17">
          <a:extLst>
            <a:ext uri="{FF2B5EF4-FFF2-40B4-BE49-F238E27FC236}">
              <a16:creationId xmlns:a16="http://schemas.microsoft.com/office/drawing/2014/main" id="{00000000-0008-0000-0200-000092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195" name="Line 18">
          <a:extLst>
            <a:ext uri="{FF2B5EF4-FFF2-40B4-BE49-F238E27FC236}">
              <a16:creationId xmlns:a16="http://schemas.microsoft.com/office/drawing/2014/main" id="{00000000-0008-0000-0200-000093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196" name="Line 19">
          <a:extLst>
            <a:ext uri="{FF2B5EF4-FFF2-40B4-BE49-F238E27FC236}">
              <a16:creationId xmlns:a16="http://schemas.microsoft.com/office/drawing/2014/main" id="{00000000-0008-0000-0200-000094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197" name="Line 20">
          <a:extLst>
            <a:ext uri="{FF2B5EF4-FFF2-40B4-BE49-F238E27FC236}">
              <a16:creationId xmlns:a16="http://schemas.microsoft.com/office/drawing/2014/main" id="{00000000-0008-0000-0200-000095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198" name="Line 21">
          <a:extLst>
            <a:ext uri="{FF2B5EF4-FFF2-40B4-BE49-F238E27FC236}">
              <a16:creationId xmlns:a16="http://schemas.microsoft.com/office/drawing/2014/main" id="{00000000-0008-0000-0200-000096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199" name="Line 22">
          <a:extLst>
            <a:ext uri="{FF2B5EF4-FFF2-40B4-BE49-F238E27FC236}">
              <a16:creationId xmlns:a16="http://schemas.microsoft.com/office/drawing/2014/main" id="{00000000-0008-0000-0200-000097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200" name="Line 23">
          <a:extLst>
            <a:ext uri="{FF2B5EF4-FFF2-40B4-BE49-F238E27FC236}">
              <a16:creationId xmlns:a16="http://schemas.microsoft.com/office/drawing/2014/main" id="{00000000-0008-0000-0200-000098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201" name="Line 24">
          <a:extLst>
            <a:ext uri="{FF2B5EF4-FFF2-40B4-BE49-F238E27FC236}">
              <a16:creationId xmlns:a16="http://schemas.microsoft.com/office/drawing/2014/main" id="{00000000-0008-0000-0200-000099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202" name="Line 25">
          <a:extLst>
            <a:ext uri="{FF2B5EF4-FFF2-40B4-BE49-F238E27FC236}">
              <a16:creationId xmlns:a16="http://schemas.microsoft.com/office/drawing/2014/main" id="{00000000-0008-0000-0200-00009A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203" name="Line 26">
          <a:extLst>
            <a:ext uri="{FF2B5EF4-FFF2-40B4-BE49-F238E27FC236}">
              <a16:creationId xmlns:a16="http://schemas.microsoft.com/office/drawing/2014/main" id="{00000000-0008-0000-0200-00009B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204" name="Line 27">
          <a:extLst>
            <a:ext uri="{FF2B5EF4-FFF2-40B4-BE49-F238E27FC236}">
              <a16:creationId xmlns:a16="http://schemas.microsoft.com/office/drawing/2014/main" id="{00000000-0008-0000-0200-00009C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205" name="Line 28">
          <a:extLst>
            <a:ext uri="{FF2B5EF4-FFF2-40B4-BE49-F238E27FC236}">
              <a16:creationId xmlns:a16="http://schemas.microsoft.com/office/drawing/2014/main" id="{00000000-0008-0000-0200-00009D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206" name="Line 29">
          <a:extLst>
            <a:ext uri="{FF2B5EF4-FFF2-40B4-BE49-F238E27FC236}">
              <a16:creationId xmlns:a16="http://schemas.microsoft.com/office/drawing/2014/main" id="{00000000-0008-0000-0200-00009E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207" name="Line 30">
          <a:extLst>
            <a:ext uri="{FF2B5EF4-FFF2-40B4-BE49-F238E27FC236}">
              <a16:creationId xmlns:a16="http://schemas.microsoft.com/office/drawing/2014/main" id="{00000000-0008-0000-0200-00009F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208" name="Line 31">
          <a:extLst>
            <a:ext uri="{FF2B5EF4-FFF2-40B4-BE49-F238E27FC236}">
              <a16:creationId xmlns:a16="http://schemas.microsoft.com/office/drawing/2014/main" id="{00000000-0008-0000-0200-0000A0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209" name="Line 32">
          <a:extLst>
            <a:ext uri="{FF2B5EF4-FFF2-40B4-BE49-F238E27FC236}">
              <a16:creationId xmlns:a16="http://schemas.microsoft.com/office/drawing/2014/main" id="{00000000-0008-0000-0200-0000A1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210" name="Line 33">
          <a:extLst>
            <a:ext uri="{FF2B5EF4-FFF2-40B4-BE49-F238E27FC236}">
              <a16:creationId xmlns:a16="http://schemas.microsoft.com/office/drawing/2014/main" id="{00000000-0008-0000-0200-0000A2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211" name="Line 34">
          <a:extLst>
            <a:ext uri="{FF2B5EF4-FFF2-40B4-BE49-F238E27FC236}">
              <a16:creationId xmlns:a16="http://schemas.microsoft.com/office/drawing/2014/main" id="{00000000-0008-0000-0200-0000A3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212" name="Line 35">
          <a:extLst>
            <a:ext uri="{FF2B5EF4-FFF2-40B4-BE49-F238E27FC236}">
              <a16:creationId xmlns:a16="http://schemas.microsoft.com/office/drawing/2014/main" id="{00000000-0008-0000-0200-0000A4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213" name="Line 36">
          <a:extLst>
            <a:ext uri="{FF2B5EF4-FFF2-40B4-BE49-F238E27FC236}">
              <a16:creationId xmlns:a16="http://schemas.microsoft.com/office/drawing/2014/main" id="{00000000-0008-0000-0200-0000A5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214" name="Line 37">
          <a:extLst>
            <a:ext uri="{FF2B5EF4-FFF2-40B4-BE49-F238E27FC236}">
              <a16:creationId xmlns:a16="http://schemas.microsoft.com/office/drawing/2014/main" id="{00000000-0008-0000-0200-0000A6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215" name="Line 38">
          <a:extLst>
            <a:ext uri="{FF2B5EF4-FFF2-40B4-BE49-F238E27FC236}">
              <a16:creationId xmlns:a16="http://schemas.microsoft.com/office/drawing/2014/main" id="{00000000-0008-0000-0200-0000A7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216" name="Line 39">
          <a:extLst>
            <a:ext uri="{FF2B5EF4-FFF2-40B4-BE49-F238E27FC236}">
              <a16:creationId xmlns:a16="http://schemas.microsoft.com/office/drawing/2014/main" id="{00000000-0008-0000-0200-0000A8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217" name="Line 40">
          <a:extLst>
            <a:ext uri="{FF2B5EF4-FFF2-40B4-BE49-F238E27FC236}">
              <a16:creationId xmlns:a16="http://schemas.microsoft.com/office/drawing/2014/main" id="{00000000-0008-0000-0200-0000A9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218" name="Line 41">
          <a:extLst>
            <a:ext uri="{FF2B5EF4-FFF2-40B4-BE49-F238E27FC236}">
              <a16:creationId xmlns:a16="http://schemas.microsoft.com/office/drawing/2014/main" id="{00000000-0008-0000-0200-0000AA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219" name="Rectangle 42">
          <a:extLst>
            <a:ext uri="{FF2B5EF4-FFF2-40B4-BE49-F238E27FC236}">
              <a16:creationId xmlns:a16="http://schemas.microsoft.com/office/drawing/2014/main" id="{00000000-0008-0000-0200-0000AB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20" name="Line 43">
          <a:extLst>
            <a:ext uri="{FF2B5EF4-FFF2-40B4-BE49-F238E27FC236}">
              <a16:creationId xmlns:a16="http://schemas.microsoft.com/office/drawing/2014/main" id="{00000000-0008-0000-0200-0000AC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21" name="Line 44">
          <a:extLst>
            <a:ext uri="{FF2B5EF4-FFF2-40B4-BE49-F238E27FC236}">
              <a16:creationId xmlns:a16="http://schemas.microsoft.com/office/drawing/2014/main" id="{00000000-0008-0000-0200-0000AD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222" name="Line 45">
          <a:extLst>
            <a:ext uri="{FF2B5EF4-FFF2-40B4-BE49-F238E27FC236}">
              <a16:creationId xmlns:a16="http://schemas.microsoft.com/office/drawing/2014/main" id="{00000000-0008-0000-0200-0000AE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223" name="Line 46">
          <a:extLst>
            <a:ext uri="{FF2B5EF4-FFF2-40B4-BE49-F238E27FC236}">
              <a16:creationId xmlns:a16="http://schemas.microsoft.com/office/drawing/2014/main" id="{00000000-0008-0000-0200-0000AF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224" name="Line 47">
          <a:extLst>
            <a:ext uri="{FF2B5EF4-FFF2-40B4-BE49-F238E27FC236}">
              <a16:creationId xmlns:a16="http://schemas.microsoft.com/office/drawing/2014/main" id="{00000000-0008-0000-0200-0000B0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225" name="Line 48">
          <a:extLst>
            <a:ext uri="{FF2B5EF4-FFF2-40B4-BE49-F238E27FC236}">
              <a16:creationId xmlns:a16="http://schemas.microsoft.com/office/drawing/2014/main" id="{00000000-0008-0000-0200-0000B1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226" name="Line 49">
          <a:extLst>
            <a:ext uri="{FF2B5EF4-FFF2-40B4-BE49-F238E27FC236}">
              <a16:creationId xmlns:a16="http://schemas.microsoft.com/office/drawing/2014/main" id="{00000000-0008-0000-0200-0000B2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227" name="Line 50">
          <a:extLst>
            <a:ext uri="{FF2B5EF4-FFF2-40B4-BE49-F238E27FC236}">
              <a16:creationId xmlns:a16="http://schemas.microsoft.com/office/drawing/2014/main" id="{00000000-0008-0000-0200-0000B3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228" name="Line 51">
          <a:extLst>
            <a:ext uri="{FF2B5EF4-FFF2-40B4-BE49-F238E27FC236}">
              <a16:creationId xmlns:a16="http://schemas.microsoft.com/office/drawing/2014/main" id="{00000000-0008-0000-0200-0000B4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229" name="Line 52">
          <a:extLst>
            <a:ext uri="{FF2B5EF4-FFF2-40B4-BE49-F238E27FC236}">
              <a16:creationId xmlns:a16="http://schemas.microsoft.com/office/drawing/2014/main" id="{00000000-0008-0000-0200-0000B5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230" name="Line 53">
          <a:extLst>
            <a:ext uri="{FF2B5EF4-FFF2-40B4-BE49-F238E27FC236}">
              <a16:creationId xmlns:a16="http://schemas.microsoft.com/office/drawing/2014/main" id="{00000000-0008-0000-0200-0000B6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231" name="Line 54">
          <a:extLst>
            <a:ext uri="{FF2B5EF4-FFF2-40B4-BE49-F238E27FC236}">
              <a16:creationId xmlns:a16="http://schemas.microsoft.com/office/drawing/2014/main" id="{00000000-0008-0000-0200-0000B7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232" name="Line 55">
          <a:extLst>
            <a:ext uri="{FF2B5EF4-FFF2-40B4-BE49-F238E27FC236}">
              <a16:creationId xmlns:a16="http://schemas.microsoft.com/office/drawing/2014/main" id="{00000000-0008-0000-0200-0000B8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233" name="Line 56">
          <a:extLst>
            <a:ext uri="{FF2B5EF4-FFF2-40B4-BE49-F238E27FC236}">
              <a16:creationId xmlns:a16="http://schemas.microsoft.com/office/drawing/2014/main" id="{00000000-0008-0000-0200-0000B9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234" name="Rectangle 57">
          <a:extLst>
            <a:ext uri="{FF2B5EF4-FFF2-40B4-BE49-F238E27FC236}">
              <a16:creationId xmlns:a16="http://schemas.microsoft.com/office/drawing/2014/main" id="{00000000-0008-0000-0200-0000BA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235" name="Line 58">
          <a:extLst>
            <a:ext uri="{FF2B5EF4-FFF2-40B4-BE49-F238E27FC236}">
              <a16:creationId xmlns:a16="http://schemas.microsoft.com/office/drawing/2014/main" id="{00000000-0008-0000-0200-0000BB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236" name="Line 59">
          <a:extLst>
            <a:ext uri="{FF2B5EF4-FFF2-40B4-BE49-F238E27FC236}">
              <a16:creationId xmlns:a16="http://schemas.microsoft.com/office/drawing/2014/main" id="{00000000-0008-0000-0200-0000BC08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237" name="Line 60">
          <a:extLst>
            <a:ext uri="{FF2B5EF4-FFF2-40B4-BE49-F238E27FC236}">
              <a16:creationId xmlns:a16="http://schemas.microsoft.com/office/drawing/2014/main" id="{00000000-0008-0000-0200-0000BD08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238" name="Line 61">
          <a:extLst>
            <a:ext uri="{FF2B5EF4-FFF2-40B4-BE49-F238E27FC236}">
              <a16:creationId xmlns:a16="http://schemas.microsoft.com/office/drawing/2014/main" id="{00000000-0008-0000-0200-0000BE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239" name="Line 62">
          <a:extLst>
            <a:ext uri="{FF2B5EF4-FFF2-40B4-BE49-F238E27FC236}">
              <a16:creationId xmlns:a16="http://schemas.microsoft.com/office/drawing/2014/main" id="{00000000-0008-0000-0200-0000BF08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240" name="Line 63">
          <a:extLst>
            <a:ext uri="{FF2B5EF4-FFF2-40B4-BE49-F238E27FC236}">
              <a16:creationId xmlns:a16="http://schemas.microsoft.com/office/drawing/2014/main" id="{00000000-0008-0000-0200-0000C008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241" name="Line 64">
          <a:extLst>
            <a:ext uri="{FF2B5EF4-FFF2-40B4-BE49-F238E27FC236}">
              <a16:creationId xmlns:a16="http://schemas.microsoft.com/office/drawing/2014/main" id="{00000000-0008-0000-0200-0000C108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242" name="Line 65">
          <a:extLst>
            <a:ext uri="{FF2B5EF4-FFF2-40B4-BE49-F238E27FC236}">
              <a16:creationId xmlns:a16="http://schemas.microsoft.com/office/drawing/2014/main" id="{00000000-0008-0000-0200-0000C208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243" name="Line 66">
          <a:extLst>
            <a:ext uri="{FF2B5EF4-FFF2-40B4-BE49-F238E27FC236}">
              <a16:creationId xmlns:a16="http://schemas.microsoft.com/office/drawing/2014/main" id="{00000000-0008-0000-0200-0000C308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244" name="Line 67">
          <a:extLst>
            <a:ext uri="{FF2B5EF4-FFF2-40B4-BE49-F238E27FC236}">
              <a16:creationId xmlns:a16="http://schemas.microsoft.com/office/drawing/2014/main" id="{00000000-0008-0000-0200-0000C408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245" name="Line 68">
          <a:extLst>
            <a:ext uri="{FF2B5EF4-FFF2-40B4-BE49-F238E27FC236}">
              <a16:creationId xmlns:a16="http://schemas.microsoft.com/office/drawing/2014/main" id="{00000000-0008-0000-0200-0000C508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246" name="Line 1">
          <a:extLst>
            <a:ext uri="{FF2B5EF4-FFF2-40B4-BE49-F238E27FC236}">
              <a16:creationId xmlns:a16="http://schemas.microsoft.com/office/drawing/2014/main" id="{00000000-0008-0000-0200-0000C608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247" name="Drawing 16">
          <a:extLst>
            <a:ext uri="{FF2B5EF4-FFF2-40B4-BE49-F238E27FC236}">
              <a16:creationId xmlns:a16="http://schemas.microsoft.com/office/drawing/2014/main" id="{00000000-0008-0000-0200-0000C708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248" name="Line 3">
          <a:extLst>
            <a:ext uri="{FF2B5EF4-FFF2-40B4-BE49-F238E27FC236}">
              <a16:creationId xmlns:a16="http://schemas.microsoft.com/office/drawing/2014/main" id="{00000000-0008-0000-0200-0000C808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249" name="Line 4">
          <a:extLst>
            <a:ext uri="{FF2B5EF4-FFF2-40B4-BE49-F238E27FC236}">
              <a16:creationId xmlns:a16="http://schemas.microsoft.com/office/drawing/2014/main" id="{00000000-0008-0000-0200-0000C908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250" name="Line 5">
          <a:extLst>
            <a:ext uri="{FF2B5EF4-FFF2-40B4-BE49-F238E27FC236}">
              <a16:creationId xmlns:a16="http://schemas.microsoft.com/office/drawing/2014/main" id="{00000000-0008-0000-0200-0000CA08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251" name="Line 6">
          <a:extLst>
            <a:ext uri="{FF2B5EF4-FFF2-40B4-BE49-F238E27FC236}">
              <a16:creationId xmlns:a16="http://schemas.microsoft.com/office/drawing/2014/main" id="{00000000-0008-0000-0200-0000CB08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252" name="Line 7">
          <a:extLst>
            <a:ext uri="{FF2B5EF4-FFF2-40B4-BE49-F238E27FC236}">
              <a16:creationId xmlns:a16="http://schemas.microsoft.com/office/drawing/2014/main" id="{00000000-0008-0000-0200-0000CC08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253" name="Line 8">
          <a:extLst>
            <a:ext uri="{FF2B5EF4-FFF2-40B4-BE49-F238E27FC236}">
              <a16:creationId xmlns:a16="http://schemas.microsoft.com/office/drawing/2014/main" id="{00000000-0008-0000-0200-0000CD08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254" name="Line 9">
          <a:extLst>
            <a:ext uri="{FF2B5EF4-FFF2-40B4-BE49-F238E27FC236}">
              <a16:creationId xmlns:a16="http://schemas.microsoft.com/office/drawing/2014/main" id="{00000000-0008-0000-0200-0000CE08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255" name="Line 10">
          <a:extLst>
            <a:ext uri="{FF2B5EF4-FFF2-40B4-BE49-F238E27FC236}">
              <a16:creationId xmlns:a16="http://schemas.microsoft.com/office/drawing/2014/main" id="{00000000-0008-0000-0200-0000CF08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256" name="Line 11">
          <a:extLst>
            <a:ext uri="{FF2B5EF4-FFF2-40B4-BE49-F238E27FC236}">
              <a16:creationId xmlns:a16="http://schemas.microsoft.com/office/drawing/2014/main" id="{00000000-0008-0000-0200-0000D008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257" name="Line 12">
          <a:extLst>
            <a:ext uri="{FF2B5EF4-FFF2-40B4-BE49-F238E27FC236}">
              <a16:creationId xmlns:a16="http://schemas.microsoft.com/office/drawing/2014/main" id="{00000000-0008-0000-0200-0000D108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258" name="Line 13">
          <a:extLst>
            <a:ext uri="{FF2B5EF4-FFF2-40B4-BE49-F238E27FC236}">
              <a16:creationId xmlns:a16="http://schemas.microsoft.com/office/drawing/2014/main" id="{00000000-0008-0000-0200-0000D208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259" name="Line 14">
          <a:extLst>
            <a:ext uri="{FF2B5EF4-FFF2-40B4-BE49-F238E27FC236}">
              <a16:creationId xmlns:a16="http://schemas.microsoft.com/office/drawing/2014/main" id="{00000000-0008-0000-0200-0000D308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260" name="Line 15">
          <a:extLst>
            <a:ext uri="{FF2B5EF4-FFF2-40B4-BE49-F238E27FC236}">
              <a16:creationId xmlns:a16="http://schemas.microsoft.com/office/drawing/2014/main" id="{00000000-0008-0000-0200-0000D408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261" name="Line 16">
          <a:extLst>
            <a:ext uri="{FF2B5EF4-FFF2-40B4-BE49-F238E27FC236}">
              <a16:creationId xmlns:a16="http://schemas.microsoft.com/office/drawing/2014/main" id="{00000000-0008-0000-0200-0000D508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262" name="Line 17">
          <a:extLst>
            <a:ext uri="{FF2B5EF4-FFF2-40B4-BE49-F238E27FC236}">
              <a16:creationId xmlns:a16="http://schemas.microsoft.com/office/drawing/2014/main" id="{00000000-0008-0000-0200-0000D608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263" name="Line 18">
          <a:extLst>
            <a:ext uri="{FF2B5EF4-FFF2-40B4-BE49-F238E27FC236}">
              <a16:creationId xmlns:a16="http://schemas.microsoft.com/office/drawing/2014/main" id="{00000000-0008-0000-0200-0000D708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264" name="Line 19">
          <a:extLst>
            <a:ext uri="{FF2B5EF4-FFF2-40B4-BE49-F238E27FC236}">
              <a16:creationId xmlns:a16="http://schemas.microsoft.com/office/drawing/2014/main" id="{00000000-0008-0000-0200-0000D808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265" name="Line 20">
          <a:extLst>
            <a:ext uri="{FF2B5EF4-FFF2-40B4-BE49-F238E27FC236}">
              <a16:creationId xmlns:a16="http://schemas.microsoft.com/office/drawing/2014/main" id="{00000000-0008-0000-0200-0000D908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266" name="Line 21">
          <a:extLst>
            <a:ext uri="{FF2B5EF4-FFF2-40B4-BE49-F238E27FC236}">
              <a16:creationId xmlns:a16="http://schemas.microsoft.com/office/drawing/2014/main" id="{00000000-0008-0000-0200-0000DA08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267" name="Line 22">
          <a:extLst>
            <a:ext uri="{FF2B5EF4-FFF2-40B4-BE49-F238E27FC236}">
              <a16:creationId xmlns:a16="http://schemas.microsoft.com/office/drawing/2014/main" id="{00000000-0008-0000-0200-0000DB08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268" name="Line 23">
          <a:extLst>
            <a:ext uri="{FF2B5EF4-FFF2-40B4-BE49-F238E27FC236}">
              <a16:creationId xmlns:a16="http://schemas.microsoft.com/office/drawing/2014/main" id="{00000000-0008-0000-0200-0000DC08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269" name="Line 24">
          <a:extLst>
            <a:ext uri="{FF2B5EF4-FFF2-40B4-BE49-F238E27FC236}">
              <a16:creationId xmlns:a16="http://schemas.microsoft.com/office/drawing/2014/main" id="{00000000-0008-0000-0200-0000DD08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270" name="Line 25">
          <a:extLst>
            <a:ext uri="{FF2B5EF4-FFF2-40B4-BE49-F238E27FC236}">
              <a16:creationId xmlns:a16="http://schemas.microsoft.com/office/drawing/2014/main" id="{00000000-0008-0000-0200-0000DE08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271" name="Line 26">
          <a:extLst>
            <a:ext uri="{FF2B5EF4-FFF2-40B4-BE49-F238E27FC236}">
              <a16:creationId xmlns:a16="http://schemas.microsoft.com/office/drawing/2014/main" id="{00000000-0008-0000-0200-0000DF08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272" name="Line 27">
          <a:extLst>
            <a:ext uri="{FF2B5EF4-FFF2-40B4-BE49-F238E27FC236}">
              <a16:creationId xmlns:a16="http://schemas.microsoft.com/office/drawing/2014/main" id="{00000000-0008-0000-0200-0000E008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273" name="Line 28">
          <a:extLst>
            <a:ext uri="{FF2B5EF4-FFF2-40B4-BE49-F238E27FC236}">
              <a16:creationId xmlns:a16="http://schemas.microsoft.com/office/drawing/2014/main" id="{00000000-0008-0000-0200-0000E108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274" name="Line 29">
          <a:extLst>
            <a:ext uri="{FF2B5EF4-FFF2-40B4-BE49-F238E27FC236}">
              <a16:creationId xmlns:a16="http://schemas.microsoft.com/office/drawing/2014/main" id="{00000000-0008-0000-0200-0000E208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275" name="Line 30">
          <a:extLst>
            <a:ext uri="{FF2B5EF4-FFF2-40B4-BE49-F238E27FC236}">
              <a16:creationId xmlns:a16="http://schemas.microsoft.com/office/drawing/2014/main" id="{00000000-0008-0000-0200-0000E308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276" name="Line 31">
          <a:extLst>
            <a:ext uri="{FF2B5EF4-FFF2-40B4-BE49-F238E27FC236}">
              <a16:creationId xmlns:a16="http://schemas.microsoft.com/office/drawing/2014/main" id="{00000000-0008-0000-0200-0000E408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277" name="Line 32">
          <a:extLst>
            <a:ext uri="{FF2B5EF4-FFF2-40B4-BE49-F238E27FC236}">
              <a16:creationId xmlns:a16="http://schemas.microsoft.com/office/drawing/2014/main" id="{00000000-0008-0000-0200-0000E508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278" name="Line 33">
          <a:extLst>
            <a:ext uri="{FF2B5EF4-FFF2-40B4-BE49-F238E27FC236}">
              <a16:creationId xmlns:a16="http://schemas.microsoft.com/office/drawing/2014/main" id="{00000000-0008-0000-0200-0000E608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279" name="Line 34">
          <a:extLst>
            <a:ext uri="{FF2B5EF4-FFF2-40B4-BE49-F238E27FC236}">
              <a16:creationId xmlns:a16="http://schemas.microsoft.com/office/drawing/2014/main" id="{00000000-0008-0000-0200-0000E708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280" name="Line 35">
          <a:extLst>
            <a:ext uri="{FF2B5EF4-FFF2-40B4-BE49-F238E27FC236}">
              <a16:creationId xmlns:a16="http://schemas.microsoft.com/office/drawing/2014/main" id="{00000000-0008-0000-0200-0000E808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281" name="Line 36">
          <a:extLst>
            <a:ext uri="{FF2B5EF4-FFF2-40B4-BE49-F238E27FC236}">
              <a16:creationId xmlns:a16="http://schemas.microsoft.com/office/drawing/2014/main" id="{00000000-0008-0000-0200-0000E908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282" name="Line 37">
          <a:extLst>
            <a:ext uri="{FF2B5EF4-FFF2-40B4-BE49-F238E27FC236}">
              <a16:creationId xmlns:a16="http://schemas.microsoft.com/office/drawing/2014/main" id="{00000000-0008-0000-0200-0000EA08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283" name="Line 38">
          <a:extLst>
            <a:ext uri="{FF2B5EF4-FFF2-40B4-BE49-F238E27FC236}">
              <a16:creationId xmlns:a16="http://schemas.microsoft.com/office/drawing/2014/main" id="{00000000-0008-0000-0200-0000EB08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284" name="Line 39">
          <a:extLst>
            <a:ext uri="{FF2B5EF4-FFF2-40B4-BE49-F238E27FC236}">
              <a16:creationId xmlns:a16="http://schemas.microsoft.com/office/drawing/2014/main" id="{00000000-0008-0000-0200-0000EC08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285" name="Line 40">
          <a:extLst>
            <a:ext uri="{FF2B5EF4-FFF2-40B4-BE49-F238E27FC236}">
              <a16:creationId xmlns:a16="http://schemas.microsoft.com/office/drawing/2014/main" id="{00000000-0008-0000-0200-0000ED08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286" name="Line 41">
          <a:extLst>
            <a:ext uri="{FF2B5EF4-FFF2-40B4-BE49-F238E27FC236}">
              <a16:creationId xmlns:a16="http://schemas.microsoft.com/office/drawing/2014/main" id="{00000000-0008-0000-0200-0000EE08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287" name="Rectangle 42">
          <a:extLst>
            <a:ext uri="{FF2B5EF4-FFF2-40B4-BE49-F238E27FC236}">
              <a16:creationId xmlns:a16="http://schemas.microsoft.com/office/drawing/2014/main" id="{00000000-0008-0000-0200-0000EF08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88" name="Line 43">
          <a:extLst>
            <a:ext uri="{FF2B5EF4-FFF2-40B4-BE49-F238E27FC236}">
              <a16:creationId xmlns:a16="http://schemas.microsoft.com/office/drawing/2014/main" id="{00000000-0008-0000-0200-0000F008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289" name="Line 44">
          <a:extLst>
            <a:ext uri="{FF2B5EF4-FFF2-40B4-BE49-F238E27FC236}">
              <a16:creationId xmlns:a16="http://schemas.microsoft.com/office/drawing/2014/main" id="{00000000-0008-0000-0200-0000F1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290" name="Line 45">
          <a:extLst>
            <a:ext uri="{FF2B5EF4-FFF2-40B4-BE49-F238E27FC236}">
              <a16:creationId xmlns:a16="http://schemas.microsoft.com/office/drawing/2014/main" id="{00000000-0008-0000-0200-0000F208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291" name="Line 46">
          <a:extLst>
            <a:ext uri="{FF2B5EF4-FFF2-40B4-BE49-F238E27FC236}">
              <a16:creationId xmlns:a16="http://schemas.microsoft.com/office/drawing/2014/main" id="{00000000-0008-0000-0200-0000F308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292" name="Line 47">
          <a:extLst>
            <a:ext uri="{FF2B5EF4-FFF2-40B4-BE49-F238E27FC236}">
              <a16:creationId xmlns:a16="http://schemas.microsoft.com/office/drawing/2014/main" id="{00000000-0008-0000-0200-0000F408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293" name="Line 48">
          <a:extLst>
            <a:ext uri="{FF2B5EF4-FFF2-40B4-BE49-F238E27FC236}">
              <a16:creationId xmlns:a16="http://schemas.microsoft.com/office/drawing/2014/main" id="{00000000-0008-0000-0200-0000F508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294" name="Line 49">
          <a:extLst>
            <a:ext uri="{FF2B5EF4-FFF2-40B4-BE49-F238E27FC236}">
              <a16:creationId xmlns:a16="http://schemas.microsoft.com/office/drawing/2014/main" id="{00000000-0008-0000-0200-0000F608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295" name="Line 50">
          <a:extLst>
            <a:ext uri="{FF2B5EF4-FFF2-40B4-BE49-F238E27FC236}">
              <a16:creationId xmlns:a16="http://schemas.microsoft.com/office/drawing/2014/main" id="{00000000-0008-0000-0200-0000F708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296" name="Line 51">
          <a:extLst>
            <a:ext uri="{FF2B5EF4-FFF2-40B4-BE49-F238E27FC236}">
              <a16:creationId xmlns:a16="http://schemas.microsoft.com/office/drawing/2014/main" id="{00000000-0008-0000-0200-0000F808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297" name="Line 52">
          <a:extLst>
            <a:ext uri="{FF2B5EF4-FFF2-40B4-BE49-F238E27FC236}">
              <a16:creationId xmlns:a16="http://schemas.microsoft.com/office/drawing/2014/main" id="{00000000-0008-0000-0200-0000F908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298" name="Line 53">
          <a:extLst>
            <a:ext uri="{FF2B5EF4-FFF2-40B4-BE49-F238E27FC236}">
              <a16:creationId xmlns:a16="http://schemas.microsoft.com/office/drawing/2014/main" id="{00000000-0008-0000-0200-0000FA08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299" name="Line 54">
          <a:extLst>
            <a:ext uri="{FF2B5EF4-FFF2-40B4-BE49-F238E27FC236}">
              <a16:creationId xmlns:a16="http://schemas.microsoft.com/office/drawing/2014/main" id="{00000000-0008-0000-0200-0000FB08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300" name="Line 55">
          <a:extLst>
            <a:ext uri="{FF2B5EF4-FFF2-40B4-BE49-F238E27FC236}">
              <a16:creationId xmlns:a16="http://schemas.microsoft.com/office/drawing/2014/main" id="{00000000-0008-0000-0200-0000FC08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301" name="Line 56">
          <a:extLst>
            <a:ext uri="{FF2B5EF4-FFF2-40B4-BE49-F238E27FC236}">
              <a16:creationId xmlns:a16="http://schemas.microsoft.com/office/drawing/2014/main" id="{00000000-0008-0000-0200-0000FD08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302" name="Rectangle 57">
          <a:extLst>
            <a:ext uri="{FF2B5EF4-FFF2-40B4-BE49-F238E27FC236}">
              <a16:creationId xmlns:a16="http://schemas.microsoft.com/office/drawing/2014/main" id="{00000000-0008-0000-0200-0000FE08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303" name="Line 58">
          <a:extLst>
            <a:ext uri="{FF2B5EF4-FFF2-40B4-BE49-F238E27FC236}">
              <a16:creationId xmlns:a16="http://schemas.microsoft.com/office/drawing/2014/main" id="{00000000-0008-0000-0200-0000FF08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304" name="Line 59">
          <a:extLst>
            <a:ext uri="{FF2B5EF4-FFF2-40B4-BE49-F238E27FC236}">
              <a16:creationId xmlns:a16="http://schemas.microsoft.com/office/drawing/2014/main" id="{00000000-0008-0000-0200-000000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305" name="Line 60">
          <a:extLst>
            <a:ext uri="{FF2B5EF4-FFF2-40B4-BE49-F238E27FC236}">
              <a16:creationId xmlns:a16="http://schemas.microsoft.com/office/drawing/2014/main" id="{00000000-0008-0000-0200-000001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306" name="Line 61">
          <a:extLst>
            <a:ext uri="{FF2B5EF4-FFF2-40B4-BE49-F238E27FC236}">
              <a16:creationId xmlns:a16="http://schemas.microsoft.com/office/drawing/2014/main" id="{00000000-0008-0000-0200-000002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307" name="Line 62">
          <a:extLst>
            <a:ext uri="{FF2B5EF4-FFF2-40B4-BE49-F238E27FC236}">
              <a16:creationId xmlns:a16="http://schemas.microsoft.com/office/drawing/2014/main" id="{00000000-0008-0000-0200-000003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308" name="Line 63">
          <a:extLst>
            <a:ext uri="{FF2B5EF4-FFF2-40B4-BE49-F238E27FC236}">
              <a16:creationId xmlns:a16="http://schemas.microsoft.com/office/drawing/2014/main" id="{00000000-0008-0000-0200-000004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309" name="Line 64">
          <a:extLst>
            <a:ext uri="{FF2B5EF4-FFF2-40B4-BE49-F238E27FC236}">
              <a16:creationId xmlns:a16="http://schemas.microsoft.com/office/drawing/2014/main" id="{00000000-0008-0000-0200-000005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310" name="Line 65">
          <a:extLst>
            <a:ext uri="{FF2B5EF4-FFF2-40B4-BE49-F238E27FC236}">
              <a16:creationId xmlns:a16="http://schemas.microsoft.com/office/drawing/2014/main" id="{00000000-0008-0000-0200-000006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311" name="Line 66">
          <a:extLst>
            <a:ext uri="{FF2B5EF4-FFF2-40B4-BE49-F238E27FC236}">
              <a16:creationId xmlns:a16="http://schemas.microsoft.com/office/drawing/2014/main" id="{00000000-0008-0000-0200-000007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312" name="Line 67">
          <a:extLst>
            <a:ext uri="{FF2B5EF4-FFF2-40B4-BE49-F238E27FC236}">
              <a16:creationId xmlns:a16="http://schemas.microsoft.com/office/drawing/2014/main" id="{00000000-0008-0000-0200-000008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313" name="Line 68">
          <a:extLst>
            <a:ext uri="{FF2B5EF4-FFF2-40B4-BE49-F238E27FC236}">
              <a16:creationId xmlns:a16="http://schemas.microsoft.com/office/drawing/2014/main" id="{00000000-0008-0000-0200-000009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314" name="Line 1">
          <a:extLst>
            <a:ext uri="{FF2B5EF4-FFF2-40B4-BE49-F238E27FC236}">
              <a16:creationId xmlns:a16="http://schemas.microsoft.com/office/drawing/2014/main" id="{00000000-0008-0000-0200-00000A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315" name="Drawing 16">
          <a:extLst>
            <a:ext uri="{FF2B5EF4-FFF2-40B4-BE49-F238E27FC236}">
              <a16:creationId xmlns:a16="http://schemas.microsoft.com/office/drawing/2014/main" id="{00000000-0008-0000-0200-00000B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316" name="Line 3">
          <a:extLst>
            <a:ext uri="{FF2B5EF4-FFF2-40B4-BE49-F238E27FC236}">
              <a16:creationId xmlns:a16="http://schemas.microsoft.com/office/drawing/2014/main" id="{00000000-0008-0000-0200-00000C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317" name="Line 4">
          <a:extLst>
            <a:ext uri="{FF2B5EF4-FFF2-40B4-BE49-F238E27FC236}">
              <a16:creationId xmlns:a16="http://schemas.microsoft.com/office/drawing/2014/main" id="{00000000-0008-0000-0200-00000D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318" name="Line 5">
          <a:extLst>
            <a:ext uri="{FF2B5EF4-FFF2-40B4-BE49-F238E27FC236}">
              <a16:creationId xmlns:a16="http://schemas.microsoft.com/office/drawing/2014/main" id="{00000000-0008-0000-0200-00000E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319" name="Line 6">
          <a:extLst>
            <a:ext uri="{FF2B5EF4-FFF2-40B4-BE49-F238E27FC236}">
              <a16:creationId xmlns:a16="http://schemas.microsoft.com/office/drawing/2014/main" id="{00000000-0008-0000-0200-00000F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320" name="Line 7">
          <a:extLst>
            <a:ext uri="{FF2B5EF4-FFF2-40B4-BE49-F238E27FC236}">
              <a16:creationId xmlns:a16="http://schemas.microsoft.com/office/drawing/2014/main" id="{00000000-0008-0000-0200-000010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321" name="Line 8">
          <a:extLst>
            <a:ext uri="{FF2B5EF4-FFF2-40B4-BE49-F238E27FC236}">
              <a16:creationId xmlns:a16="http://schemas.microsoft.com/office/drawing/2014/main" id="{00000000-0008-0000-0200-000011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322" name="Line 9">
          <a:extLst>
            <a:ext uri="{FF2B5EF4-FFF2-40B4-BE49-F238E27FC236}">
              <a16:creationId xmlns:a16="http://schemas.microsoft.com/office/drawing/2014/main" id="{00000000-0008-0000-0200-000012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323" name="Line 10">
          <a:extLst>
            <a:ext uri="{FF2B5EF4-FFF2-40B4-BE49-F238E27FC236}">
              <a16:creationId xmlns:a16="http://schemas.microsoft.com/office/drawing/2014/main" id="{00000000-0008-0000-0200-000013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324" name="Line 11">
          <a:extLst>
            <a:ext uri="{FF2B5EF4-FFF2-40B4-BE49-F238E27FC236}">
              <a16:creationId xmlns:a16="http://schemas.microsoft.com/office/drawing/2014/main" id="{00000000-0008-0000-0200-000014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325" name="Line 12">
          <a:extLst>
            <a:ext uri="{FF2B5EF4-FFF2-40B4-BE49-F238E27FC236}">
              <a16:creationId xmlns:a16="http://schemas.microsoft.com/office/drawing/2014/main" id="{00000000-0008-0000-0200-000015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326" name="Line 13">
          <a:extLst>
            <a:ext uri="{FF2B5EF4-FFF2-40B4-BE49-F238E27FC236}">
              <a16:creationId xmlns:a16="http://schemas.microsoft.com/office/drawing/2014/main" id="{00000000-0008-0000-0200-000016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27" name="Line 14">
          <a:extLst>
            <a:ext uri="{FF2B5EF4-FFF2-40B4-BE49-F238E27FC236}">
              <a16:creationId xmlns:a16="http://schemas.microsoft.com/office/drawing/2014/main" id="{00000000-0008-0000-0200-000017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328" name="Line 15">
          <a:extLst>
            <a:ext uri="{FF2B5EF4-FFF2-40B4-BE49-F238E27FC236}">
              <a16:creationId xmlns:a16="http://schemas.microsoft.com/office/drawing/2014/main" id="{00000000-0008-0000-0200-000018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29" name="Line 16">
          <a:extLst>
            <a:ext uri="{FF2B5EF4-FFF2-40B4-BE49-F238E27FC236}">
              <a16:creationId xmlns:a16="http://schemas.microsoft.com/office/drawing/2014/main" id="{00000000-0008-0000-0200-000019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330" name="Line 17">
          <a:extLst>
            <a:ext uri="{FF2B5EF4-FFF2-40B4-BE49-F238E27FC236}">
              <a16:creationId xmlns:a16="http://schemas.microsoft.com/office/drawing/2014/main" id="{00000000-0008-0000-0200-00001A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331" name="Line 18">
          <a:extLst>
            <a:ext uri="{FF2B5EF4-FFF2-40B4-BE49-F238E27FC236}">
              <a16:creationId xmlns:a16="http://schemas.microsoft.com/office/drawing/2014/main" id="{00000000-0008-0000-0200-00001B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332" name="Line 19">
          <a:extLst>
            <a:ext uri="{FF2B5EF4-FFF2-40B4-BE49-F238E27FC236}">
              <a16:creationId xmlns:a16="http://schemas.microsoft.com/office/drawing/2014/main" id="{00000000-0008-0000-0200-00001C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333" name="Line 20">
          <a:extLst>
            <a:ext uri="{FF2B5EF4-FFF2-40B4-BE49-F238E27FC236}">
              <a16:creationId xmlns:a16="http://schemas.microsoft.com/office/drawing/2014/main" id="{00000000-0008-0000-0200-00001D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334" name="Line 21">
          <a:extLst>
            <a:ext uri="{FF2B5EF4-FFF2-40B4-BE49-F238E27FC236}">
              <a16:creationId xmlns:a16="http://schemas.microsoft.com/office/drawing/2014/main" id="{00000000-0008-0000-0200-00001E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335" name="Line 22">
          <a:extLst>
            <a:ext uri="{FF2B5EF4-FFF2-40B4-BE49-F238E27FC236}">
              <a16:creationId xmlns:a16="http://schemas.microsoft.com/office/drawing/2014/main" id="{00000000-0008-0000-0200-00001F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336" name="Line 23">
          <a:extLst>
            <a:ext uri="{FF2B5EF4-FFF2-40B4-BE49-F238E27FC236}">
              <a16:creationId xmlns:a16="http://schemas.microsoft.com/office/drawing/2014/main" id="{00000000-0008-0000-0200-000020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337" name="Line 24">
          <a:extLst>
            <a:ext uri="{FF2B5EF4-FFF2-40B4-BE49-F238E27FC236}">
              <a16:creationId xmlns:a16="http://schemas.microsoft.com/office/drawing/2014/main" id="{00000000-0008-0000-0200-000021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338" name="Line 25">
          <a:extLst>
            <a:ext uri="{FF2B5EF4-FFF2-40B4-BE49-F238E27FC236}">
              <a16:creationId xmlns:a16="http://schemas.microsoft.com/office/drawing/2014/main" id="{00000000-0008-0000-0200-000022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339" name="Line 26">
          <a:extLst>
            <a:ext uri="{FF2B5EF4-FFF2-40B4-BE49-F238E27FC236}">
              <a16:creationId xmlns:a16="http://schemas.microsoft.com/office/drawing/2014/main" id="{00000000-0008-0000-0200-000023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340" name="Line 27">
          <a:extLst>
            <a:ext uri="{FF2B5EF4-FFF2-40B4-BE49-F238E27FC236}">
              <a16:creationId xmlns:a16="http://schemas.microsoft.com/office/drawing/2014/main" id="{00000000-0008-0000-0200-000024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341" name="Line 28">
          <a:extLst>
            <a:ext uri="{FF2B5EF4-FFF2-40B4-BE49-F238E27FC236}">
              <a16:creationId xmlns:a16="http://schemas.microsoft.com/office/drawing/2014/main" id="{00000000-0008-0000-0200-000025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342" name="Line 29">
          <a:extLst>
            <a:ext uri="{FF2B5EF4-FFF2-40B4-BE49-F238E27FC236}">
              <a16:creationId xmlns:a16="http://schemas.microsoft.com/office/drawing/2014/main" id="{00000000-0008-0000-0200-000026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343" name="Line 30">
          <a:extLst>
            <a:ext uri="{FF2B5EF4-FFF2-40B4-BE49-F238E27FC236}">
              <a16:creationId xmlns:a16="http://schemas.microsoft.com/office/drawing/2014/main" id="{00000000-0008-0000-0200-000027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344" name="Line 31">
          <a:extLst>
            <a:ext uri="{FF2B5EF4-FFF2-40B4-BE49-F238E27FC236}">
              <a16:creationId xmlns:a16="http://schemas.microsoft.com/office/drawing/2014/main" id="{00000000-0008-0000-0200-000028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345" name="Line 32">
          <a:extLst>
            <a:ext uri="{FF2B5EF4-FFF2-40B4-BE49-F238E27FC236}">
              <a16:creationId xmlns:a16="http://schemas.microsoft.com/office/drawing/2014/main" id="{00000000-0008-0000-0200-000029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346" name="Line 33">
          <a:extLst>
            <a:ext uri="{FF2B5EF4-FFF2-40B4-BE49-F238E27FC236}">
              <a16:creationId xmlns:a16="http://schemas.microsoft.com/office/drawing/2014/main" id="{00000000-0008-0000-0200-00002A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347" name="Line 34">
          <a:extLst>
            <a:ext uri="{FF2B5EF4-FFF2-40B4-BE49-F238E27FC236}">
              <a16:creationId xmlns:a16="http://schemas.microsoft.com/office/drawing/2014/main" id="{00000000-0008-0000-0200-00002B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348" name="Line 35">
          <a:extLst>
            <a:ext uri="{FF2B5EF4-FFF2-40B4-BE49-F238E27FC236}">
              <a16:creationId xmlns:a16="http://schemas.microsoft.com/office/drawing/2014/main" id="{00000000-0008-0000-0200-00002C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349" name="Line 36">
          <a:extLst>
            <a:ext uri="{FF2B5EF4-FFF2-40B4-BE49-F238E27FC236}">
              <a16:creationId xmlns:a16="http://schemas.microsoft.com/office/drawing/2014/main" id="{00000000-0008-0000-0200-00002D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350" name="Line 37">
          <a:extLst>
            <a:ext uri="{FF2B5EF4-FFF2-40B4-BE49-F238E27FC236}">
              <a16:creationId xmlns:a16="http://schemas.microsoft.com/office/drawing/2014/main" id="{00000000-0008-0000-0200-00002E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351" name="Line 38">
          <a:extLst>
            <a:ext uri="{FF2B5EF4-FFF2-40B4-BE49-F238E27FC236}">
              <a16:creationId xmlns:a16="http://schemas.microsoft.com/office/drawing/2014/main" id="{00000000-0008-0000-0200-00002F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352" name="Line 39">
          <a:extLst>
            <a:ext uri="{FF2B5EF4-FFF2-40B4-BE49-F238E27FC236}">
              <a16:creationId xmlns:a16="http://schemas.microsoft.com/office/drawing/2014/main" id="{00000000-0008-0000-0200-000030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353" name="Line 40">
          <a:extLst>
            <a:ext uri="{FF2B5EF4-FFF2-40B4-BE49-F238E27FC236}">
              <a16:creationId xmlns:a16="http://schemas.microsoft.com/office/drawing/2014/main" id="{00000000-0008-0000-0200-000031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354" name="Line 41">
          <a:extLst>
            <a:ext uri="{FF2B5EF4-FFF2-40B4-BE49-F238E27FC236}">
              <a16:creationId xmlns:a16="http://schemas.microsoft.com/office/drawing/2014/main" id="{00000000-0008-0000-0200-000032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355" name="Rectangle 42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356" name="Line 43">
          <a:extLst>
            <a:ext uri="{FF2B5EF4-FFF2-40B4-BE49-F238E27FC236}">
              <a16:creationId xmlns:a16="http://schemas.microsoft.com/office/drawing/2014/main" id="{00000000-0008-0000-0200-00003409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357" name="Line 44">
          <a:extLst>
            <a:ext uri="{FF2B5EF4-FFF2-40B4-BE49-F238E27FC236}">
              <a16:creationId xmlns:a16="http://schemas.microsoft.com/office/drawing/2014/main" id="{00000000-0008-0000-0200-000035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358" name="Line 45">
          <a:extLst>
            <a:ext uri="{FF2B5EF4-FFF2-40B4-BE49-F238E27FC236}">
              <a16:creationId xmlns:a16="http://schemas.microsoft.com/office/drawing/2014/main" id="{00000000-0008-0000-0200-00003609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359" name="Line 46">
          <a:extLst>
            <a:ext uri="{FF2B5EF4-FFF2-40B4-BE49-F238E27FC236}">
              <a16:creationId xmlns:a16="http://schemas.microsoft.com/office/drawing/2014/main" id="{00000000-0008-0000-0200-000037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360" name="Line 47">
          <a:extLst>
            <a:ext uri="{FF2B5EF4-FFF2-40B4-BE49-F238E27FC236}">
              <a16:creationId xmlns:a16="http://schemas.microsoft.com/office/drawing/2014/main" id="{00000000-0008-0000-0200-00003809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361" name="Line 48">
          <a:extLst>
            <a:ext uri="{FF2B5EF4-FFF2-40B4-BE49-F238E27FC236}">
              <a16:creationId xmlns:a16="http://schemas.microsoft.com/office/drawing/2014/main" id="{00000000-0008-0000-0200-00003909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362" name="Line 49">
          <a:extLst>
            <a:ext uri="{FF2B5EF4-FFF2-40B4-BE49-F238E27FC236}">
              <a16:creationId xmlns:a16="http://schemas.microsoft.com/office/drawing/2014/main" id="{00000000-0008-0000-0200-00003A09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363" name="Line 50">
          <a:extLst>
            <a:ext uri="{FF2B5EF4-FFF2-40B4-BE49-F238E27FC236}">
              <a16:creationId xmlns:a16="http://schemas.microsoft.com/office/drawing/2014/main" id="{00000000-0008-0000-0200-00003B09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364" name="Line 51">
          <a:extLst>
            <a:ext uri="{FF2B5EF4-FFF2-40B4-BE49-F238E27FC236}">
              <a16:creationId xmlns:a16="http://schemas.microsoft.com/office/drawing/2014/main" id="{00000000-0008-0000-0200-00003C09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365" name="Line 52">
          <a:extLst>
            <a:ext uri="{FF2B5EF4-FFF2-40B4-BE49-F238E27FC236}">
              <a16:creationId xmlns:a16="http://schemas.microsoft.com/office/drawing/2014/main" id="{00000000-0008-0000-0200-00003D09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366" name="Line 53">
          <a:extLst>
            <a:ext uri="{FF2B5EF4-FFF2-40B4-BE49-F238E27FC236}">
              <a16:creationId xmlns:a16="http://schemas.microsoft.com/office/drawing/2014/main" id="{00000000-0008-0000-0200-00003E09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367" name="Line 54">
          <a:extLst>
            <a:ext uri="{FF2B5EF4-FFF2-40B4-BE49-F238E27FC236}">
              <a16:creationId xmlns:a16="http://schemas.microsoft.com/office/drawing/2014/main" id="{00000000-0008-0000-0200-00003F09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368" name="Line 55">
          <a:extLst>
            <a:ext uri="{FF2B5EF4-FFF2-40B4-BE49-F238E27FC236}">
              <a16:creationId xmlns:a16="http://schemas.microsoft.com/office/drawing/2014/main" id="{00000000-0008-0000-0200-00004009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369" name="Line 56">
          <a:extLst>
            <a:ext uri="{FF2B5EF4-FFF2-40B4-BE49-F238E27FC236}">
              <a16:creationId xmlns:a16="http://schemas.microsoft.com/office/drawing/2014/main" id="{00000000-0008-0000-0200-00004109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370" name="Rectangle 57">
          <a:extLst>
            <a:ext uri="{FF2B5EF4-FFF2-40B4-BE49-F238E27FC236}">
              <a16:creationId xmlns:a16="http://schemas.microsoft.com/office/drawing/2014/main" id="{00000000-0008-0000-0200-00004209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371" name="Line 58">
          <a:extLst>
            <a:ext uri="{FF2B5EF4-FFF2-40B4-BE49-F238E27FC236}">
              <a16:creationId xmlns:a16="http://schemas.microsoft.com/office/drawing/2014/main" id="{00000000-0008-0000-0200-00004309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372" name="Line 59">
          <a:extLst>
            <a:ext uri="{FF2B5EF4-FFF2-40B4-BE49-F238E27FC236}">
              <a16:creationId xmlns:a16="http://schemas.microsoft.com/office/drawing/2014/main" id="{00000000-0008-0000-0200-000044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373" name="Line 60">
          <a:extLst>
            <a:ext uri="{FF2B5EF4-FFF2-40B4-BE49-F238E27FC236}">
              <a16:creationId xmlns:a16="http://schemas.microsoft.com/office/drawing/2014/main" id="{00000000-0008-0000-0200-000045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374" name="Line 61">
          <a:extLst>
            <a:ext uri="{FF2B5EF4-FFF2-40B4-BE49-F238E27FC236}">
              <a16:creationId xmlns:a16="http://schemas.microsoft.com/office/drawing/2014/main" id="{00000000-0008-0000-0200-000046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375" name="Line 62">
          <a:extLst>
            <a:ext uri="{FF2B5EF4-FFF2-40B4-BE49-F238E27FC236}">
              <a16:creationId xmlns:a16="http://schemas.microsoft.com/office/drawing/2014/main" id="{00000000-0008-0000-0200-000047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376" name="Line 63">
          <a:extLst>
            <a:ext uri="{FF2B5EF4-FFF2-40B4-BE49-F238E27FC236}">
              <a16:creationId xmlns:a16="http://schemas.microsoft.com/office/drawing/2014/main" id="{00000000-0008-0000-0200-000048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377" name="Line 64">
          <a:extLst>
            <a:ext uri="{FF2B5EF4-FFF2-40B4-BE49-F238E27FC236}">
              <a16:creationId xmlns:a16="http://schemas.microsoft.com/office/drawing/2014/main" id="{00000000-0008-0000-0200-000049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378" name="Line 65">
          <a:extLst>
            <a:ext uri="{FF2B5EF4-FFF2-40B4-BE49-F238E27FC236}">
              <a16:creationId xmlns:a16="http://schemas.microsoft.com/office/drawing/2014/main" id="{00000000-0008-0000-0200-00004A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379" name="Line 66">
          <a:extLst>
            <a:ext uri="{FF2B5EF4-FFF2-40B4-BE49-F238E27FC236}">
              <a16:creationId xmlns:a16="http://schemas.microsoft.com/office/drawing/2014/main" id="{00000000-0008-0000-0200-00004B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380" name="Line 67">
          <a:extLst>
            <a:ext uri="{FF2B5EF4-FFF2-40B4-BE49-F238E27FC236}">
              <a16:creationId xmlns:a16="http://schemas.microsoft.com/office/drawing/2014/main" id="{00000000-0008-0000-0200-00004C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381" name="Line 68">
          <a:extLst>
            <a:ext uri="{FF2B5EF4-FFF2-40B4-BE49-F238E27FC236}">
              <a16:creationId xmlns:a16="http://schemas.microsoft.com/office/drawing/2014/main" id="{00000000-0008-0000-0200-00004D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382" name="Line 1">
          <a:extLst>
            <a:ext uri="{FF2B5EF4-FFF2-40B4-BE49-F238E27FC236}">
              <a16:creationId xmlns:a16="http://schemas.microsoft.com/office/drawing/2014/main" id="{00000000-0008-0000-0200-00004E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383" name="Drawing 16">
          <a:extLst>
            <a:ext uri="{FF2B5EF4-FFF2-40B4-BE49-F238E27FC236}">
              <a16:creationId xmlns:a16="http://schemas.microsoft.com/office/drawing/2014/main" id="{00000000-0008-0000-0200-00004F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384" name="Line 3">
          <a:extLst>
            <a:ext uri="{FF2B5EF4-FFF2-40B4-BE49-F238E27FC236}">
              <a16:creationId xmlns:a16="http://schemas.microsoft.com/office/drawing/2014/main" id="{00000000-0008-0000-0200-000050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385" name="Line 4">
          <a:extLst>
            <a:ext uri="{FF2B5EF4-FFF2-40B4-BE49-F238E27FC236}">
              <a16:creationId xmlns:a16="http://schemas.microsoft.com/office/drawing/2014/main" id="{00000000-0008-0000-0200-000051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386" name="Line 5">
          <a:extLst>
            <a:ext uri="{FF2B5EF4-FFF2-40B4-BE49-F238E27FC236}">
              <a16:creationId xmlns:a16="http://schemas.microsoft.com/office/drawing/2014/main" id="{00000000-0008-0000-0200-000052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387" name="Line 6">
          <a:extLst>
            <a:ext uri="{FF2B5EF4-FFF2-40B4-BE49-F238E27FC236}">
              <a16:creationId xmlns:a16="http://schemas.microsoft.com/office/drawing/2014/main" id="{00000000-0008-0000-0200-000053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388" name="Line 7">
          <a:extLst>
            <a:ext uri="{FF2B5EF4-FFF2-40B4-BE49-F238E27FC236}">
              <a16:creationId xmlns:a16="http://schemas.microsoft.com/office/drawing/2014/main" id="{00000000-0008-0000-0200-000054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389" name="Line 8">
          <a:extLst>
            <a:ext uri="{FF2B5EF4-FFF2-40B4-BE49-F238E27FC236}">
              <a16:creationId xmlns:a16="http://schemas.microsoft.com/office/drawing/2014/main" id="{00000000-0008-0000-0200-000055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390" name="Line 9">
          <a:extLst>
            <a:ext uri="{FF2B5EF4-FFF2-40B4-BE49-F238E27FC236}">
              <a16:creationId xmlns:a16="http://schemas.microsoft.com/office/drawing/2014/main" id="{00000000-0008-0000-0200-000056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391" name="Line 10">
          <a:extLst>
            <a:ext uri="{FF2B5EF4-FFF2-40B4-BE49-F238E27FC236}">
              <a16:creationId xmlns:a16="http://schemas.microsoft.com/office/drawing/2014/main" id="{00000000-0008-0000-0200-000057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392" name="Line 11">
          <a:extLst>
            <a:ext uri="{FF2B5EF4-FFF2-40B4-BE49-F238E27FC236}">
              <a16:creationId xmlns:a16="http://schemas.microsoft.com/office/drawing/2014/main" id="{00000000-0008-0000-0200-000058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393" name="Line 12">
          <a:extLst>
            <a:ext uri="{FF2B5EF4-FFF2-40B4-BE49-F238E27FC236}">
              <a16:creationId xmlns:a16="http://schemas.microsoft.com/office/drawing/2014/main" id="{00000000-0008-0000-0200-000059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394" name="Line 13">
          <a:extLst>
            <a:ext uri="{FF2B5EF4-FFF2-40B4-BE49-F238E27FC236}">
              <a16:creationId xmlns:a16="http://schemas.microsoft.com/office/drawing/2014/main" id="{00000000-0008-0000-0200-00005A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95" name="Line 14">
          <a:extLst>
            <a:ext uri="{FF2B5EF4-FFF2-40B4-BE49-F238E27FC236}">
              <a16:creationId xmlns:a16="http://schemas.microsoft.com/office/drawing/2014/main" id="{00000000-0008-0000-0200-00005B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396" name="Line 15">
          <a:extLst>
            <a:ext uri="{FF2B5EF4-FFF2-40B4-BE49-F238E27FC236}">
              <a16:creationId xmlns:a16="http://schemas.microsoft.com/office/drawing/2014/main" id="{00000000-0008-0000-0200-00005C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397" name="Line 16">
          <a:extLst>
            <a:ext uri="{FF2B5EF4-FFF2-40B4-BE49-F238E27FC236}">
              <a16:creationId xmlns:a16="http://schemas.microsoft.com/office/drawing/2014/main" id="{00000000-0008-0000-0200-00005D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398" name="Line 17">
          <a:extLst>
            <a:ext uri="{FF2B5EF4-FFF2-40B4-BE49-F238E27FC236}">
              <a16:creationId xmlns:a16="http://schemas.microsoft.com/office/drawing/2014/main" id="{00000000-0008-0000-0200-00005E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399" name="Line 18">
          <a:extLst>
            <a:ext uri="{FF2B5EF4-FFF2-40B4-BE49-F238E27FC236}">
              <a16:creationId xmlns:a16="http://schemas.microsoft.com/office/drawing/2014/main" id="{00000000-0008-0000-0200-00005F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400" name="Line 19">
          <a:extLst>
            <a:ext uri="{FF2B5EF4-FFF2-40B4-BE49-F238E27FC236}">
              <a16:creationId xmlns:a16="http://schemas.microsoft.com/office/drawing/2014/main" id="{00000000-0008-0000-0200-000060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401" name="Line 20">
          <a:extLst>
            <a:ext uri="{FF2B5EF4-FFF2-40B4-BE49-F238E27FC236}">
              <a16:creationId xmlns:a16="http://schemas.microsoft.com/office/drawing/2014/main" id="{00000000-0008-0000-0200-000061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402" name="Line 21">
          <a:extLst>
            <a:ext uri="{FF2B5EF4-FFF2-40B4-BE49-F238E27FC236}">
              <a16:creationId xmlns:a16="http://schemas.microsoft.com/office/drawing/2014/main" id="{00000000-0008-0000-0200-000062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403" name="Line 22">
          <a:extLst>
            <a:ext uri="{FF2B5EF4-FFF2-40B4-BE49-F238E27FC236}">
              <a16:creationId xmlns:a16="http://schemas.microsoft.com/office/drawing/2014/main" id="{00000000-0008-0000-0200-000063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404" name="Line 23">
          <a:extLst>
            <a:ext uri="{FF2B5EF4-FFF2-40B4-BE49-F238E27FC236}">
              <a16:creationId xmlns:a16="http://schemas.microsoft.com/office/drawing/2014/main" id="{00000000-0008-0000-0200-000064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405" name="Line 24">
          <a:extLst>
            <a:ext uri="{FF2B5EF4-FFF2-40B4-BE49-F238E27FC236}">
              <a16:creationId xmlns:a16="http://schemas.microsoft.com/office/drawing/2014/main" id="{00000000-0008-0000-0200-000065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406" name="Line 25">
          <a:extLst>
            <a:ext uri="{FF2B5EF4-FFF2-40B4-BE49-F238E27FC236}">
              <a16:creationId xmlns:a16="http://schemas.microsoft.com/office/drawing/2014/main" id="{00000000-0008-0000-0200-000066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407" name="Line 26">
          <a:extLst>
            <a:ext uri="{FF2B5EF4-FFF2-40B4-BE49-F238E27FC236}">
              <a16:creationId xmlns:a16="http://schemas.microsoft.com/office/drawing/2014/main" id="{00000000-0008-0000-0200-000067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408" name="Line 27">
          <a:extLst>
            <a:ext uri="{FF2B5EF4-FFF2-40B4-BE49-F238E27FC236}">
              <a16:creationId xmlns:a16="http://schemas.microsoft.com/office/drawing/2014/main" id="{00000000-0008-0000-0200-000068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409" name="Line 28">
          <a:extLst>
            <a:ext uri="{FF2B5EF4-FFF2-40B4-BE49-F238E27FC236}">
              <a16:creationId xmlns:a16="http://schemas.microsoft.com/office/drawing/2014/main" id="{00000000-0008-0000-0200-000069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410" name="Line 29">
          <a:extLst>
            <a:ext uri="{FF2B5EF4-FFF2-40B4-BE49-F238E27FC236}">
              <a16:creationId xmlns:a16="http://schemas.microsoft.com/office/drawing/2014/main" id="{00000000-0008-0000-0200-00006A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411" name="Line 30">
          <a:extLst>
            <a:ext uri="{FF2B5EF4-FFF2-40B4-BE49-F238E27FC236}">
              <a16:creationId xmlns:a16="http://schemas.microsoft.com/office/drawing/2014/main" id="{00000000-0008-0000-0200-00006B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412" name="Line 31">
          <a:extLst>
            <a:ext uri="{FF2B5EF4-FFF2-40B4-BE49-F238E27FC236}">
              <a16:creationId xmlns:a16="http://schemas.microsoft.com/office/drawing/2014/main" id="{00000000-0008-0000-0200-00006C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413" name="Line 32">
          <a:extLst>
            <a:ext uri="{FF2B5EF4-FFF2-40B4-BE49-F238E27FC236}">
              <a16:creationId xmlns:a16="http://schemas.microsoft.com/office/drawing/2014/main" id="{00000000-0008-0000-0200-00006D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414" name="Line 33">
          <a:extLst>
            <a:ext uri="{FF2B5EF4-FFF2-40B4-BE49-F238E27FC236}">
              <a16:creationId xmlns:a16="http://schemas.microsoft.com/office/drawing/2014/main" id="{00000000-0008-0000-0200-00006E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415" name="Line 34">
          <a:extLst>
            <a:ext uri="{FF2B5EF4-FFF2-40B4-BE49-F238E27FC236}">
              <a16:creationId xmlns:a16="http://schemas.microsoft.com/office/drawing/2014/main" id="{00000000-0008-0000-0200-00006F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416" name="Line 35">
          <a:extLst>
            <a:ext uri="{FF2B5EF4-FFF2-40B4-BE49-F238E27FC236}">
              <a16:creationId xmlns:a16="http://schemas.microsoft.com/office/drawing/2014/main" id="{00000000-0008-0000-0200-000070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417" name="Line 36">
          <a:extLst>
            <a:ext uri="{FF2B5EF4-FFF2-40B4-BE49-F238E27FC236}">
              <a16:creationId xmlns:a16="http://schemas.microsoft.com/office/drawing/2014/main" id="{00000000-0008-0000-0200-000071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418" name="Line 37">
          <a:extLst>
            <a:ext uri="{FF2B5EF4-FFF2-40B4-BE49-F238E27FC236}">
              <a16:creationId xmlns:a16="http://schemas.microsoft.com/office/drawing/2014/main" id="{00000000-0008-0000-0200-000072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419" name="Line 38">
          <a:extLst>
            <a:ext uri="{FF2B5EF4-FFF2-40B4-BE49-F238E27FC236}">
              <a16:creationId xmlns:a16="http://schemas.microsoft.com/office/drawing/2014/main" id="{00000000-0008-0000-0200-000073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420" name="Line 39">
          <a:extLst>
            <a:ext uri="{FF2B5EF4-FFF2-40B4-BE49-F238E27FC236}">
              <a16:creationId xmlns:a16="http://schemas.microsoft.com/office/drawing/2014/main" id="{00000000-0008-0000-0200-000074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421" name="Line 40">
          <a:extLst>
            <a:ext uri="{FF2B5EF4-FFF2-40B4-BE49-F238E27FC236}">
              <a16:creationId xmlns:a16="http://schemas.microsoft.com/office/drawing/2014/main" id="{00000000-0008-0000-0200-000075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422" name="Line 41">
          <a:extLst>
            <a:ext uri="{FF2B5EF4-FFF2-40B4-BE49-F238E27FC236}">
              <a16:creationId xmlns:a16="http://schemas.microsoft.com/office/drawing/2014/main" id="{00000000-0008-0000-0200-000076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423" name="Rectangle 42">
          <a:extLst>
            <a:ext uri="{FF2B5EF4-FFF2-40B4-BE49-F238E27FC236}">
              <a16:creationId xmlns:a16="http://schemas.microsoft.com/office/drawing/2014/main" id="{00000000-0008-0000-0200-000077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24" name="Line 43">
          <a:extLst>
            <a:ext uri="{FF2B5EF4-FFF2-40B4-BE49-F238E27FC236}">
              <a16:creationId xmlns:a16="http://schemas.microsoft.com/office/drawing/2014/main" id="{00000000-0008-0000-0200-00007809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25" name="Line 44">
          <a:extLst>
            <a:ext uri="{FF2B5EF4-FFF2-40B4-BE49-F238E27FC236}">
              <a16:creationId xmlns:a16="http://schemas.microsoft.com/office/drawing/2014/main" id="{00000000-0008-0000-0200-000079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426" name="Line 45">
          <a:extLst>
            <a:ext uri="{FF2B5EF4-FFF2-40B4-BE49-F238E27FC236}">
              <a16:creationId xmlns:a16="http://schemas.microsoft.com/office/drawing/2014/main" id="{00000000-0008-0000-0200-00007A09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427" name="Line 46">
          <a:extLst>
            <a:ext uri="{FF2B5EF4-FFF2-40B4-BE49-F238E27FC236}">
              <a16:creationId xmlns:a16="http://schemas.microsoft.com/office/drawing/2014/main" id="{00000000-0008-0000-0200-00007B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428" name="Line 47">
          <a:extLst>
            <a:ext uri="{FF2B5EF4-FFF2-40B4-BE49-F238E27FC236}">
              <a16:creationId xmlns:a16="http://schemas.microsoft.com/office/drawing/2014/main" id="{00000000-0008-0000-0200-00007C09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429" name="Line 48">
          <a:extLst>
            <a:ext uri="{FF2B5EF4-FFF2-40B4-BE49-F238E27FC236}">
              <a16:creationId xmlns:a16="http://schemas.microsoft.com/office/drawing/2014/main" id="{00000000-0008-0000-0200-00007D09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430" name="Line 49">
          <a:extLst>
            <a:ext uri="{FF2B5EF4-FFF2-40B4-BE49-F238E27FC236}">
              <a16:creationId xmlns:a16="http://schemas.microsoft.com/office/drawing/2014/main" id="{00000000-0008-0000-0200-00007E09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431" name="Line 50">
          <a:extLst>
            <a:ext uri="{FF2B5EF4-FFF2-40B4-BE49-F238E27FC236}">
              <a16:creationId xmlns:a16="http://schemas.microsoft.com/office/drawing/2014/main" id="{00000000-0008-0000-0200-00007F09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432" name="Line 51">
          <a:extLst>
            <a:ext uri="{FF2B5EF4-FFF2-40B4-BE49-F238E27FC236}">
              <a16:creationId xmlns:a16="http://schemas.microsoft.com/office/drawing/2014/main" id="{00000000-0008-0000-0200-00008009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433" name="Line 52">
          <a:extLst>
            <a:ext uri="{FF2B5EF4-FFF2-40B4-BE49-F238E27FC236}">
              <a16:creationId xmlns:a16="http://schemas.microsoft.com/office/drawing/2014/main" id="{00000000-0008-0000-0200-00008109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434" name="Line 53">
          <a:extLst>
            <a:ext uri="{FF2B5EF4-FFF2-40B4-BE49-F238E27FC236}">
              <a16:creationId xmlns:a16="http://schemas.microsoft.com/office/drawing/2014/main" id="{00000000-0008-0000-0200-00008209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435" name="Line 54">
          <a:extLst>
            <a:ext uri="{FF2B5EF4-FFF2-40B4-BE49-F238E27FC236}">
              <a16:creationId xmlns:a16="http://schemas.microsoft.com/office/drawing/2014/main" id="{00000000-0008-0000-0200-00008309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436" name="Line 55">
          <a:extLst>
            <a:ext uri="{FF2B5EF4-FFF2-40B4-BE49-F238E27FC236}">
              <a16:creationId xmlns:a16="http://schemas.microsoft.com/office/drawing/2014/main" id="{00000000-0008-0000-0200-00008409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437" name="Line 56">
          <a:extLst>
            <a:ext uri="{FF2B5EF4-FFF2-40B4-BE49-F238E27FC236}">
              <a16:creationId xmlns:a16="http://schemas.microsoft.com/office/drawing/2014/main" id="{00000000-0008-0000-0200-00008509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438" name="Rectangle 57">
          <a:extLst>
            <a:ext uri="{FF2B5EF4-FFF2-40B4-BE49-F238E27FC236}">
              <a16:creationId xmlns:a16="http://schemas.microsoft.com/office/drawing/2014/main" id="{00000000-0008-0000-0200-00008609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439" name="Line 58">
          <a:extLst>
            <a:ext uri="{FF2B5EF4-FFF2-40B4-BE49-F238E27FC236}">
              <a16:creationId xmlns:a16="http://schemas.microsoft.com/office/drawing/2014/main" id="{00000000-0008-0000-0200-00008709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440" name="Line 59">
          <a:extLst>
            <a:ext uri="{FF2B5EF4-FFF2-40B4-BE49-F238E27FC236}">
              <a16:creationId xmlns:a16="http://schemas.microsoft.com/office/drawing/2014/main" id="{00000000-0008-0000-0200-000088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441" name="Line 60">
          <a:extLst>
            <a:ext uri="{FF2B5EF4-FFF2-40B4-BE49-F238E27FC236}">
              <a16:creationId xmlns:a16="http://schemas.microsoft.com/office/drawing/2014/main" id="{00000000-0008-0000-0200-000089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442" name="Line 61">
          <a:extLst>
            <a:ext uri="{FF2B5EF4-FFF2-40B4-BE49-F238E27FC236}">
              <a16:creationId xmlns:a16="http://schemas.microsoft.com/office/drawing/2014/main" id="{00000000-0008-0000-0200-00008A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443" name="Line 62">
          <a:extLst>
            <a:ext uri="{FF2B5EF4-FFF2-40B4-BE49-F238E27FC236}">
              <a16:creationId xmlns:a16="http://schemas.microsoft.com/office/drawing/2014/main" id="{00000000-0008-0000-0200-00008B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444" name="Line 63">
          <a:extLst>
            <a:ext uri="{FF2B5EF4-FFF2-40B4-BE49-F238E27FC236}">
              <a16:creationId xmlns:a16="http://schemas.microsoft.com/office/drawing/2014/main" id="{00000000-0008-0000-0200-00008C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445" name="Line 64">
          <a:extLst>
            <a:ext uri="{FF2B5EF4-FFF2-40B4-BE49-F238E27FC236}">
              <a16:creationId xmlns:a16="http://schemas.microsoft.com/office/drawing/2014/main" id="{00000000-0008-0000-0200-00008D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446" name="Line 65">
          <a:extLst>
            <a:ext uri="{FF2B5EF4-FFF2-40B4-BE49-F238E27FC236}">
              <a16:creationId xmlns:a16="http://schemas.microsoft.com/office/drawing/2014/main" id="{00000000-0008-0000-0200-00008E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447" name="Line 66">
          <a:extLst>
            <a:ext uri="{FF2B5EF4-FFF2-40B4-BE49-F238E27FC236}">
              <a16:creationId xmlns:a16="http://schemas.microsoft.com/office/drawing/2014/main" id="{00000000-0008-0000-0200-00008F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448" name="Line 67">
          <a:extLst>
            <a:ext uri="{FF2B5EF4-FFF2-40B4-BE49-F238E27FC236}">
              <a16:creationId xmlns:a16="http://schemas.microsoft.com/office/drawing/2014/main" id="{00000000-0008-0000-0200-000090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449" name="Line 68">
          <a:extLst>
            <a:ext uri="{FF2B5EF4-FFF2-40B4-BE49-F238E27FC236}">
              <a16:creationId xmlns:a16="http://schemas.microsoft.com/office/drawing/2014/main" id="{00000000-0008-0000-0200-000091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450" name="Line 1">
          <a:extLst>
            <a:ext uri="{FF2B5EF4-FFF2-40B4-BE49-F238E27FC236}">
              <a16:creationId xmlns:a16="http://schemas.microsoft.com/office/drawing/2014/main" id="{00000000-0008-0000-0200-000092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451" name="Drawing 16">
          <a:extLst>
            <a:ext uri="{FF2B5EF4-FFF2-40B4-BE49-F238E27FC236}">
              <a16:creationId xmlns:a16="http://schemas.microsoft.com/office/drawing/2014/main" id="{00000000-0008-0000-0200-000093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452" name="Line 3">
          <a:extLst>
            <a:ext uri="{FF2B5EF4-FFF2-40B4-BE49-F238E27FC236}">
              <a16:creationId xmlns:a16="http://schemas.microsoft.com/office/drawing/2014/main" id="{00000000-0008-0000-0200-000094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453" name="Line 4">
          <a:extLst>
            <a:ext uri="{FF2B5EF4-FFF2-40B4-BE49-F238E27FC236}">
              <a16:creationId xmlns:a16="http://schemas.microsoft.com/office/drawing/2014/main" id="{00000000-0008-0000-0200-000095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454" name="Line 5">
          <a:extLst>
            <a:ext uri="{FF2B5EF4-FFF2-40B4-BE49-F238E27FC236}">
              <a16:creationId xmlns:a16="http://schemas.microsoft.com/office/drawing/2014/main" id="{00000000-0008-0000-0200-000096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455" name="Line 6">
          <a:extLst>
            <a:ext uri="{FF2B5EF4-FFF2-40B4-BE49-F238E27FC236}">
              <a16:creationId xmlns:a16="http://schemas.microsoft.com/office/drawing/2014/main" id="{00000000-0008-0000-0200-000097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456" name="Line 7">
          <a:extLst>
            <a:ext uri="{FF2B5EF4-FFF2-40B4-BE49-F238E27FC236}">
              <a16:creationId xmlns:a16="http://schemas.microsoft.com/office/drawing/2014/main" id="{00000000-0008-0000-0200-000098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457" name="Line 8">
          <a:extLst>
            <a:ext uri="{FF2B5EF4-FFF2-40B4-BE49-F238E27FC236}">
              <a16:creationId xmlns:a16="http://schemas.microsoft.com/office/drawing/2014/main" id="{00000000-0008-0000-0200-000099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458" name="Line 9">
          <a:extLst>
            <a:ext uri="{FF2B5EF4-FFF2-40B4-BE49-F238E27FC236}">
              <a16:creationId xmlns:a16="http://schemas.microsoft.com/office/drawing/2014/main" id="{00000000-0008-0000-0200-00009A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459" name="Line 10">
          <a:extLst>
            <a:ext uri="{FF2B5EF4-FFF2-40B4-BE49-F238E27FC236}">
              <a16:creationId xmlns:a16="http://schemas.microsoft.com/office/drawing/2014/main" id="{00000000-0008-0000-0200-00009B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460" name="Line 11">
          <a:extLst>
            <a:ext uri="{FF2B5EF4-FFF2-40B4-BE49-F238E27FC236}">
              <a16:creationId xmlns:a16="http://schemas.microsoft.com/office/drawing/2014/main" id="{00000000-0008-0000-0200-00009C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461" name="Line 12">
          <a:extLst>
            <a:ext uri="{FF2B5EF4-FFF2-40B4-BE49-F238E27FC236}">
              <a16:creationId xmlns:a16="http://schemas.microsoft.com/office/drawing/2014/main" id="{00000000-0008-0000-0200-00009D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462" name="Line 13">
          <a:extLst>
            <a:ext uri="{FF2B5EF4-FFF2-40B4-BE49-F238E27FC236}">
              <a16:creationId xmlns:a16="http://schemas.microsoft.com/office/drawing/2014/main" id="{00000000-0008-0000-0200-00009E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463" name="Line 14">
          <a:extLst>
            <a:ext uri="{FF2B5EF4-FFF2-40B4-BE49-F238E27FC236}">
              <a16:creationId xmlns:a16="http://schemas.microsoft.com/office/drawing/2014/main" id="{00000000-0008-0000-0200-00009F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464" name="Line 15">
          <a:extLst>
            <a:ext uri="{FF2B5EF4-FFF2-40B4-BE49-F238E27FC236}">
              <a16:creationId xmlns:a16="http://schemas.microsoft.com/office/drawing/2014/main" id="{00000000-0008-0000-0200-0000A0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465" name="Line 16">
          <a:extLst>
            <a:ext uri="{FF2B5EF4-FFF2-40B4-BE49-F238E27FC236}">
              <a16:creationId xmlns:a16="http://schemas.microsoft.com/office/drawing/2014/main" id="{00000000-0008-0000-0200-0000A1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466" name="Line 17">
          <a:extLst>
            <a:ext uri="{FF2B5EF4-FFF2-40B4-BE49-F238E27FC236}">
              <a16:creationId xmlns:a16="http://schemas.microsoft.com/office/drawing/2014/main" id="{00000000-0008-0000-0200-0000A2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467" name="Line 18">
          <a:extLst>
            <a:ext uri="{FF2B5EF4-FFF2-40B4-BE49-F238E27FC236}">
              <a16:creationId xmlns:a16="http://schemas.microsoft.com/office/drawing/2014/main" id="{00000000-0008-0000-0200-0000A3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468" name="Line 19">
          <a:extLst>
            <a:ext uri="{FF2B5EF4-FFF2-40B4-BE49-F238E27FC236}">
              <a16:creationId xmlns:a16="http://schemas.microsoft.com/office/drawing/2014/main" id="{00000000-0008-0000-0200-0000A4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469" name="Line 20">
          <a:extLst>
            <a:ext uri="{FF2B5EF4-FFF2-40B4-BE49-F238E27FC236}">
              <a16:creationId xmlns:a16="http://schemas.microsoft.com/office/drawing/2014/main" id="{00000000-0008-0000-0200-0000A5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470" name="Line 21">
          <a:extLst>
            <a:ext uri="{FF2B5EF4-FFF2-40B4-BE49-F238E27FC236}">
              <a16:creationId xmlns:a16="http://schemas.microsoft.com/office/drawing/2014/main" id="{00000000-0008-0000-0200-0000A6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471" name="Line 22">
          <a:extLst>
            <a:ext uri="{FF2B5EF4-FFF2-40B4-BE49-F238E27FC236}">
              <a16:creationId xmlns:a16="http://schemas.microsoft.com/office/drawing/2014/main" id="{00000000-0008-0000-0200-0000A7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472" name="Line 23">
          <a:extLst>
            <a:ext uri="{FF2B5EF4-FFF2-40B4-BE49-F238E27FC236}">
              <a16:creationId xmlns:a16="http://schemas.microsoft.com/office/drawing/2014/main" id="{00000000-0008-0000-0200-0000A8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473" name="Line 24">
          <a:extLst>
            <a:ext uri="{FF2B5EF4-FFF2-40B4-BE49-F238E27FC236}">
              <a16:creationId xmlns:a16="http://schemas.microsoft.com/office/drawing/2014/main" id="{00000000-0008-0000-0200-0000A9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474" name="Line 25">
          <a:extLst>
            <a:ext uri="{FF2B5EF4-FFF2-40B4-BE49-F238E27FC236}">
              <a16:creationId xmlns:a16="http://schemas.microsoft.com/office/drawing/2014/main" id="{00000000-0008-0000-0200-0000AA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475" name="Line 26">
          <a:extLst>
            <a:ext uri="{FF2B5EF4-FFF2-40B4-BE49-F238E27FC236}">
              <a16:creationId xmlns:a16="http://schemas.microsoft.com/office/drawing/2014/main" id="{00000000-0008-0000-0200-0000AB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476" name="Line 27">
          <a:extLst>
            <a:ext uri="{FF2B5EF4-FFF2-40B4-BE49-F238E27FC236}">
              <a16:creationId xmlns:a16="http://schemas.microsoft.com/office/drawing/2014/main" id="{00000000-0008-0000-0200-0000AC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477" name="Line 28">
          <a:extLst>
            <a:ext uri="{FF2B5EF4-FFF2-40B4-BE49-F238E27FC236}">
              <a16:creationId xmlns:a16="http://schemas.microsoft.com/office/drawing/2014/main" id="{00000000-0008-0000-0200-0000AD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478" name="Line 29">
          <a:extLst>
            <a:ext uri="{FF2B5EF4-FFF2-40B4-BE49-F238E27FC236}">
              <a16:creationId xmlns:a16="http://schemas.microsoft.com/office/drawing/2014/main" id="{00000000-0008-0000-0200-0000AE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479" name="Line 30">
          <a:extLst>
            <a:ext uri="{FF2B5EF4-FFF2-40B4-BE49-F238E27FC236}">
              <a16:creationId xmlns:a16="http://schemas.microsoft.com/office/drawing/2014/main" id="{00000000-0008-0000-0200-0000AF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480" name="Line 31">
          <a:extLst>
            <a:ext uri="{FF2B5EF4-FFF2-40B4-BE49-F238E27FC236}">
              <a16:creationId xmlns:a16="http://schemas.microsoft.com/office/drawing/2014/main" id="{00000000-0008-0000-0200-0000B0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481" name="Line 32">
          <a:extLst>
            <a:ext uri="{FF2B5EF4-FFF2-40B4-BE49-F238E27FC236}">
              <a16:creationId xmlns:a16="http://schemas.microsoft.com/office/drawing/2014/main" id="{00000000-0008-0000-0200-0000B1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482" name="Line 33">
          <a:extLst>
            <a:ext uri="{FF2B5EF4-FFF2-40B4-BE49-F238E27FC236}">
              <a16:creationId xmlns:a16="http://schemas.microsoft.com/office/drawing/2014/main" id="{00000000-0008-0000-0200-0000B2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483" name="Line 34">
          <a:extLst>
            <a:ext uri="{FF2B5EF4-FFF2-40B4-BE49-F238E27FC236}">
              <a16:creationId xmlns:a16="http://schemas.microsoft.com/office/drawing/2014/main" id="{00000000-0008-0000-0200-0000B3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484" name="Line 35">
          <a:extLst>
            <a:ext uri="{FF2B5EF4-FFF2-40B4-BE49-F238E27FC236}">
              <a16:creationId xmlns:a16="http://schemas.microsoft.com/office/drawing/2014/main" id="{00000000-0008-0000-0200-0000B4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485" name="Line 36">
          <a:extLst>
            <a:ext uri="{FF2B5EF4-FFF2-40B4-BE49-F238E27FC236}">
              <a16:creationId xmlns:a16="http://schemas.microsoft.com/office/drawing/2014/main" id="{00000000-0008-0000-0200-0000B5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486" name="Line 37">
          <a:extLst>
            <a:ext uri="{FF2B5EF4-FFF2-40B4-BE49-F238E27FC236}">
              <a16:creationId xmlns:a16="http://schemas.microsoft.com/office/drawing/2014/main" id="{00000000-0008-0000-0200-0000B6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487" name="Line 38">
          <a:extLst>
            <a:ext uri="{FF2B5EF4-FFF2-40B4-BE49-F238E27FC236}">
              <a16:creationId xmlns:a16="http://schemas.microsoft.com/office/drawing/2014/main" id="{00000000-0008-0000-0200-0000B7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488" name="Line 39">
          <a:extLst>
            <a:ext uri="{FF2B5EF4-FFF2-40B4-BE49-F238E27FC236}">
              <a16:creationId xmlns:a16="http://schemas.microsoft.com/office/drawing/2014/main" id="{00000000-0008-0000-0200-0000B8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489" name="Line 40">
          <a:extLst>
            <a:ext uri="{FF2B5EF4-FFF2-40B4-BE49-F238E27FC236}">
              <a16:creationId xmlns:a16="http://schemas.microsoft.com/office/drawing/2014/main" id="{00000000-0008-0000-0200-0000B9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490" name="Line 41">
          <a:extLst>
            <a:ext uri="{FF2B5EF4-FFF2-40B4-BE49-F238E27FC236}">
              <a16:creationId xmlns:a16="http://schemas.microsoft.com/office/drawing/2014/main" id="{00000000-0008-0000-0200-0000BA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491" name="Rectangle 42">
          <a:extLst>
            <a:ext uri="{FF2B5EF4-FFF2-40B4-BE49-F238E27FC236}">
              <a16:creationId xmlns:a16="http://schemas.microsoft.com/office/drawing/2014/main" id="{00000000-0008-0000-0200-0000BB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92" name="Line 43">
          <a:extLst>
            <a:ext uri="{FF2B5EF4-FFF2-40B4-BE49-F238E27FC236}">
              <a16:creationId xmlns:a16="http://schemas.microsoft.com/office/drawing/2014/main" id="{00000000-0008-0000-0200-0000BC09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493" name="Line 44">
          <a:extLst>
            <a:ext uri="{FF2B5EF4-FFF2-40B4-BE49-F238E27FC236}">
              <a16:creationId xmlns:a16="http://schemas.microsoft.com/office/drawing/2014/main" id="{00000000-0008-0000-0200-0000BD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494" name="Line 45">
          <a:extLst>
            <a:ext uri="{FF2B5EF4-FFF2-40B4-BE49-F238E27FC236}">
              <a16:creationId xmlns:a16="http://schemas.microsoft.com/office/drawing/2014/main" id="{00000000-0008-0000-0200-0000BE09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495" name="Line 46">
          <a:extLst>
            <a:ext uri="{FF2B5EF4-FFF2-40B4-BE49-F238E27FC236}">
              <a16:creationId xmlns:a16="http://schemas.microsoft.com/office/drawing/2014/main" id="{00000000-0008-0000-0200-0000BF09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496" name="Line 47">
          <a:extLst>
            <a:ext uri="{FF2B5EF4-FFF2-40B4-BE49-F238E27FC236}">
              <a16:creationId xmlns:a16="http://schemas.microsoft.com/office/drawing/2014/main" id="{00000000-0008-0000-0200-0000C009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497" name="Line 48">
          <a:extLst>
            <a:ext uri="{FF2B5EF4-FFF2-40B4-BE49-F238E27FC236}">
              <a16:creationId xmlns:a16="http://schemas.microsoft.com/office/drawing/2014/main" id="{00000000-0008-0000-0200-0000C109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498" name="Line 49">
          <a:extLst>
            <a:ext uri="{FF2B5EF4-FFF2-40B4-BE49-F238E27FC236}">
              <a16:creationId xmlns:a16="http://schemas.microsoft.com/office/drawing/2014/main" id="{00000000-0008-0000-0200-0000C209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499" name="Line 50">
          <a:extLst>
            <a:ext uri="{FF2B5EF4-FFF2-40B4-BE49-F238E27FC236}">
              <a16:creationId xmlns:a16="http://schemas.microsoft.com/office/drawing/2014/main" id="{00000000-0008-0000-0200-0000C309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500" name="Line 51">
          <a:extLst>
            <a:ext uri="{FF2B5EF4-FFF2-40B4-BE49-F238E27FC236}">
              <a16:creationId xmlns:a16="http://schemas.microsoft.com/office/drawing/2014/main" id="{00000000-0008-0000-0200-0000C409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501" name="Line 52">
          <a:extLst>
            <a:ext uri="{FF2B5EF4-FFF2-40B4-BE49-F238E27FC236}">
              <a16:creationId xmlns:a16="http://schemas.microsoft.com/office/drawing/2014/main" id="{00000000-0008-0000-0200-0000C509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502" name="Line 53">
          <a:extLst>
            <a:ext uri="{FF2B5EF4-FFF2-40B4-BE49-F238E27FC236}">
              <a16:creationId xmlns:a16="http://schemas.microsoft.com/office/drawing/2014/main" id="{00000000-0008-0000-0200-0000C609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503" name="Line 54">
          <a:extLst>
            <a:ext uri="{FF2B5EF4-FFF2-40B4-BE49-F238E27FC236}">
              <a16:creationId xmlns:a16="http://schemas.microsoft.com/office/drawing/2014/main" id="{00000000-0008-0000-0200-0000C709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504" name="Line 55">
          <a:extLst>
            <a:ext uri="{FF2B5EF4-FFF2-40B4-BE49-F238E27FC236}">
              <a16:creationId xmlns:a16="http://schemas.microsoft.com/office/drawing/2014/main" id="{00000000-0008-0000-0200-0000C809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505" name="Line 56">
          <a:extLst>
            <a:ext uri="{FF2B5EF4-FFF2-40B4-BE49-F238E27FC236}">
              <a16:creationId xmlns:a16="http://schemas.microsoft.com/office/drawing/2014/main" id="{00000000-0008-0000-0200-0000C909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506" name="Rectangle 57">
          <a:extLst>
            <a:ext uri="{FF2B5EF4-FFF2-40B4-BE49-F238E27FC236}">
              <a16:creationId xmlns:a16="http://schemas.microsoft.com/office/drawing/2014/main" id="{00000000-0008-0000-0200-0000CA09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507" name="Line 58">
          <a:extLst>
            <a:ext uri="{FF2B5EF4-FFF2-40B4-BE49-F238E27FC236}">
              <a16:creationId xmlns:a16="http://schemas.microsoft.com/office/drawing/2014/main" id="{00000000-0008-0000-0200-0000CB09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508" name="Line 59">
          <a:extLst>
            <a:ext uri="{FF2B5EF4-FFF2-40B4-BE49-F238E27FC236}">
              <a16:creationId xmlns:a16="http://schemas.microsoft.com/office/drawing/2014/main" id="{00000000-0008-0000-0200-0000CC09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509" name="Line 60">
          <a:extLst>
            <a:ext uri="{FF2B5EF4-FFF2-40B4-BE49-F238E27FC236}">
              <a16:creationId xmlns:a16="http://schemas.microsoft.com/office/drawing/2014/main" id="{00000000-0008-0000-0200-0000CD09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510" name="Line 61">
          <a:extLst>
            <a:ext uri="{FF2B5EF4-FFF2-40B4-BE49-F238E27FC236}">
              <a16:creationId xmlns:a16="http://schemas.microsoft.com/office/drawing/2014/main" id="{00000000-0008-0000-0200-0000CE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511" name="Line 62">
          <a:extLst>
            <a:ext uri="{FF2B5EF4-FFF2-40B4-BE49-F238E27FC236}">
              <a16:creationId xmlns:a16="http://schemas.microsoft.com/office/drawing/2014/main" id="{00000000-0008-0000-0200-0000CF09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512" name="Line 63">
          <a:extLst>
            <a:ext uri="{FF2B5EF4-FFF2-40B4-BE49-F238E27FC236}">
              <a16:creationId xmlns:a16="http://schemas.microsoft.com/office/drawing/2014/main" id="{00000000-0008-0000-0200-0000D009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513" name="Line 64">
          <a:extLst>
            <a:ext uri="{FF2B5EF4-FFF2-40B4-BE49-F238E27FC236}">
              <a16:creationId xmlns:a16="http://schemas.microsoft.com/office/drawing/2014/main" id="{00000000-0008-0000-0200-0000D109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514" name="Line 65">
          <a:extLst>
            <a:ext uri="{FF2B5EF4-FFF2-40B4-BE49-F238E27FC236}">
              <a16:creationId xmlns:a16="http://schemas.microsoft.com/office/drawing/2014/main" id="{00000000-0008-0000-0200-0000D209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515" name="Line 66">
          <a:extLst>
            <a:ext uri="{FF2B5EF4-FFF2-40B4-BE49-F238E27FC236}">
              <a16:creationId xmlns:a16="http://schemas.microsoft.com/office/drawing/2014/main" id="{00000000-0008-0000-0200-0000D309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516" name="Line 67">
          <a:extLst>
            <a:ext uri="{FF2B5EF4-FFF2-40B4-BE49-F238E27FC236}">
              <a16:creationId xmlns:a16="http://schemas.microsoft.com/office/drawing/2014/main" id="{00000000-0008-0000-0200-0000D409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517" name="Line 68">
          <a:extLst>
            <a:ext uri="{FF2B5EF4-FFF2-40B4-BE49-F238E27FC236}">
              <a16:creationId xmlns:a16="http://schemas.microsoft.com/office/drawing/2014/main" id="{00000000-0008-0000-0200-0000D509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518" name="Line 1">
          <a:extLst>
            <a:ext uri="{FF2B5EF4-FFF2-40B4-BE49-F238E27FC236}">
              <a16:creationId xmlns:a16="http://schemas.microsoft.com/office/drawing/2014/main" id="{00000000-0008-0000-0200-0000D609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519" name="Drawing 16">
          <a:extLst>
            <a:ext uri="{FF2B5EF4-FFF2-40B4-BE49-F238E27FC236}">
              <a16:creationId xmlns:a16="http://schemas.microsoft.com/office/drawing/2014/main" id="{00000000-0008-0000-0200-0000D709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520" name="Line 3">
          <a:extLst>
            <a:ext uri="{FF2B5EF4-FFF2-40B4-BE49-F238E27FC236}">
              <a16:creationId xmlns:a16="http://schemas.microsoft.com/office/drawing/2014/main" id="{00000000-0008-0000-0200-0000D809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521" name="Line 4">
          <a:extLst>
            <a:ext uri="{FF2B5EF4-FFF2-40B4-BE49-F238E27FC236}">
              <a16:creationId xmlns:a16="http://schemas.microsoft.com/office/drawing/2014/main" id="{00000000-0008-0000-0200-0000D909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522" name="Line 5">
          <a:extLst>
            <a:ext uri="{FF2B5EF4-FFF2-40B4-BE49-F238E27FC236}">
              <a16:creationId xmlns:a16="http://schemas.microsoft.com/office/drawing/2014/main" id="{00000000-0008-0000-0200-0000DA09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523" name="Line 6">
          <a:extLst>
            <a:ext uri="{FF2B5EF4-FFF2-40B4-BE49-F238E27FC236}">
              <a16:creationId xmlns:a16="http://schemas.microsoft.com/office/drawing/2014/main" id="{00000000-0008-0000-0200-0000DB09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524" name="Line 7">
          <a:extLst>
            <a:ext uri="{FF2B5EF4-FFF2-40B4-BE49-F238E27FC236}">
              <a16:creationId xmlns:a16="http://schemas.microsoft.com/office/drawing/2014/main" id="{00000000-0008-0000-0200-0000DC09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525" name="Line 8">
          <a:extLst>
            <a:ext uri="{FF2B5EF4-FFF2-40B4-BE49-F238E27FC236}">
              <a16:creationId xmlns:a16="http://schemas.microsoft.com/office/drawing/2014/main" id="{00000000-0008-0000-0200-0000DD09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526" name="Line 9">
          <a:extLst>
            <a:ext uri="{FF2B5EF4-FFF2-40B4-BE49-F238E27FC236}">
              <a16:creationId xmlns:a16="http://schemas.microsoft.com/office/drawing/2014/main" id="{00000000-0008-0000-0200-0000DE09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527" name="Line 10">
          <a:extLst>
            <a:ext uri="{FF2B5EF4-FFF2-40B4-BE49-F238E27FC236}">
              <a16:creationId xmlns:a16="http://schemas.microsoft.com/office/drawing/2014/main" id="{00000000-0008-0000-0200-0000DF09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528" name="Line 11">
          <a:extLst>
            <a:ext uri="{FF2B5EF4-FFF2-40B4-BE49-F238E27FC236}">
              <a16:creationId xmlns:a16="http://schemas.microsoft.com/office/drawing/2014/main" id="{00000000-0008-0000-0200-0000E009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529" name="Line 12">
          <a:extLst>
            <a:ext uri="{FF2B5EF4-FFF2-40B4-BE49-F238E27FC236}">
              <a16:creationId xmlns:a16="http://schemas.microsoft.com/office/drawing/2014/main" id="{00000000-0008-0000-0200-0000E109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530" name="Line 13">
          <a:extLst>
            <a:ext uri="{FF2B5EF4-FFF2-40B4-BE49-F238E27FC236}">
              <a16:creationId xmlns:a16="http://schemas.microsoft.com/office/drawing/2014/main" id="{00000000-0008-0000-0200-0000E209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531" name="Line 14">
          <a:extLst>
            <a:ext uri="{FF2B5EF4-FFF2-40B4-BE49-F238E27FC236}">
              <a16:creationId xmlns:a16="http://schemas.microsoft.com/office/drawing/2014/main" id="{00000000-0008-0000-0200-0000E309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532" name="Line 15">
          <a:extLst>
            <a:ext uri="{FF2B5EF4-FFF2-40B4-BE49-F238E27FC236}">
              <a16:creationId xmlns:a16="http://schemas.microsoft.com/office/drawing/2014/main" id="{00000000-0008-0000-0200-0000E409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533" name="Line 16">
          <a:extLst>
            <a:ext uri="{FF2B5EF4-FFF2-40B4-BE49-F238E27FC236}">
              <a16:creationId xmlns:a16="http://schemas.microsoft.com/office/drawing/2014/main" id="{00000000-0008-0000-0200-0000E509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534" name="Line 17">
          <a:extLst>
            <a:ext uri="{FF2B5EF4-FFF2-40B4-BE49-F238E27FC236}">
              <a16:creationId xmlns:a16="http://schemas.microsoft.com/office/drawing/2014/main" id="{00000000-0008-0000-0200-0000E609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535" name="Line 18">
          <a:extLst>
            <a:ext uri="{FF2B5EF4-FFF2-40B4-BE49-F238E27FC236}">
              <a16:creationId xmlns:a16="http://schemas.microsoft.com/office/drawing/2014/main" id="{00000000-0008-0000-0200-0000E709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536" name="Line 19">
          <a:extLst>
            <a:ext uri="{FF2B5EF4-FFF2-40B4-BE49-F238E27FC236}">
              <a16:creationId xmlns:a16="http://schemas.microsoft.com/office/drawing/2014/main" id="{00000000-0008-0000-0200-0000E809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537" name="Line 20">
          <a:extLst>
            <a:ext uri="{FF2B5EF4-FFF2-40B4-BE49-F238E27FC236}">
              <a16:creationId xmlns:a16="http://schemas.microsoft.com/office/drawing/2014/main" id="{00000000-0008-0000-0200-0000E909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538" name="Line 21">
          <a:extLst>
            <a:ext uri="{FF2B5EF4-FFF2-40B4-BE49-F238E27FC236}">
              <a16:creationId xmlns:a16="http://schemas.microsoft.com/office/drawing/2014/main" id="{00000000-0008-0000-0200-0000EA09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539" name="Line 22">
          <a:extLst>
            <a:ext uri="{FF2B5EF4-FFF2-40B4-BE49-F238E27FC236}">
              <a16:creationId xmlns:a16="http://schemas.microsoft.com/office/drawing/2014/main" id="{00000000-0008-0000-0200-0000EB09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540" name="Line 23">
          <a:extLst>
            <a:ext uri="{FF2B5EF4-FFF2-40B4-BE49-F238E27FC236}">
              <a16:creationId xmlns:a16="http://schemas.microsoft.com/office/drawing/2014/main" id="{00000000-0008-0000-0200-0000EC09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541" name="Line 24">
          <a:extLst>
            <a:ext uri="{FF2B5EF4-FFF2-40B4-BE49-F238E27FC236}">
              <a16:creationId xmlns:a16="http://schemas.microsoft.com/office/drawing/2014/main" id="{00000000-0008-0000-0200-0000ED09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542" name="Line 25">
          <a:extLst>
            <a:ext uri="{FF2B5EF4-FFF2-40B4-BE49-F238E27FC236}">
              <a16:creationId xmlns:a16="http://schemas.microsoft.com/office/drawing/2014/main" id="{00000000-0008-0000-0200-0000EE09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543" name="Line 26">
          <a:extLst>
            <a:ext uri="{FF2B5EF4-FFF2-40B4-BE49-F238E27FC236}">
              <a16:creationId xmlns:a16="http://schemas.microsoft.com/office/drawing/2014/main" id="{00000000-0008-0000-0200-0000EF09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544" name="Line 27">
          <a:extLst>
            <a:ext uri="{FF2B5EF4-FFF2-40B4-BE49-F238E27FC236}">
              <a16:creationId xmlns:a16="http://schemas.microsoft.com/office/drawing/2014/main" id="{00000000-0008-0000-0200-0000F009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545" name="Line 28">
          <a:extLst>
            <a:ext uri="{FF2B5EF4-FFF2-40B4-BE49-F238E27FC236}">
              <a16:creationId xmlns:a16="http://schemas.microsoft.com/office/drawing/2014/main" id="{00000000-0008-0000-0200-0000F109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546" name="Line 29">
          <a:extLst>
            <a:ext uri="{FF2B5EF4-FFF2-40B4-BE49-F238E27FC236}">
              <a16:creationId xmlns:a16="http://schemas.microsoft.com/office/drawing/2014/main" id="{00000000-0008-0000-0200-0000F209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547" name="Line 30">
          <a:extLst>
            <a:ext uri="{FF2B5EF4-FFF2-40B4-BE49-F238E27FC236}">
              <a16:creationId xmlns:a16="http://schemas.microsoft.com/office/drawing/2014/main" id="{00000000-0008-0000-0200-0000F309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548" name="Line 31">
          <a:extLst>
            <a:ext uri="{FF2B5EF4-FFF2-40B4-BE49-F238E27FC236}">
              <a16:creationId xmlns:a16="http://schemas.microsoft.com/office/drawing/2014/main" id="{00000000-0008-0000-0200-0000F409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549" name="Line 32">
          <a:extLst>
            <a:ext uri="{FF2B5EF4-FFF2-40B4-BE49-F238E27FC236}">
              <a16:creationId xmlns:a16="http://schemas.microsoft.com/office/drawing/2014/main" id="{00000000-0008-0000-0200-0000F509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550" name="Line 33">
          <a:extLst>
            <a:ext uri="{FF2B5EF4-FFF2-40B4-BE49-F238E27FC236}">
              <a16:creationId xmlns:a16="http://schemas.microsoft.com/office/drawing/2014/main" id="{00000000-0008-0000-0200-0000F609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551" name="Line 34">
          <a:extLst>
            <a:ext uri="{FF2B5EF4-FFF2-40B4-BE49-F238E27FC236}">
              <a16:creationId xmlns:a16="http://schemas.microsoft.com/office/drawing/2014/main" id="{00000000-0008-0000-0200-0000F709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552" name="Line 35">
          <a:extLst>
            <a:ext uri="{FF2B5EF4-FFF2-40B4-BE49-F238E27FC236}">
              <a16:creationId xmlns:a16="http://schemas.microsoft.com/office/drawing/2014/main" id="{00000000-0008-0000-0200-0000F809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553" name="Line 36">
          <a:extLst>
            <a:ext uri="{FF2B5EF4-FFF2-40B4-BE49-F238E27FC236}">
              <a16:creationId xmlns:a16="http://schemas.microsoft.com/office/drawing/2014/main" id="{00000000-0008-0000-0200-0000F909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554" name="Line 37">
          <a:extLst>
            <a:ext uri="{FF2B5EF4-FFF2-40B4-BE49-F238E27FC236}">
              <a16:creationId xmlns:a16="http://schemas.microsoft.com/office/drawing/2014/main" id="{00000000-0008-0000-0200-0000FA09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555" name="Line 38">
          <a:extLst>
            <a:ext uri="{FF2B5EF4-FFF2-40B4-BE49-F238E27FC236}">
              <a16:creationId xmlns:a16="http://schemas.microsoft.com/office/drawing/2014/main" id="{00000000-0008-0000-0200-0000FB09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556" name="Line 39">
          <a:extLst>
            <a:ext uri="{FF2B5EF4-FFF2-40B4-BE49-F238E27FC236}">
              <a16:creationId xmlns:a16="http://schemas.microsoft.com/office/drawing/2014/main" id="{00000000-0008-0000-0200-0000FC09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557" name="Line 40">
          <a:extLst>
            <a:ext uri="{FF2B5EF4-FFF2-40B4-BE49-F238E27FC236}">
              <a16:creationId xmlns:a16="http://schemas.microsoft.com/office/drawing/2014/main" id="{00000000-0008-0000-0200-0000FD09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558" name="Line 41">
          <a:extLst>
            <a:ext uri="{FF2B5EF4-FFF2-40B4-BE49-F238E27FC236}">
              <a16:creationId xmlns:a16="http://schemas.microsoft.com/office/drawing/2014/main" id="{00000000-0008-0000-0200-0000FE09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559" name="Rectangle 42">
          <a:extLst>
            <a:ext uri="{FF2B5EF4-FFF2-40B4-BE49-F238E27FC236}">
              <a16:creationId xmlns:a16="http://schemas.microsoft.com/office/drawing/2014/main" id="{00000000-0008-0000-0200-0000FF09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560" name="Line 43">
          <a:extLst>
            <a:ext uri="{FF2B5EF4-FFF2-40B4-BE49-F238E27FC236}">
              <a16:creationId xmlns:a16="http://schemas.microsoft.com/office/drawing/2014/main" id="{00000000-0008-0000-0200-000000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561" name="Line 44">
          <a:extLst>
            <a:ext uri="{FF2B5EF4-FFF2-40B4-BE49-F238E27FC236}">
              <a16:creationId xmlns:a16="http://schemas.microsoft.com/office/drawing/2014/main" id="{00000000-0008-0000-0200-000001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562" name="Line 45">
          <a:extLst>
            <a:ext uri="{FF2B5EF4-FFF2-40B4-BE49-F238E27FC236}">
              <a16:creationId xmlns:a16="http://schemas.microsoft.com/office/drawing/2014/main" id="{00000000-0008-0000-0200-000002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563" name="Line 46">
          <a:extLst>
            <a:ext uri="{FF2B5EF4-FFF2-40B4-BE49-F238E27FC236}">
              <a16:creationId xmlns:a16="http://schemas.microsoft.com/office/drawing/2014/main" id="{00000000-0008-0000-0200-000003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564" name="Line 47">
          <a:extLst>
            <a:ext uri="{FF2B5EF4-FFF2-40B4-BE49-F238E27FC236}">
              <a16:creationId xmlns:a16="http://schemas.microsoft.com/office/drawing/2014/main" id="{00000000-0008-0000-0200-000004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565" name="Line 48">
          <a:extLst>
            <a:ext uri="{FF2B5EF4-FFF2-40B4-BE49-F238E27FC236}">
              <a16:creationId xmlns:a16="http://schemas.microsoft.com/office/drawing/2014/main" id="{00000000-0008-0000-0200-000005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566" name="Line 49">
          <a:extLst>
            <a:ext uri="{FF2B5EF4-FFF2-40B4-BE49-F238E27FC236}">
              <a16:creationId xmlns:a16="http://schemas.microsoft.com/office/drawing/2014/main" id="{00000000-0008-0000-0200-000006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567" name="Line 50">
          <a:extLst>
            <a:ext uri="{FF2B5EF4-FFF2-40B4-BE49-F238E27FC236}">
              <a16:creationId xmlns:a16="http://schemas.microsoft.com/office/drawing/2014/main" id="{00000000-0008-0000-0200-000007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568" name="Line 51">
          <a:extLst>
            <a:ext uri="{FF2B5EF4-FFF2-40B4-BE49-F238E27FC236}">
              <a16:creationId xmlns:a16="http://schemas.microsoft.com/office/drawing/2014/main" id="{00000000-0008-0000-0200-000008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569" name="Line 52">
          <a:extLst>
            <a:ext uri="{FF2B5EF4-FFF2-40B4-BE49-F238E27FC236}">
              <a16:creationId xmlns:a16="http://schemas.microsoft.com/office/drawing/2014/main" id="{00000000-0008-0000-0200-000009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570" name="Line 53">
          <a:extLst>
            <a:ext uri="{FF2B5EF4-FFF2-40B4-BE49-F238E27FC236}">
              <a16:creationId xmlns:a16="http://schemas.microsoft.com/office/drawing/2014/main" id="{00000000-0008-0000-0200-00000A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571" name="Line 54">
          <a:extLst>
            <a:ext uri="{FF2B5EF4-FFF2-40B4-BE49-F238E27FC236}">
              <a16:creationId xmlns:a16="http://schemas.microsoft.com/office/drawing/2014/main" id="{00000000-0008-0000-0200-00000B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572" name="Line 55">
          <a:extLst>
            <a:ext uri="{FF2B5EF4-FFF2-40B4-BE49-F238E27FC236}">
              <a16:creationId xmlns:a16="http://schemas.microsoft.com/office/drawing/2014/main" id="{00000000-0008-0000-0200-00000C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573" name="Line 56">
          <a:extLst>
            <a:ext uri="{FF2B5EF4-FFF2-40B4-BE49-F238E27FC236}">
              <a16:creationId xmlns:a16="http://schemas.microsoft.com/office/drawing/2014/main" id="{00000000-0008-0000-0200-00000D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574" name="Rectangle 57">
          <a:extLst>
            <a:ext uri="{FF2B5EF4-FFF2-40B4-BE49-F238E27FC236}">
              <a16:creationId xmlns:a16="http://schemas.microsoft.com/office/drawing/2014/main" id="{00000000-0008-0000-0200-00000E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575" name="Line 58">
          <a:extLst>
            <a:ext uri="{FF2B5EF4-FFF2-40B4-BE49-F238E27FC236}">
              <a16:creationId xmlns:a16="http://schemas.microsoft.com/office/drawing/2014/main" id="{00000000-0008-0000-0200-00000F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576" name="Line 59">
          <a:extLst>
            <a:ext uri="{FF2B5EF4-FFF2-40B4-BE49-F238E27FC236}">
              <a16:creationId xmlns:a16="http://schemas.microsoft.com/office/drawing/2014/main" id="{00000000-0008-0000-0200-000010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577" name="Line 60">
          <a:extLst>
            <a:ext uri="{FF2B5EF4-FFF2-40B4-BE49-F238E27FC236}">
              <a16:creationId xmlns:a16="http://schemas.microsoft.com/office/drawing/2014/main" id="{00000000-0008-0000-0200-000011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578" name="Line 61">
          <a:extLst>
            <a:ext uri="{FF2B5EF4-FFF2-40B4-BE49-F238E27FC236}">
              <a16:creationId xmlns:a16="http://schemas.microsoft.com/office/drawing/2014/main" id="{00000000-0008-0000-0200-000012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579" name="Line 62">
          <a:extLst>
            <a:ext uri="{FF2B5EF4-FFF2-40B4-BE49-F238E27FC236}">
              <a16:creationId xmlns:a16="http://schemas.microsoft.com/office/drawing/2014/main" id="{00000000-0008-0000-0200-000013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580" name="Line 63">
          <a:extLst>
            <a:ext uri="{FF2B5EF4-FFF2-40B4-BE49-F238E27FC236}">
              <a16:creationId xmlns:a16="http://schemas.microsoft.com/office/drawing/2014/main" id="{00000000-0008-0000-0200-000014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581" name="Line 64">
          <a:extLst>
            <a:ext uri="{FF2B5EF4-FFF2-40B4-BE49-F238E27FC236}">
              <a16:creationId xmlns:a16="http://schemas.microsoft.com/office/drawing/2014/main" id="{00000000-0008-0000-0200-000015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582" name="Line 65">
          <a:extLst>
            <a:ext uri="{FF2B5EF4-FFF2-40B4-BE49-F238E27FC236}">
              <a16:creationId xmlns:a16="http://schemas.microsoft.com/office/drawing/2014/main" id="{00000000-0008-0000-0200-000016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583" name="Line 66">
          <a:extLst>
            <a:ext uri="{FF2B5EF4-FFF2-40B4-BE49-F238E27FC236}">
              <a16:creationId xmlns:a16="http://schemas.microsoft.com/office/drawing/2014/main" id="{00000000-0008-0000-0200-000017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584" name="Line 67">
          <a:extLst>
            <a:ext uri="{FF2B5EF4-FFF2-40B4-BE49-F238E27FC236}">
              <a16:creationId xmlns:a16="http://schemas.microsoft.com/office/drawing/2014/main" id="{00000000-0008-0000-0200-000018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585" name="Line 68">
          <a:extLst>
            <a:ext uri="{FF2B5EF4-FFF2-40B4-BE49-F238E27FC236}">
              <a16:creationId xmlns:a16="http://schemas.microsoft.com/office/drawing/2014/main" id="{00000000-0008-0000-0200-000019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586" name="Line 1">
          <a:extLst>
            <a:ext uri="{FF2B5EF4-FFF2-40B4-BE49-F238E27FC236}">
              <a16:creationId xmlns:a16="http://schemas.microsoft.com/office/drawing/2014/main" id="{00000000-0008-0000-0200-00001A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587" name="Drawing 16">
          <a:extLst>
            <a:ext uri="{FF2B5EF4-FFF2-40B4-BE49-F238E27FC236}">
              <a16:creationId xmlns:a16="http://schemas.microsoft.com/office/drawing/2014/main" id="{00000000-0008-0000-0200-00001B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588" name="Line 3">
          <a:extLst>
            <a:ext uri="{FF2B5EF4-FFF2-40B4-BE49-F238E27FC236}">
              <a16:creationId xmlns:a16="http://schemas.microsoft.com/office/drawing/2014/main" id="{00000000-0008-0000-0200-00001C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589" name="Line 4">
          <a:extLst>
            <a:ext uri="{FF2B5EF4-FFF2-40B4-BE49-F238E27FC236}">
              <a16:creationId xmlns:a16="http://schemas.microsoft.com/office/drawing/2014/main" id="{00000000-0008-0000-0200-00001D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590" name="Line 5">
          <a:extLst>
            <a:ext uri="{FF2B5EF4-FFF2-40B4-BE49-F238E27FC236}">
              <a16:creationId xmlns:a16="http://schemas.microsoft.com/office/drawing/2014/main" id="{00000000-0008-0000-0200-00001E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591" name="Line 6">
          <a:extLst>
            <a:ext uri="{FF2B5EF4-FFF2-40B4-BE49-F238E27FC236}">
              <a16:creationId xmlns:a16="http://schemas.microsoft.com/office/drawing/2014/main" id="{00000000-0008-0000-0200-00001F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592" name="Line 7">
          <a:extLst>
            <a:ext uri="{FF2B5EF4-FFF2-40B4-BE49-F238E27FC236}">
              <a16:creationId xmlns:a16="http://schemas.microsoft.com/office/drawing/2014/main" id="{00000000-0008-0000-0200-000020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593" name="Line 8">
          <a:extLst>
            <a:ext uri="{FF2B5EF4-FFF2-40B4-BE49-F238E27FC236}">
              <a16:creationId xmlns:a16="http://schemas.microsoft.com/office/drawing/2014/main" id="{00000000-0008-0000-0200-000021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594" name="Line 9">
          <a:extLst>
            <a:ext uri="{FF2B5EF4-FFF2-40B4-BE49-F238E27FC236}">
              <a16:creationId xmlns:a16="http://schemas.microsoft.com/office/drawing/2014/main" id="{00000000-0008-0000-0200-000022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595" name="Line 10">
          <a:extLst>
            <a:ext uri="{FF2B5EF4-FFF2-40B4-BE49-F238E27FC236}">
              <a16:creationId xmlns:a16="http://schemas.microsoft.com/office/drawing/2014/main" id="{00000000-0008-0000-0200-000023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596" name="Line 11">
          <a:extLst>
            <a:ext uri="{FF2B5EF4-FFF2-40B4-BE49-F238E27FC236}">
              <a16:creationId xmlns:a16="http://schemas.microsoft.com/office/drawing/2014/main" id="{00000000-0008-0000-0200-000024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597" name="Line 12">
          <a:extLst>
            <a:ext uri="{FF2B5EF4-FFF2-40B4-BE49-F238E27FC236}">
              <a16:creationId xmlns:a16="http://schemas.microsoft.com/office/drawing/2014/main" id="{00000000-0008-0000-0200-000025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598" name="Line 13">
          <a:extLst>
            <a:ext uri="{FF2B5EF4-FFF2-40B4-BE49-F238E27FC236}">
              <a16:creationId xmlns:a16="http://schemas.microsoft.com/office/drawing/2014/main" id="{00000000-0008-0000-0200-000026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599" name="Line 14">
          <a:extLst>
            <a:ext uri="{FF2B5EF4-FFF2-40B4-BE49-F238E27FC236}">
              <a16:creationId xmlns:a16="http://schemas.microsoft.com/office/drawing/2014/main" id="{00000000-0008-0000-0200-000027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600" name="Line 15">
          <a:extLst>
            <a:ext uri="{FF2B5EF4-FFF2-40B4-BE49-F238E27FC236}">
              <a16:creationId xmlns:a16="http://schemas.microsoft.com/office/drawing/2014/main" id="{00000000-0008-0000-0200-000028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601" name="Line 16">
          <a:extLst>
            <a:ext uri="{FF2B5EF4-FFF2-40B4-BE49-F238E27FC236}">
              <a16:creationId xmlns:a16="http://schemas.microsoft.com/office/drawing/2014/main" id="{00000000-0008-0000-0200-000029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602" name="Line 17">
          <a:extLst>
            <a:ext uri="{FF2B5EF4-FFF2-40B4-BE49-F238E27FC236}">
              <a16:creationId xmlns:a16="http://schemas.microsoft.com/office/drawing/2014/main" id="{00000000-0008-0000-0200-00002A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603" name="Line 18">
          <a:extLst>
            <a:ext uri="{FF2B5EF4-FFF2-40B4-BE49-F238E27FC236}">
              <a16:creationId xmlns:a16="http://schemas.microsoft.com/office/drawing/2014/main" id="{00000000-0008-0000-0200-00002B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604" name="Line 19">
          <a:extLst>
            <a:ext uri="{FF2B5EF4-FFF2-40B4-BE49-F238E27FC236}">
              <a16:creationId xmlns:a16="http://schemas.microsoft.com/office/drawing/2014/main" id="{00000000-0008-0000-0200-00002C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605" name="Line 20">
          <a:extLst>
            <a:ext uri="{FF2B5EF4-FFF2-40B4-BE49-F238E27FC236}">
              <a16:creationId xmlns:a16="http://schemas.microsoft.com/office/drawing/2014/main" id="{00000000-0008-0000-0200-00002D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606" name="Line 21">
          <a:extLst>
            <a:ext uri="{FF2B5EF4-FFF2-40B4-BE49-F238E27FC236}">
              <a16:creationId xmlns:a16="http://schemas.microsoft.com/office/drawing/2014/main" id="{00000000-0008-0000-0200-00002E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607" name="Line 22">
          <a:extLst>
            <a:ext uri="{FF2B5EF4-FFF2-40B4-BE49-F238E27FC236}">
              <a16:creationId xmlns:a16="http://schemas.microsoft.com/office/drawing/2014/main" id="{00000000-0008-0000-0200-00002F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608" name="Line 23">
          <a:extLst>
            <a:ext uri="{FF2B5EF4-FFF2-40B4-BE49-F238E27FC236}">
              <a16:creationId xmlns:a16="http://schemas.microsoft.com/office/drawing/2014/main" id="{00000000-0008-0000-0200-000030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609" name="Line 24">
          <a:extLst>
            <a:ext uri="{FF2B5EF4-FFF2-40B4-BE49-F238E27FC236}">
              <a16:creationId xmlns:a16="http://schemas.microsoft.com/office/drawing/2014/main" id="{00000000-0008-0000-0200-000031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610" name="Line 25">
          <a:extLst>
            <a:ext uri="{FF2B5EF4-FFF2-40B4-BE49-F238E27FC236}">
              <a16:creationId xmlns:a16="http://schemas.microsoft.com/office/drawing/2014/main" id="{00000000-0008-0000-0200-000032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611" name="Line 26">
          <a:extLst>
            <a:ext uri="{FF2B5EF4-FFF2-40B4-BE49-F238E27FC236}">
              <a16:creationId xmlns:a16="http://schemas.microsoft.com/office/drawing/2014/main" id="{00000000-0008-0000-0200-000033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612" name="Line 27">
          <a:extLst>
            <a:ext uri="{FF2B5EF4-FFF2-40B4-BE49-F238E27FC236}">
              <a16:creationId xmlns:a16="http://schemas.microsoft.com/office/drawing/2014/main" id="{00000000-0008-0000-0200-0000340A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613" name="Line 28">
          <a:extLst>
            <a:ext uri="{FF2B5EF4-FFF2-40B4-BE49-F238E27FC236}">
              <a16:creationId xmlns:a16="http://schemas.microsoft.com/office/drawing/2014/main" id="{00000000-0008-0000-0200-0000350A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614" name="Line 29">
          <a:extLst>
            <a:ext uri="{FF2B5EF4-FFF2-40B4-BE49-F238E27FC236}">
              <a16:creationId xmlns:a16="http://schemas.microsoft.com/office/drawing/2014/main" id="{00000000-0008-0000-0200-0000360A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615" name="Line 30">
          <a:extLst>
            <a:ext uri="{FF2B5EF4-FFF2-40B4-BE49-F238E27FC236}">
              <a16:creationId xmlns:a16="http://schemas.microsoft.com/office/drawing/2014/main" id="{00000000-0008-0000-0200-0000370A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616" name="Line 31">
          <a:extLst>
            <a:ext uri="{FF2B5EF4-FFF2-40B4-BE49-F238E27FC236}">
              <a16:creationId xmlns:a16="http://schemas.microsoft.com/office/drawing/2014/main" id="{00000000-0008-0000-0200-0000380A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617" name="Line 32">
          <a:extLst>
            <a:ext uri="{FF2B5EF4-FFF2-40B4-BE49-F238E27FC236}">
              <a16:creationId xmlns:a16="http://schemas.microsoft.com/office/drawing/2014/main" id="{00000000-0008-0000-0200-0000390A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618" name="Line 33">
          <a:extLst>
            <a:ext uri="{FF2B5EF4-FFF2-40B4-BE49-F238E27FC236}">
              <a16:creationId xmlns:a16="http://schemas.microsoft.com/office/drawing/2014/main" id="{00000000-0008-0000-0200-00003A0A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619" name="Line 34">
          <a:extLst>
            <a:ext uri="{FF2B5EF4-FFF2-40B4-BE49-F238E27FC236}">
              <a16:creationId xmlns:a16="http://schemas.microsoft.com/office/drawing/2014/main" id="{00000000-0008-0000-0200-00003B0A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620" name="Line 35">
          <a:extLst>
            <a:ext uri="{FF2B5EF4-FFF2-40B4-BE49-F238E27FC236}">
              <a16:creationId xmlns:a16="http://schemas.microsoft.com/office/drawing/2014/main" id="{00000000-0008-0000-0200-00003C0A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621" name="Line 36">
          <a:extLst>
            <a:ext uri="{FF2B5EF4-FFF2-40B4-BE49-F238E27FC236}">
              <a16:creationId xmlns:a16="http://schemas.microsoft.com/office/drawing/2014/main" id="{00000000-0008-0000-0200-00003D0A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622" name="Line 37">
          <a:extLst>
            <a:ext uri="{FF2B5EF4-FFF2-40B4-BE49-F238E27FC236}">
              <a16:creationId xmlns:a16="http://schemas.microsoft.com/office/drawing/2014/main" id="{00000000-0008-0000-0200-00003E0A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623" name="Line 38">
          <a:extLst>
            <a:ext uri="{FF2B5EF4-FFF2-40B4-BE49-F238E27FC236}">
              <a16:creationId xmlns:a16="http://schemas.microsoft.com/office/drawing/2014/main" id="{00000000-0008-0000-0200-00003F0A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624" name="Line 39">
          <a:extLst>
            <a:ext uri="{FF2B5EF4-FFF2-40B4-BE49-F238E27FC236}">
              <a16:creationId xmlns:a16="http://schemas.microsoft.com/office/drawing/2014/main" id="{00000000-0008-0000-0200-0000400A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625" name="Line 40">
          <a:extLst>
            <a:ext uri="{FF2B5EF4-FFF2-40B4-BE49-F238E27FC236}">
              <a16:creationId xmlns:a16="http://schemas.microsoft.com/office/drawing/2014/main" id="{00000000-0008-0000-0200-0000410A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626" name="Line 41">
          <a:extLst>
            <a:ext uri="{FF2B5EF4-FFF2-40B4-BE49-F238E27FC236}">
              <a16:creationId xmlns:a16="http://schemas.microsoft.com/office/drawing/2014/main" id="{00000000-0008-0000-0200-0000420A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627" name="Rectangle 42">
          <a:extLst>
            <a:ext uri="{FF2B5EF4-FFF2-40B4-BE49-F238E27FC236}">
              <a16:creationId xmlns:a16="http://schemas.microsoft.com/office/drawing/2014/main" id="{00000000-0008-0000-0200-0000430A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28" name="Line 43">
          <a:extLst>
            <a:ext uri="{FF2B5EF4-FFF2-40B4-BE49-F238E27FC236}">
              <a16:creationId xmlns:a16="http://schemas.microsoft.com/office/drawing/2014/main" id="{00000000-0008-0000-0200-000044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29" name="Line 44">
          <a:extLst>
            <a:ext uri="{FF2B5EF4-FFF2-40B4-BE49-F238E27FC236}">
              <a16:creationId xmlns:a16="http://schemas.microsoft.com/office/drawing/2014/main" id="{00000000-0008-0000-0200-000045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630" name="Line 45">
          <a:extLst>
            <a:ext uri="{FF2B5EF4-FFF2-40B4-BE49-F238E27FC236}">
              <a16:creationId xmlns:a16="http://schemas.microsoft.com/office/drawing/2014/main" id="{00000000-0008-0000-0200-000046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631" name="Line 46">
          <a:extLst>
            <a:ext uri="{FF2B5EF4-FFF2-40B4-BE49-F238E27FC236}">
              <a16:creationId xmlns:a16="http://schemas.microsoft.com/office/drawing/2014/main" id="{00000000-0008-0000-0200-000047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632" name="Line 47">
          <a:extLst>
            <a:ext uri="{FF2B5EF4-FFF2-40B4-BE49-F238E27FC236}">
              <a16:creationId xmlns:a16="http://schemas.microsoft.com/office/drawing/2014/main" id="{00000000-0008-0000-0200-000048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633" name="Line 48">
          <a:extLst>
            <a:ext uri="{FF2B5EF4-FFF2-40B4-BE49-F238E27FC236}">
              <a16:creationId xmlns:a16="http://schemas.microsoft.com/office/drawing/2014/main" id="{00000000-0008-0000-0200-000049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634" name="Line 49">
          <a:extLst>
            <a:ext uri="{FF2B5EF4-FFF2-40B4-BE49-F238E27FC236}">
              <a16:creationId xmlns:a16="http://schemas.microsoft.com/office/drawing/2014/main" id="{00000000-0008-0000-0200-00004A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635" name="Line 50">
          <a:extLst>
            <a:ext uri="{FF2B5EF4-FFF2-40B4-BE49-F238E27FC236}">
              <a16:creationId xmlns:a16="http://schemas.microsoft.com/office/drawing/2014/main" id="{00000000-0008-0000-0200-00004B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636" name="Line 51">
          <a:extLst>
            <a:ext uri="{FF2B5EF4-FFF2-40B4-BE49-F238E27FC236}">
              <a16:creationId xmlns:a16="http://schemas.microsoft.com/office/drawing/2014/main" id="{00000000-0008-0000-0200-00004C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637" name="Line 52">
          <a:extLst>
            <a:ext uri="{FF2B5EF4-FFF2-40B4-BE49-F238E27FC236}">
              <a16:creationId xmlns:a16="http://schemas.microsoft.com/office/drawing/2014/main" id="{00000000-0008-0000-0200-00004D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638" name="Line 53">
          <a:extLst>
            <a:ext uri="{FF2B5EF4-FFF2-40B4-BE49-F238E27FC236}">
              <a16:creationId xmlns:a16="http://schemas.microsoft.com/office/drawing/2014/main" id="{00000000-0008-0000-0200-00004E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639" name="Line 54">
          <a:extLst>
            <a:ext uri="{FF2B5EF4-FFF2-40B4-BE49-F238E27FC236}">
              <a16:creationId xmlns:a16="http://schemas.microsoft.com/office/drawing/2014/main" id="{00000000-0008-0000-0200-00004F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640" name="Line 55">
          <a:extLst>
            <a:ext uri="{FF2B5EF4-FFF2-40B4-BE49-F238E27FC236}">
              <a16:creationId xmlns:a16="http://schemas.microsoft.com/office/drawing/2014/main" id="{00000000-0008-0000-0200-000050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641" name="Line 56">
          <a:extLst>
            <a:ext uri="{FF2B5EF4-FFF2-40B4-BE49-F238E27FC236}">
              <a16:creationId xmlns:a16="http://schemas.microsoft.com/office/drawing/2014/main" id="{00000000-0008-0000-0200-000051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642" name="Rectangle 57">
          <a:extLst>
            <a:ext uri="{FF2B5EF4-FFF2-40B4-BE49-F238E27FC236}">
              <a16:creationId xmlns:a16="http://schemas.microsoft.com/office/drawing/2014/main" id="{00000000-0008-0000-0200-000052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643" name="Line 58">
          <a:extLst>
            <a:ext uri="{FF2B5EF4-FFF2-40B4-BE49-F238E27FC236}">
              <a16:creationId xmlns:a16="http://schemas.microsoft.com/office/drawing/2014/main" id="{00000000-0008-0000-0200-000053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644" name="Line 59">
          <a:extLst>
            <a:ext uri="{FF2B5EF4-FFF2-40B4-BE49-F238E27FC236}">
              <a16:creationId xmlns:a16="http://schemas.microsoft.com/office/drawing/2014/main" id="{00000000-0008-0000-0200-000054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645" name="Line 60">
          <a:extLst>
            <a:ext uri="{FF2B5EF4-FFF2-40B4-BE49-F238E27FC236}">
              <a16:creationId xmlns:a16="http://schemas.microsoft.com/office/drawing/2014/main" id="{00000000-0008-0000-0200-000055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646" name="Line 61">
          <a:extLst>
            <a:ext uri="{FF2B5EF4-FFF2-40B4-BE49-F238E27FC236}">
              <a16:creationId xmlns:a16="http://schemas.microsoft.com/office/drawing/2014/main" id="{00000000-0008-0000-0200-000056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647" name="Line 62">
          <a:extLst>
            <a:ext uri="{FF2B5EF4-FFF2-40B4-BE49-F238E27FC236}">
              <a16:creationId xmlns:a16="http://schemas.microsoft.com/office/drawing/2014/main" id="{00000000-0008-0000-0200-000057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648" name="Line 63">
          <a:extLst>
            <a:ext uri="{FF2B5EF4-FFF2-40B4-BE49-F238E27FC236}">
              <a16:creationId xmlns:a16="http://schemas.microsoft.com/office/drawing/2014/main" id="{00000000-0008-0000-0200-000058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649" name="Line 64">
          <a:extLst>
            <a:ext uri="{FF2B5EF4-FFF2-40B4-BE49-F238E27FC236}">
              <a16:creationId xmlns:a16="http://schemas.microsoft.com/office/drawing/2014/main" id="{00000000-0008-0000-0200-000059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650" name="Line 65">
          <a:extLst>
            <a:ext uri="{FF2B5EF4-FFF2-40B4-BE49-F238E27FC236}">
              <a16:creationId xmlns:a16="http://schemas.microsoft.com/office/drawing/2014/main" id="{00000000-0008-0000-0200-00005A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651" name="Line 66">
          <a:extLst>
            <a:ext uri="{FF2B5EF4-FFF2-40B4-BE49-F238E27FC236}">
              <a16:creationId xmlns:a16="http://schemas.microsoft.com/office/drawing/2014/main" id="{00000000-0008-0000-0200-00005B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652" name="Line 67">
          <a:extLst>
            <a:ext uri="{FF2B5EF4-FFF2-40B4-BE49-F238E27FC236}">
              <a16:creationId xmlns:a16="http://schemas.microsoft.com/office/drawing/2014/main" id="{00000000-0008-0000-0200-00005C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653" name="Line 68">
          <a:extLst>
            <a:ext uri="{FF2B5EF4-FFF2-40B4-BE49-F238E27FC236}">
              <a16:creationId xmlns:a16="http://schemas.microsoft.com/office/drawing/2014/main" id="{00000000-0008-0000-0200-00005D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654" name="Line 1">
          <a:extLst>
            <a:ext uri="{FF2B5EF4-FFF2-40B4-BE49-F238E27FC236}">
              <a16:creationId xmlns:a16="http://schemas.microsoft.com/office/drawing/2014/main" id="{00000000-0008-0000-0200-00005E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655" name="Drawing 16">
          <a:extLst>
            <a:ext uri="{FF2B5EF4-FFF2-40B4-BE49-F238E27FC236}">
              <a16:creationId xmlns:a16="http://schemas.microsoft.com/office/drawing/2014/main" id="{00000000-0008-0000-0200-00005F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656" name="Line 3">
          <a:extLst>
            <a:ext uri="{FF2B5EF4-FFF2-40B4-BE49-F238E27FC236}">
              <a16:creationId xmlns:a16="http://schemas.microsoft.com/office/drawing/2014/main" id="{00000000-0008-0000-0200-000060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657" name="Line 4">
          <a:extLst>
            <a:ext uri="{FF2B5EF4-FFF2-40B4-BE49-F238E27FC236}">
              <a16:creationId xmlns:a16="http://schemas.microsoft.com/office/drawing/2014/main" id="{00000000-0008-0000-0200-000061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658" name="Line 5">
          <a:extLst>
            <a:ext uri="{FF2B5EF4-FFF2-40B4-BE49-F238E27FC236}">
              <a16:creationId xmlns:a16="http://schemas.microsoft.com/office/drawing/2014/main" id="{00000000-0008-0000-0200-000062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659" name="Line 6">
          <a:extLst>
            <a:ext uri="{FF2B5EF4-FFF2-40B4-BE49-F238E27FC236}">
              <a16:creationId xmlns:a16="http://schemas.microsoft.com/office/drawing/2014/main" id="{00000000-0008-0000-0200-000063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660" name="Line 7">
          <a:extLst>
            <a:ext uri="{FF2B5EF4-FFF2-40B4-BE49-F238E27FC236}">
              <a16:creationId xmlns:a16="http://schemas.microsoft.com/office/drawing/2014/main" id="{00000000-0008-0000-0200-000064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661" name="Line 8">
          <a:extLst>
            <a:ext uri="{FF2B5EF4-FFF2-40B4-BE49-F238E27FC236}">
              <a16:creationId xmlns:a16="http://schemas.microsoft.com/office/drawing/2014/main" id="{00000000-0008-0000-0200-000065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662" name="Line 9">
          <a:extLst>
            <a:ext uri="{FF2B5EF4-FFF2-40B4-BE49-F238E27FC236}">
              <a16:creationId xmlns:a16="http://schemas.microsoft.com/office/drawing/2014/main" id="{00000000-0008-0000-0200-000066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663" name="Line 10">
          <a:extLst>
            <a:ext uri="{FF2B5EF4-FFF2-40B4-BE49-F238E27FC236}">
              <a16:creationId xmlns:a16="http://schemas.microsoft.com/office/drawing/2014/main" id="{00000000-0008-0000-0200-000067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664" name="Line 11">
          <a:extLst>
            <a:ext uri="{FF2B5EF4-FFF2-40B4-BE49-F238E27FC236}">
              <a16:creationId xmlns:a16="http://schemas.microsoft.com/office/drawing/2014/main" id="{00000000-0008-0000-0200-000068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665" name="Line 12">
          <a:extLst>
            <a:ext uri="{FF2B5EF4-FFF2-40B4-BE49-F238E27FC236}">
              <a16:creationId xmlns:a16="http://schemas.microsoft.com/office/drawing/2014/main" id="{00000000-0008-0000-0200-000069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666" name="Line 13">
          <a:extLst>
            <a:ext uri="{FF2B5EF4-FFF2-40B4-BE49-F238E27FC236}">
              <a16:creationId xmlns:a16="http://schemas.microsoft.com/office/drawing/2014/main" id="{00000000-0008-0000-0200-00006A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667" name="Line 14">
          <a:extLst>
            <a:ext uri="{FF2B5EF4-FFF2-40B4-BE49-F238E27FC236}">
              <a16:creationId xmlns:a16="http://schemas.microsoft.com/office/drawing/2014/main" id="{00000000-0008-0000-0200-00006B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668" name="Line 15">
          <a:extLst>
            <a:ext uri="{FF2B5EF4-FFF2-40B4-BE49-F238E27FC236}">
              <a16:creationId xmlns:a16="http://schemas.microsoft.com/office/drawing/2014/main" id="{00000000-0008-0000-0200-00006C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669" name="Line 16">
          <a:extLst>
            <a:ext uri="{FF2B5EF4-FFF2-40B4-BE49-F238E27FC236}">
              <a16:creationId xmlns:a16="http://schemas.microsoft.com/office/drawing/2014/main" id="{00000000-0008-0000-0200-00006D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670" name="Line 17">
          <a:extLst>
            <a:ext uri="{FF2B5EF4-FFF2-40B4-BE49-F238E27FC236}">
              <a16:creationId xmlns:a16="http://schemas.microsoft.com/office/drawing/2014/main" id="{00000000-0008-0000-0200-00006E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671" name="Line 18">
          <a:extLst>
            <a:ext uri="{FF2B5EF4-FFF2-40B4-BE49-F238E27FC236}">
              <a16:creationId xmlns:a16="http://schemas.microsoft.com/office/drawing/2014/main" id="{00000000-0008-0000-0200-00006F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672" name="Line 19">
          <a:extLst>
            <a:ext uri="{FF2B5EF4-FFF2-40B4-BE49-F238E27FC236}">
              <a16:creationId xmlns:a16="http://schemas.microsoft.com/office/drawing/2014/main" id="{00000000-0008-0000-0200-000070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673" name="Line 20">
          <a:extLst>
            <a:ext uri="{FF2B5EF4-FFF2-40B4-BE49-F238E27FC236}">
              <a16:creationId xmlns:a16="http://schemas.microsoft.com/office/drawing/2014/main" id="{00000000-0008-0000-0200-000071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674" name="Line 21">
          <a:extLst>
            <a:ext uri="{FF2B5EF4-FFF2-40B4-BE49-F238E27FC236}">
              <a16:creationId xmlns:a16="http://schemas.microsoft.com/office/drawing/2014/main" id="{00000000-0008-0000-0200-000072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675" name="Line 22">
          <a:extLst>
            <a:ext uri="{FF2B5EF4-FFF2-40B4-BE49-F238E27FC236}">
              <a16:creationId xmlns:a16="http://schemas.microsoft.com/office/drawing/2014/main" id="{00000000-0008-0000-0200-000073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676" name="Line 23">
          <a:extLst>
            <a:ext uri="{FF2B5EF4-FFF2-40B4-BE49-F238E27FC236}">
              <a16:creationId xmlns:a16="http://schemas.microsoft.com/office/drawing/2014/main" id="{00000000-0008-0000-0200-000074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677" name="Line 24">
          <a:extLst>
            <a:ext uri="{FF2B5EF4-FFF2-40B4-BE49-F238E27FC236}">
              <a16:creationId xmlns:a16="http://schemas.microsoft.com/office/drawing/2014/main" id="{00000000-0008-0000-0200-000075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678" name="Line 25">
          <a:extLst>
            <a:ext uri="{FF2B5EF4-FFF2-40B4-BE49-F238E27FC236}">
              <a16:creationId xmlns:a16="http://schemas.microsoft.com/office/drawing/2014/main" id="{00000000-0008-0000-0200-000076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679" name="Line 26">
          <a:extLst>
            <a:ext uri="{FF2B5EF4-FFF2-40B4-BE49-F238E27FC236}">
              <a16:creationId xmlns:a16="http://schemas.microsoft.com/office/drawing/2014/main" id="{00000000-0008-0000-0200-000077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680" name="Line 27">
          <a:extLst>
            <a:ext uri="{FF2B5EF4-FFF2-40B4-BE49-F238E27FC236}">
              <a16:creationId xmlns:a16="http://schemas.microsoft.com/office/drawing/2014/main" id="{00000000-0008-0000-0200-0000780A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681" name="Line 28">
          <a:extLst>
            <a:ext uri="{FF2B5EF4-FFF2-40B4-BE49-F238E27FC236}">
              <a16:creationId xmlns:a16="http://schemas.microsoft.com/office/drawing/2014/main" id="{00000000-0008-0000-0200-0000790A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682" name="Line 29">
          <a:extLst>
            <a:ext uri="{FF2B5EF4-FFF2-40B4-BE49-F238E27FC236}">
              <a16:creationId xmlns:a16="http://schemas.microsoft.com/office/drawing/2014/main" id="{00000000-0008-0000-0200-00007A0A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683" name="Line 30">
          <a:extLst>
            <a:ext uri="{FF2B5EF4-FFF2-40B4-BE49-F238E27FC236}">
              <a16:creationId xmlns:a16="http://schemas.microsoft.com/office/drawing/2014/main" id="{00000000-0008-0000-0200-00007B0A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684" name="Line 31">
          <a:extLst>
            <a:ext uri="{FF2B5EF4-FFF2-40B4-BE49-F238E27FC236}">
              <a16:creationId xmlns:a16="http://schemas.microsoft.com/office/drawing/2014/main" id="{00000000-0008-0000-0200-00007C0A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685" name="Line 32">
          <a:extLst>
            <a:ext uri="{FF2B5EF4-FFF2-40B4-BE49-F238E27FC236}">
              <a16:creationId xmlns:a16="http://schemas.microsoft.com/office/drawing/2014/main" id="{00000000-0008-0000-0200-00007D0A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686" name="Line 33">
          <a:extLst>
            <a:ext uri="{FF2B5EF4-FFF2-40B4-BE49-F238E27FC236}">
              <a16:creationId xmlns:a16="http://schemas.microsoft.com/office/drawing/2014/main" id="{00000000-0008-0000-0200-00007E0A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687" name="Line 34">
          <a:extLst>
            <a:ext uri="{FF2B5EF4-FFF2-40B4-BE49-F238E27FC236}">
              <a16:creationId xmlns:a16="http://schemas.microsoft.com/office/drawing/2014/main" id="{00000000-0008-0000-0200-00007F0A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688" name="Line 35">
          <a:extLst>
            <a:ext uri="{FF2B5EF4-FFF2-40B4-BE49-F238E27FC236}">
              <a16:creationId xmlns:a16="http://schemas.microsoft.com/office/drawing/2014/main" id="{00000000-0008-0000-0200-0000800A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689" name="Line 36">
          <a:extLst>
            <a:ext uri="{FF2B5EF4-FFF2-40B4-BE49-F238E27FC236}">
              <a16:creationId xmlns:a16="http://schemas.microsoft.com/office/drawing/2014/main" id="{00000000-0008-0000-0200-0000810A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690" name="Line 37">
          <a:extLst>
            <a:ext uri="{FF2B5EF4-FFF2-40B4-BE49-F238E27FC236}">
              <a16:creationId xmlns:a16="http://schemas.microsoft.com/office/drawing/2014/main" id="{00000000-0008-0000-0200-0000820A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691" name="Line 38">
          <a:extLst>
            <a:ext uri="{FF2B5EF4-FFF2-40B4-BE49-F238E27FC236}">
              <a16:creationId xmlns:a16="http://schemas.microsoft.com/office/drawing/2014/main" id="{00000000-0008-0000-0200-0000830A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692" name="Line 39">
          <a:extLst>
            <a:ext uri="{FF2B5EF4-FFF2-40B4-BE49-F238E27FC236}">
              <a16:creationId xmlns:a16="http://schemas.microsoft.com/office/drawing/2014/main" id="{00000000-0008-0000-0200-0000840A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693" name="Line 40">
          <a:extLst>
            <a:ext uri="{FF2B5EF4-FFF2-40B4-BE49-F238E27FC236}">
              <a16:creationId xmlns:a16="http://schemas.microsoft.com/office/drawing/2014/main" id="{00000000-0008-0000-0200-0000850A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694" name="Line 41">
          <a:extLst>
            <a:ext uri="{FF2B5EF4-FFF2-40B4-BE49-F238E27FC236}">
              <a16:creationId xmlns:a16="http://schemas.microsoft.com/office/drawing/2014/main" id="{00000000-0008-0000-0200-0000860A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695" name="Rectangle 42">
          <a:extLst>
            <a:ext uri="{FF2B5EF4-FFF2-40B4-BE49-F238E27FC236}">
              <a16:creationId xmlns:a16="http://schemas.microsoft.com/office/drawing/2014/main" id="{00000000-0008-0000-0200-0000870A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96" name="Line 43">
          <a:extLst>
            <a:ext uri="{FF2B5EF4-FFF2-40B4-BE49-F238E27FC236}">
              <a16:creationId xmlns:a16="http://schemas.microsoft.com/office/drawing/2014/main" id="{00000000-0008-0000-0200-000088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697" name="Line 44">
          <a:extLst>
            <a:ext uri="{FF2B5EF4-FFF2-40B4-BE49-F238E27FC236}">
              <a16:creationId xmlns:a16="http://schemas.microsoft.com/office/drawing/2014/main" id="{00000000-0008-0000-0200-000089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698" name="Line 45">
          <a:extLst>
            <a:ext uri="{FF2B5EF4-FFF2-40B4-BE49-F238E27FC236}">
              <a16:creationId xmlns:a16="http://schemas.microsoft.com/office/drawing/2014/main" id="{00000000-0008-0000-0200-00008A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699" name="Line 46">
          <a:extLst>
            <a:ext uri="{FF2B5EF4-FFF2-40B4-BE49-F238E27FC236}">
              <a16:creationId xmlns:a16="http://schemas.microsoft.com/office/drawing/2014/main" id="{00000000-0008-0000-0200-00008B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700" name="Line 47">
          <a:extLst>
            <a:ext uri="{FF2B5EF4-FFF2-40B4-BE49-F238E27FC236}">
              <a16:creationId xmlns:a16="http://schemas.microsoft.com/office/drawing/2014/main" id="{00000000-0008-0000-0200-00008C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701" name="Line 48">
          <a:extLst>
            <a:ext uri="{FF2B5EF4-FFF2-40B4-BE49-F238E27FC236}">
              <a16:creationId xmlns:a16="http://schemas.microsoft.com/office/drawing/2014/main" id="{00000000-0008-0000-0200-00008D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702" name="Line 49">
          <a:extLst>
            <a:ext uri="{FF2B5EF4-FFF2-40B4-BE49-F238E27FC236}">
              <a16:creationId xmlns:a16="http://schemas.microsoft.com/office/drawing/2014/main" id="{00000000-0008-0000-0200-00008E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703" name="Line 50">
          <a:extLst>
            <a:ext uri="{FF2B5EF4-FFF2-40B4-BE49-F238E27FC236}">
              <a16:creationId xmlns:a16="http://schemas.microsoft.com/office/drawing/2014/main" id="{00000000-0008-0000-0200-00008F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704" name="Line 51">
          <a:extLst>
            <a:ext uri="{FF2B5EF4-FFF2-40B4-BE49-F238E27FC236}">
              <a16:creationId xmlns:a16="http://schemas.microsoft.com/office/drawing/2014/main" id="{00000000-0008-0000-0200-000090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705" name="Line 52">
          <a:extLst>
            <a:ext uri="{FF2B5EF4-FFF2-40B4-BE49-F238E27FC236}">
              <a16:creationId xmlns:a16="http://schemas.microsoft.com/office/drawing/2014/main" id="{00000000-0008-0000-0200-000091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706" name="Line 53">
          <a:extLst>
            <a:ext uri="{FF2B5EF4-FFF2-40B4-BE49-F238E27FC236}">
              <a16:creationId xmlns:a16="http://schemas.microsoft.com/office/drawing/2014/main" id="{00000000-0008-0000-0200-000092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707" name="Line 54">
          <a:extLst>
            <a:ext uri="{FF2B5EF4-FFF2-40B4-BE49-F238E27FC236}">
              <a16:creationId xmlns:a16="http://schemas.microsoft.com/office/drawing/2014/main" id="{00000000-0008-0000-0200-000093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708" name="Line 55">
          <a:extLst>
            <a:ext uri="{FF2B5EF4-FFF2-40B4-BE49-F238E27FC236}">
              <a16:creationId xmlns:a16="http://schemas.microsoft.com/office/drawing/2014/main" id="{00000000-0008-0000-0200-000094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709" name="Line 56">
          <a:extLst>
            <a:ext uri="{FF2B5EF4-FFF2-40B4-BE49-F238E27FC236}">
              <a16:creationId xmlns:a16="http://schemas.microsoft.com/office/drawing/2014/main" id="{00000000-0008-0000-0200-000095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710" name="Rectangle 57">
          <a:extLst>
            <a:ext uri="{FF2B5EF4-FFF2-40B4-BE49-F238E27FC236}">
              <a16:creationId xmlns:a16="http://schemas.microsoft.com/office/drawing/2014/main" id="{00000000-0008-0000-0200-000096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711" name="Line 58">
          <a:extLst>
            <a:ext uri="{FF2B5EF4-FFF2-40B4-BE49-F238E27FC236}">
              <a16:creationId xmlns:a16="http://schemas.microsoft.com/office/drawing/2014/main" id="{00000000-0008-0000-0200-000097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712" name="Line 59">
          <a:extLst>
            <a:ext uri="{FF2B5EF4-FFF2-40B4-BE49-F238E27FC236}">
              <a16:creationId xmlns:a16="http://schemas.microsoft.com/office/drawing/2014/main" id="{00000000-0008-0000-0200-000098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713" name="Line 60">
          <a:extLst>
            <a:ext uri="{FF2B5EF4-FFF2-40B4-BE49-F238E27FC236}">
              <a16:creationId xmlns:a16="http://schemas.microsoft.com/office/drawing/2014/main" id="{00000000-0008-0000-0200-000099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714" name="Line 61">
          <a:extLst>
            <a:ext uri="{FF2B5EF4-FFF2-40B4-BE49-F238E27FC236}">
              <a16:creationId xmlns:a16="http://schemas.microsoft.com/office/drawing/2014/main" id="{00000000-0008-0000-0200-00009A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715" name="Line 62">
          <a:extLst>
            <a:ext uri="{FF2B5EF4-FFF2-40B4-BE49-F238E27FC236}">
              <a16:creationId xmlns:a16="http://schemas.microsoft.com/office/drawing/2014/main" id="{00000000-0008-0000-0200-00009B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716" name="Line 63">
          <a:extLst>
            <a:ext uri="{FF2B5EF4-FFF2-40B4-BE49-F238E27FC236}">
              <a16:creationId xmlns:a16="http://schemas.microsoft.com/office/drawing/2014/main" id="{00000000-0008-0000-0200-00009C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717" name="Line 64">
          <a:extLst>
            <a:ext uri="{FF2B5EF4-FFF2-40B4-BE49-F238E27FC236}">
              <a16:creationId xmlns:a16="http://schemas.microsoft.com/office/drawing/2014/main" id="{00000000-0008-0000-0200-00009D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718" name="Line 65">
          <a:extLst>
            <a:ext uri="{FF2B5EF4-FFF2-40B4-BE49-F238E27FC236}">
              <a16:creationId xmlns:a16="http://schemas.microsoft.com/office/drawing/2014/main" id="{00000000-0008-0000-0200-00009E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719" name="Line 66">
          <a:extLst>
            <a:ext uri="{FF2B5EF4-FFF2-40B4-BE49-F238E27FC236}">
              <a16:creationId xmlns:a16="http://schemas.microsoft.com/office/drawing/2014/main" id="{00000000-0008-0000-0200-00009F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720" name="Line 67">
          <a:extLst>
            <a:ext uri="{FF2B5EF4-FFF2-40B4-BE49-F238E27FC236}">
              <a16:creationId xmlns:a16="http://schemas.microsoft.com/office/drawing/2014/main" id="{00000000-0008-0000-0200-0000A0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721" name="Line 68">
          <a:extLst>
            <a:ext uri="{FF2B5EF4-FFF2-40B4-BE49-F238E27FC236}">
              <a16:creationId xmlns:a16="http://schemas.microsoft.com/office/drawing/2014/main" id="{00000000-0008-0000-0200-0000A1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722" name="Line 1">
          <a:extLst>
            <a:ext uri="{FF2B5EF4-FFF2-40B4-BE49-F238E27FC236}">
              <a16:creationId xmlns:a16="http://schemas.microsoft.com/office/drawing/2014/main" id="{00000000-0008-0000-0200-0000A2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723" name="Drawing 16">
          <a:extLst>
            <a:ext uri="{FF2B5EF4-FFF2-40B4-BE49-F238E27FC236}">
              <a16:creationId xmlns:a16="http://schemas.microsoft.com/office/drawing/2014/main" id="{00000000-0008-0000-0200-0000A3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724" name="Line 3">
          <a:extLst>
            <a:ext uri="{FF2B5EF4-FFF2-40B4-BE49-F238E27FC236}">
              <a16:creationId xmlns:a16="http://schemas.microsoft.com/office/drawing/2014/main" id="{00000000-0008-0000-0200-0000A4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725" name="Line 4">
          <a:extLst>
            <a:ext uri="{FF2B5EF4-FFF2-40B4-BE49-F238E27FC236}">
              <a16:creationId xmlns:a16="http://schemas.microsoft.com/office/drawing/2014/main" id="{00000000-0008-0000-0200-0000A5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726" name="Line 5">
          <a:extLst>
            <a:ext uri="{FF2B5EF4-FFF2-40B4-BE49-F238E27FC236}">
              <a16:creationId xmlns:a16="http://schemas.microsoft.com/office/drawing/2014/main" id="{00000000-0008-0000-0200-0000A6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727" name="Line 6">
          <a:extLst>
            <a:ext uri="{FF2B5EF4-FFF2-40B4-BE49-F238E27FC236}">
              <a16:creationId xmlns:a16="http://schemas.microsoft.com/office/drawing/2014/main" id="{00000000-0008-0000-0200-0000A7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728" name="Line 7">
          <a:extLst>
            <a:ext uri="{FF2B5EF4-FFF2-40B4-BE49-F238E27FC236}">
              <a16:creationId xmlns:a16="http://schemas.microsoft.com/office/drawing/2014/main" id="{00000000-0008-0000-0200-0000A8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729" name="Line 8">
          <a:extLst>
            <a:ext uri="{FF2B5EF4-FFF2-40B4-BE49-F238E27FC236}">
              <a16:creationId xmlns:a16="http://schemas.microsoft.com/office/drawing/2014/main" id="{00000000-0008-0000-0200-0000A9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730" name="Line 9">
          <a:extLst>
            <a:ext uri="{FF2B5EF4-FFF2-40B4-BE49-F238E27FC236}">
              <a16:creationId xmlns:a16="http://schemas.microsoft.com/office/drawing/2014/main" id="{00000000-0008-0000-0200-0000AA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731" name="Line 10">
          <a:extLst>
            <a:ext uri="{FF2B5EF4-FFF2-40B4-BE49-F238E27FC236}">
              <a16:creationId xmlns:a16="http://schemas.microsoft.com/office/drawing/2014/main" id="{00000000-0008-0000-0200-0000AB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732" name="Line 11">
          <a:extLst>
            <a:ext uri="{FF2B5EF4-FFF2-40B4-BE49-F238E27FC236}">
              <a16:creationId xmlns:a16="http://schemas.microsoft.com/office/drawing/2014/main" id="{00000000-0008-0000-0200-0000AC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733" name="Line 12">
          <a:extLst>
            <a:ext uri="{FF2B5EF4-FFF2-40B4-BE49-F238E27FC236}">
              <a16:creationId xmlns:a16="http://schemas.microsoft.com/office/drawing/2014/main" id="{00000000-0008-0000-0200-0000AD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734" name="Line 13">
          <a:extLst>
            <a:ext uri="{FF2B5EF4-FFF2-40B4-BE49-F238E27FC236}">
              <a16:creationId xmlns:a16="http://schemas.microsoft.com/office/drawing/2014/main" id="{00000000-0008-0000-0200-0000AE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735" name="Line 14">
          <a:extLst>
            <a:ext uri="{FF2B5EF4-FFF2-40B4-BE49-F238E27FC236}">
              <a16:creationId xmlns:a16="http://schemas.microsoft.com/office/drawing/2014/main" id="{00000000-0008-0000-0200-0000AF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736" name="Line 15">
          <a:extLst>
            <a:ext uri="{FF2B5EF4-FFF2-40B4-BE49-F238E27FC236}">
              <a16:creationId xmlns:a16="http://schemas.microsoft.com/office/drawing/2014/main" id="{00000000-0008-0000-0200-0000B0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737" name="Line 16">
          <a:extLst>
            <a:ext uri="{FF2B5EF4-FFF2-40B4-BE49-F238E27FC236}">
              <a16:creationId xmlns:a16="http://schemas.microsoft.com/office/drawing/2014/main" id="{00000000-0008-0000-0200-0000B1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738" name="Line 17">
          <a:extLst>
            <a:ext uri="{FF2B5EF4-FFF2-40B4-BE49-F238E27FC236}">
              <a16:creationId xmlns:a16="http://schemas.microsoft.com/office/drawing/2014/main" id="{00000000-0008-0000-0200-0000B2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739" name="Line 18">
          <a:extLst>
            <a:ext uri="{FF2B5EF4-FFF2-40B4-BE49-F238E27FC236}">
              <a16:creationId xmlns:a16="http://schemas.microsoft.com/office/drawing/2014/main" id="{00000000-0008-0000-0200-0000B3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740" name="Line 19">
          <a:extLst>
            <a:ext uri="{FF2B5EF4-FFF2-40B4-BE49-F238E27FC236}">
              <a16:creationId xmlns:a16="http://schemas.microsoft.com/office/drawing/2014/main" id="{00000000-0008-0000-0200-0000B4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741" name="Line 20">
          <a:extLst>
            <a:ext uri="{FF2B5EF4-FFF2-40B4-BE49-F238E27FC236}">
              <a16:creationId xmlns:a16="http://schemas.microsoft.com/office/drawing/2014/main" id="{00000000-0008-0000-0200-0000B5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742" name="Line 21">
          <a:extLst>
            <a:ext uri="{FF2B5EF4-FFF2-40B4-BE49-F238E27FC236}">
              <a16:creationId xmlns:a16="http://schemas.microsoft.com/office/drawing/2014/main" id="{00000000-0008-0000-0200-0000B6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743" name="Line 22">
          <a:extLst>
            <a:ext uri="{FF2B5EF4-FFF2-40B4-BE49-F238E27FC236}">
              <a16:creationId xmlns:a16="http://schemas.microsoft.com/office/drawing/2014/main" id="{00000000-0008-0000-0200-0000B7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744" name="Line 23">
          <a:extLst>
            <a:ext uri="{FF2B5EF4-FFF2-40B4-BE49-F238E27FC236}">
              <a16:creationId xmlns:a16="http://schemas.microsoft.com/office/drawing/2014/main" id="{00000000-0008-0000-0200-0000B8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745" name="Line 24">
          <a:extLst>
            <a:ext uri="{FF2B5EF4-FFF2-40B4-BE49-F238E27FC236}">
              <a16:creationId xmlns:a16="http://schemas.microsoft.com/office/drawing/2014/main" id="{00000000-0008-0000-0200-0000B9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746" name="Line 25">
          <a:extLst>
            <a:ext uri="{FF2B5EF4-FFF2-40B4-BE49-F238E27FC236}">
              <a16:creationId xmlns:a16="http://schemas.microsoft.com/office/drawing/2014/main" id="{00000000-0008-0000-0200-0000BA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747" name="Line 26">
          <a:extLst>
            <a:ext uri="{FF2B5EF4-FFF2-40B4-BE49-F238E27FC236}">
              <a16:creationId xmlns:a16="http://schemas.microsoft.com/office/drawing/2014/main" id="{00000000-0008-0000-0200-0000BB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748" name="Line 27">
          <a:extLst>
            <a:ext uri="{FF2B5EF4-FFF2-40B4-BE49-F238E27FC236}">
              <a16:creationId xmlns:a16="http://schemas.microsoft.com/office/drawing/2014/main" id="{00000000-0008-0000-0200-0000BC0A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749" name="Line 28">
          <a:extLst>
            <a:ext uri="{FF2B5EF4-FFF2-40B4-BE49-F238E27FC236}">
              <a16:creationId xmlns:a16="http://schemas.microsoft.com/office/drawing/2014/main" id="{00000000-0008-0000-0200-0000BD0A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750" name="Line 29">
          <a:extLst>
            <a:ext uri="{FF2B5EF4-FFF2-40B4-BE49-F238E27FC236}">
              <a16:creationId xmlns:a16="http://schemas.microsoft.com/office/drawing/2014/main" id="{00000000-0008-0000-0200-0000BE0A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751" name="Line 30">
          <a:extLst>
            <a:ext uri="{FF2B5EF4-FFF2-40B4-BE49-F238E27FC236}">
              <a16:creationId xmlns:a16="http://schemas.microsoft.com/office/drawing/2014/main" id="{00000000-0008-0000-0200-0000BF0A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752" name="Line 31">
          <a:extLst>
            <a:ext uri="{FF2B5EF4-FFF2-40B4-BE49-F238E27FC236}">
              <a16:creationId xmlns:a16="http://schemas.microsoft.com/office/drawing/2014/main" id="{00000000-0008-0000-0200-0000C00A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753" name="Line 32">
          <a:extLst>
            <a:ext uri="{FF2B5EF4-FFF2-40B4-BE49-F238E27FC236}">
              <a16:creationId xmlns:a16="http://schemas.microsoft.com/office/drawing/2014/main" id="{00000000-0008-0000-0200-0000C10A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754" name="Line 33">
          <a:extLst>
            <a:ext uri="{FF2B5EF4-FFF2-40B4-BE49-F238E27FC236}">
              <a16:creationId xmlns:a16="http://schemas.microsoft.com/office/drawing/2014/main" id="{00000000-0008-0000-0200-0000C20A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755" name="Line 34">
          <a:extLst>
            <a:ext uri="{FF2B5EF4-FFF2-40B4-BE49-F238E27FC236}">
              <a16:creationId xmlns:a16="http://schemas.microsoft.com/office/drawing/2014/main" id="{00000000-0008-0000-0200-0000C30A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756" name="Line 35">
          <a:extLst>
            <a:ext uri="{FF2B5EF4-FFF2-40B4-BE49-F238E27FC236}">
              <a16:creationId xmlns:a16="http://schemas.microsoft.com/office/drawing/2014/main" id="{00000000-0008-0000-0200-0000C40A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757" name="Line 36">
          <a:extLst>
            <a:ext uri="{FF2B5EF4-FFF2-40B4-BE49-F238E27FC236}">
              <a16:creationId xmlns:a16="http://schemas.microsoft.com/office/drawing/2014/main" id="{00000000-0008-0000-0200-0000C50A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758" name="Line 37">
          <a:extLst>
            <a:ext uri="{FF2B5EF4-FFF2-40B4-BE49-F238E27FC236}">
              <a16:creationId xmlns:a16="http://schemas.microsoft.com/office/drawing/2014/main" id="{00000000-0008-0000-0200-0000C60A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759" name="Line 38">
          <a:extLst>
            <a:ext uri="{FF2B5EF4-FFF2-40B4-BE49-F238E27FC236}">
              <a16:creationId xmlns:a16="http://schemas.microsoft.com/office/drawing/2014/main" id="{00000000-0008-0000-0200-0000C70A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760" name="Line 39">
          <a:extLst>
            <a:ext uri="{FF2B5EF4-FFF2-40B4-BE49-F238E27FC236}">
              <a16:creationId xmlns:a16="http://schemas.microsoft.com/office/drawing/2014/main" id="{00000000-0008-0000-0200-0000C80A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761" name="Line 40">
          <a:extLst>
            <a:ext uri="{FF2B5EF4-FFF2-40B4-BE49-F238E27FC236}">
              <a16:creationId xmlns:a16="http://schemas.microsoft.com/office/drawing/2014/main" id="{00000000-0008-0000-0200-0000C90A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762" name="Line 41">
          <a:extLst>
            <a:ext uri="{FF2B5EF4-FFF2-40B4-BE49-F238E27FC236}">
              <a16:creationId xmlns:a16="http://schemas.microsoft.com/office/drawing/2014/main" id="{00000000-0008-0000-0200-0000CA0A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763" name="Rectangle 586">
          <a:extLst>
            <a:ext uri="{FF2B5EF4-FFF2-40B4-BE49-F238E27FC236}">
              <a16:creationId xmlns:a16="http://schemas.microsoft.com/office/drawing/2014/main" id="{00000000-0008-0000-0200-0000CB0A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764" name="Line 43">
          <a:extLst>
            <a:ext uri="{FF2B5EF4-FFF2-40B4-BE49-F238E27FC236}">
              <a16:creationId xmlns:a16="http://schemas.microsoft.com/office/drawing/2014/main" id="{00000000-0008-0000-0200-0000CC0A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765" name="Line 44">
          <a:extLst>
            <a:ext uri="{FF2B5EF4-FFF2-40B4-BE49-F238E27FC236}">
              <a16:creationId xmlns:a16="http://schemas.microsoft.com/office/drawing/2014/main" id="{00000000-0008-0000-0200-0000CD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766" name="Line 45">
          <a:extLst>
            <a:ext uri="{FF2B5EF4-FFF2-40B4-BE49-F238E27FC236}">
              <a16:creationId xmlns:a16="http://schemas.microsoft.com/office/drawing/2014/main" id="{00000000-0008-0000-0200-0000CE0A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767" name="Line 46">
          <a:extLst>
            <a:ext uri="{FF2B5EF4-FFF2-40B4-BE49-F238E27FC236}">
              <a16:creationId xmlns:a16="http://schemas.microsoft.com/office/drawing/2014/main" id="{00000000-0008-0000-0200-0000CF0A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768" name="Line 47">
          <a:extLst>
            <a:ext uri="{FF2B5EF4-FFF2-40B4-BE49-F238E27FC236}">
              <a16:creationId xmlns:a16="http://schemas.microsoft.com/office/drawing/2014/main" id="{00000000-0008-0000-0200-0000D00A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769" name="Line 48">
          <a:extLst>
            <a:ext uri="{FF2B5EF4-FFF2-40B4-BE49-F238E27FC236}">
              <a16:creationId xmlns:a16="http://schemas.microsoft.com/office/drawing/2014/main" id="{00000000-0008-0000-0200-0000D10A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770" name="Line 49">
          <a:extLst>
            <a:ext uri="{FF2B5EF4-FFF2-40B4-BE49-F238E27FC236}">
              <a16:creationId xmlns:a16="http://schemas.microsoft.com/office/drawing/2014/main" id="{00000000-0008-0000-0200-0000D20A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771" name="Line 50">
          <a:extLst>
            <a:ext uri="{FF2B5EF4-FFF2-40B4-BE49-F238E27FC236}">
              <a16:creationId xmlns:a16="http://schemas.microsoft.com/office/drawing/2014/main" id="{00000000-0008-0000-0200-0000D30A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772" name="Line 51">
          <a:extLst>
            <a:ext uri="{FF2B5EF4-FFF2-40B4-BE49-F238E27FC236}">
              <a16:creationId xmlns:a16="http://schemas.microsoft.com/office/drawing/2014/main" id="{00000000-0008-0000-0200-0000D40A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773" name="Line 52">
          <a:extLst>
            <a:ext uri="{FF2B5EF4-FFF2-40B4-BE49-F238E27FC236}">
              <a16:creationId xmlns:a16="http://schemas.microsoft.com/office/drawing/2014/main" id="{00000000-0008-0000-0200-0000D50A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774" name="Line 53">
          <a:extLst>
            <a:ext uri="{FF2B5EF4-FFF2-40B4-BE49-F238E27FC236}">
              <a16:creationId xmlns:a16="http://schemas.microsoft.com/office/drawing/2014/main" id="{00000000-0008-0000-0200-0000D60A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775" name="Line 54">
          <a:extLst>
            <a:ext uri="{FF2B5EF4-FFF2-40B4-BE49-F238E27FC236}">
              <a16:creationId xmlns:a16="http://schemas.microsoft.com/office/drawing/2014/main" id="{00000000-0008-0000-0200-0000D70A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776" name="Line 55">
          <a:extLst>
            <a:ext uri="{FF2B5EF4-FFF2-40B4-BE49-F238E27FC236}">
              <a16:creationId xmlns:a16="http://schemas.microsoft.com/office/drawing/2014/main" id="{00000000-0008-0000-0200-0000D80A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777" name="Line 56">
          <a:extLst>
            <a:ext uri="{FF2B5EF4-FFF2-40B4-BE49-F238E27FC236}">
              <a16:creationId xmlns:a16="http://schemas.microsoft.com/office/drawing/2014/main" id="{00000000-0008-0000-0200-0000D90A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778" name="Rectangle 601">
          <a:extLst>
            <a:ext uri="{FF2B5EF4-FFF2-40B4-BE49-F238E27FC236}">
              <a16:creationId xmlns:a16="http://schemas.microsoft.com/office/drawing/2014/main" id="{00000000-0008-0000-0200-0000DA0A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779" name="Line 58">
          <a:extLst>
            <a:ext uri="{FF2B5EF4-FFF2-40B4-BE49-F238E27FC236}">
              <a16:creationId xmlns:a16="http://schemas.microsoft.com/office/drawing/2014/main" id="{00000000-0008-0000-0200-0000DB0A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780" name="Line 59">
          <a:extLst>
            <a:ext uri="{FF2B5EF4-FFF2-40B4-BE49-F238E27FC236}">
              <a16:creationId xmlns:a16="http://schemas.microsoft.com/office/drawing/2014/main" id="{00000000-0008-0000-0200-0000DC0A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781" name="Line 60">
          <a:extLst>
            <a:ext uri="{FF2B5EF4-FFF2-40B4-BE49-F238E27FC236}">
              <a16:creationId xmlns:a16="http://schemas.microsoft.com/office/drawing/2014/main" id="{00000000-0008-0000-0200-0000DD0A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782" name="Line 61">
          <a:extLst>
            <a:ext uri="{FF2B5EF4-FFF2-40B4-BE49-F238E27FC236}">
              <a16:creationId xmlns:a16="http://schemas.microsoft.com/office/drawing/2014/main" id="{00000000-0008-0000-0200-0000DE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783" name="Line 62">
          <a:extLst>
            <a:ext uri="{FF2B5EF4-FFF2-40B4-BE49-F238E27FC236}">
              <a16:creationId xmlns:a16="http://schemas.microsoft.com/office/drawing/2014/main" id="{00000000-0008-0000-0200-0000DF0A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784" name="Line 63">
          <a:extLst>
            <a:ext uri="{FF2B5EF4-FFF2-40B4-BE49-F238E27FC236}">
              <a16:creationId xmlns:a16="http://schemas.microsoft.com/office/drawing/2014/main" id="{00000000-0008-0000-0200-0000E00A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785" name="Line 64">
          <a:extLst>
            <a:ext uri="{FF2B5EF4-FFF2-40B4-BE49-F238E27FC236}">
              <a16:creationId xmlns:a16="http://schemas.microsoft.com/office/drawing/2014/main" id="{00000000-0008-0000-0200-0000E10A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786" name="Line 65">
          <a:extLst>
            <a:ext uri="{FF2B5EF4-FFF2-40B4-BE49-F238E27FC236}">
              <a16:creationId xmlns:a16="http://schemas.microsoft.com/office/drawing/2014/main" id="{00000000-0008-0000-0200-0000E20A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787" name="Line 66">
          <a:extLst>
            <a:ext uri="{FF2B5EF4-FFF2-40B4-BE49-F238E27FC236}">
              <a16:creationId xmlns:a16="http://schemas.microsoft.com/office/drawing/2014/main" id="{00000000-0008-0000-0200-0000E30A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788" name="Line 67">
          <a:extLst>
            <a:ext uri="{FF2B5EF4-FFF2-40B4-BE49-F238E27FC236}">
              <a16:creationId xmlns:a16="http://schemas.microsoft.com/office/drawing/2014/main" id="{00000000-0008-0000-0200-0000E40A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789" name="Line 68">
          <a:extLst>
            <a:ext uri="{FF2B5EF4-FFF2-40B4-BE49-F238E27FC236}">
              <a16:creationId xmlns:a16="http://schemas.microsoft.com/office/drawing/2014/main" id="{00000000-0008-0000-0200-0000E50A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790" name="Line 1">
          <a:extLst>
            <a:ext uri="{FF2B5EF4-FFF2-40B4-BE49-F238E27FC236}">
              <a16:creationId xmlns:a16="http://schemas.microsoft.com/office/drawing/2014/main" id="{00000000-0008-0000-0200-0000E60A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791" name="Drawing 16">
          <a:extLst>
            <a:ext uri="{FF2B5EF4-FFF2-40B4-BE49-F238E27FC236}">
              <a16:creationId xmlns:a16="http://schemas.microsoft.com/office/drawing/2014/main" id="{00000000-0008-0000-0200-0000E70A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792" name="Line 3">
          <a:extLst>
            <a:ext uri="{FF2B5EF4-FFF2-40B4-BE49-F238E27FC236}">
              <a16:creationId xmlns:a16="http://schemas.microsoft.com/office/drawing/2014/main" id="{00000000-0008-0000-0200-0000E80A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793" name="Line 4">
          <a:extLst>
            <a:ext uri="{FF2B5EF4-FFF2-40B4-BE49-F238E27FC236}">
              <a16:creationId xmlns:a16="http://schemas.microsoft.com/office/drawing/2014/main" id="{00000000-0008-0000-0200-0000E90A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794" name="Line 5">
          <a:extLst>
            <a:ext uri="{FF2B5EF4-FFF2-40B4-BE49-F238E27FC236}">
              <a16:creationId xmlns:a16="http://schemas.microsoft.com/office/drawing/2014/main" id="{00000000-0008-0000-0200-0000EA0A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795" name="Line 6">
          <a:extLst>
            <a:ext uri="{FF2B5EF4-FFF2-40B4-BE49-F238E27FC236}">
              <a16:creationId xmlns:a16="http://schemas.microsoft.com/office/drawing/2014/main" id="{00000000-0008-0000-0200-0000EB0A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796" name="Line 7">
          <a:extLst>
            <a:ext uri="{FF2B5EF4-FFF2-40B4-BE49-F238E27FC236}">
              <a16:creationId xmlns:a16="http://schemas.microsoft.com/office/drawing/2014/main" id="{00000000-0008-0000-0200-0000EC0A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797" name="Line 8">
          <a:extLst>
            <a:ext uri="{FF2B5EF4-FFF2-40B4-BE49-F238E27FC236}">
              <a16:creationId xmlns:a16="http://schemas.microsoft.com/office/drawing/2014/main" id="{00000000-0008-0000-0200-0000ED0A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798" name="Line 9">
          <a:extLst>
            <a:ext uri="{FF2B5EF4-FFF2-40B4-BE49-F238E27FC236}">
              <a16:creationId xmlns:a16="http://schemas.microsoft.com/office/drawing/2014/main" id="{00000000-0008-0000-0200-0000EE0A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799" name="Line 10">
          <a:extLst>
            <a:ext uri="{FF2B5EF4-FFF2-40B4-BE49-F238E27FC236}">
              <a16:creationId xmlns:a16="http://schemas.microsoft.com/office/drawing/2014/main" id="{00000000-0008-0000-0200-0000EF0A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800" name="Line 11">
          <a:extLst>
            <a:ext uri="{FF2B5EF4-FFF2-40B4-BE49-F238E27FC236}">
              <a16:creationId xmlns:a16="http://schemas.microsoft.com/office/drawing/2014/main" id="{00000000-0008-0000-0200-0000F00A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801" name="Line 12">
          <a:extLst>
            <a:ext uri="{FF2B5EF4-FFF2-40B4-BE49-F238E27FC236}">
              <a16:creationId xmlns:a16="http://schemas.microsoft.com/office/drawing/2014/main" id="{00000000-0008-0000-0200-0000F10A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802" name="Line 13">
          <a:extLst>
            <a:ext uri="{FF2B5EF4-FFF2-40B4-BE49-F238E27FC236}">
              <a16:creationId xmlns:a16="http://schemas.microsoft.com/office/drawing/2014/main" id="{00000000-0008-0000-0200-0000F20A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03" name="Line 14">
          <a:extLst>
            <a:ext uri="{FF2B5EF4-FFF2-40B4-BE49-F238E27FC236}">
              <a16:creationId xmlns:a16="http://schemas.microsoft.com/office/drawing/2014/main" id="{00000000-0008-0000-0200-0000F30A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804" name="Line 15">
          <a:extLst>
            <a:ext uri="{FF2B5EF4-FFF2-40B4-BE49-F238E27FC236}">
              <a16:creationId xmlns:a16="http://schemas.microsoft.com/office/drawing/2014/main" id="{00000000-0008-0000-0200-0000F40A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05" name="Line 16">
          <a:extLst>
            <a:ext uri="{FF2B5EF4-FFF2-40B4-BE49-F238E27FC236}">
              <a16:creationId xmlns:a16="http://schemas.microsoft.com/office/drawing/2014/main" id="{00000000-0008-0000-0200-0000F50A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806" name="Line 17">
          <a:extLst>
            <a:ext uri="{FF2B5EF4-FFF2-40B4-BE49-F238E27FC236}">
              <a16:creationId xmlns:a16="http://schemas.microsoft.com/office/drawing/2014/main" id="{00000000-0008-0000-0200-0000F60A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807" name="Line 18">
          <a:extLst>
            <a:ext uri="{FF2B5EF4-FFF2-40B4-BE49-F238E27FC236}">
              <a16:creationId xmlns:a16="http://schemas.microsoft.com/office/drawing/2014/main" id="{00000000-0008-0000-0200-0000F70A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808" name="Line 19">
          <a:extLst>
            <a:ext uri="{FF2B5EF4-FFF2-40B4-BE49-F238E27FC236}">
              <a16:creationId xmlns:a16="http://schemas.microsoft.com/office/drawing/2014/main" id="{00000000-0008-0000-0200-0000F80A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809" name="Line 20">
          <a:extLst>
            <a:ext uri="{FF2B5EF4-FFF2-40B4-BE49-F238E27FC236}">
              <a16:creationId xmlns:a16="http://schemas.microsoft.com/office/drawing/2014/main" id="{00000000-0008-0000-0200-0000F90A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810" name="Line 21">
          <a:extLst>
            <a:ext uri="{FF2B5EF4-FFF2-40B4-BE49-F238E27FC236}">
              <a16:creationId xmlns:a16="http://schemas.microsoft.com/office/drawing/2014/main" id="{00000000-0008-0000-0200-0000FA0A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811" name="Line 22">
          <a:extLst>
            <a:ext uri="{FF2B5EF4-FFF2-40B4-BE49-F238E27FC236}">
              <a16:creationId xmlns:a16="http://schemas.microsoft.com/office/drawing/2014/main" id="{00000000-0008-0000-0200-0000FB0A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812" name="Line 23">
          <a:extLst>
            <a:ext uri="{FF2B5EF4-FFF2-40B4-BE49-F238E27FC236}">
              <a16:creationId xmlns:a16="http://schemas.microsoft.com/office/drawing/2014/main" id="{00000000-0008-0000-0200-0000FC0A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813" name="Line 24">
          <a:extLst>
            <a:ext uri="{FF2B5EF4-FFF2-40B4-BE49-F238E27FC236}">
              <a16:creationId xmlns:a16="http://schemas.microsoft.com/office/drawing/2014/main" id="{00000000-0008-0000-0200-0000FD0A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814" name="Line 25">
          <a:extLst>
            <a:ext uri="{FF2B5EF4-FFF2-40B4-BE49-F238E27FC236}">
              <a16:creationId xmlns:a16="http://schemas.microsoft.com/office/drawing/2014/main" id="{00000000-0008-0000-0200-0000FE0A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815" name="Line 26">
          <a:extLst>
            <a:ext uri="{FF2B5EF4-FFF2-40B4-BE49-F238E27FC236}">
              <a16:creationId xmlns:a16="http://schemas.microsoft.com/office/drawing/2014/main" id="{00000000-0008-0000-0200-0000FF0A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816" name="Line 27">
          <a:extLst>
            <a:ext uri="{FF2B5EF4-FFF2-40B4-BE49-F238E27FC236}">
              <a16:creationId xmlns:a16="http://schemas.microsoft.com/office/drawing/2014/main" id="{00000000-0008-0000-0200-000000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817" name="Line 28">
          <a:extLst>
            <a:ext uri="{FF2B5EF4-FFF2-40B4-BE49-F238E27FC236}">
              <a16:creationId xmlns:a16="http://schemas.microsoft.com/office/drawing/2014/main" id="{00000000-0008-0000-0200-000001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818" name="Line 29">
          <a:extLst>
            <a:ext uri="{FF2B5EF4-FFF2-40B4-BE49-F238E27FC236}">
              <a16:creationId xmlns:a16="http://schemas.microsoft.com/office/drawing/2014/main" id="{00000000-0008-0000-0200-000002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819" name="Line 30">
          <a:extLst>
            <a:ext uri="{FF2B5EF4-FFF2-40B4-BE49-F238E27FC236}">
              <a16:creationId xmlns:a16="http://schemas.microsoft.com/office/drawing/2014/main" id="{00000000-0008-0000-0200-000003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820" name="Line 31">
          <a:extLst>
            <a:ext uri="{FF2B5EF4-FFF2-40B4-BE49-F238E27FC236}">
              <a16:creationId xmlns:a16="http://schemas.microsoft.com/office/drawing/2014/main" id="{00000000-0008-0000-0200-000004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821" name="Line 32">
          <a:extLst>
            <a:ext uri="{FF2B5EF4-FFF2-40B4-BE49-F238E27FC236}">
              <a16:creationId xmlns:a16="http://schemas.microsoft.com/office/drawing/2014/main" id="{00000000-0008-0000-0200-000005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822" name="Line 33">
          <a:extLst>
            <a:ext uri="{FF2B5EF4-FFF2-40B4-BE49-F238E27FC236}">
              <a16:creationId xmlns:a16="http://schemas.microsoft.com/office/drawing/2014/main" id="{00000000-0008-0000-0200-000006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823" name="Line 34">
          <a:extLst>
            <a:ext uri="{FF2B5EF4-FFF2-40B4-BE49-F238E27FC236}">
              <a16:creationId xmlns:a16="http://schemas.microsoft.com/office/drawing/2014/main" id="{00000000-0008-0000-0200-000007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824" name="Line 35">
          <a:extLst>
            <a:ext uri="{FF2B5EF4-FFF2-40B4-BE49-F238E27FC236}">
              <a16:creationId xmlns:a16="http://schemas.microsoft.com/office/drawing/2014/main" id="{00000000-0008-0000-0200-000008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825" name="Line 36">
          <a:extLst>
            <a:ext uri="{FF2B5EF4-FFF2-40B4-BE49-F238E27FC236}">
              <a16:creationId xmlns:a16="http://schemas.microsoft.com/office/drawing/2014/main" id="{00000000-0008-0000-0200-000009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826" name="Line 37">
          <a:extLst>
            <a:ext uri="{FF2B5EF4-FFF2-40B4-BE49-F238E27FC236}">
              <a16:creationId xmlns:a16="http://schemas.microsoft.com/office/drawing/2014/main" id="{00000000-0008-0000-0200-00000A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827" name="Line 38">
          <a:extLst>
            <a:ext uri="{FF2B5EF4-FFF2-40B4-BE49-F238E27FC236}">
              <a16:creationId xmlns:a16="http://schemas.microsoft.com/office/drawing/2014/main" id="{00000000-0008-0000-0200-00000B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828" name="Line 39">
          <a:extLst>
            <a:ext uri="{FF2B5EF4-FFF2-40B4-BE49-F238E27FC236}">
              <a16:creationId xmlns:a16="http://schemas.microsoft.com/office/drawing/2014/main" id="{00000000-0008-0000-0200-00000C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829" name="Line 40">
          <a:extLst>
            <a:ext uri="{FF2B5EF4-FFF2-40B4-BE49-F238E27FC236}">
              <a16:creationId xmlns:a16="http://schemas.microsoft.com/office/drawing/2014/main" id="{00000000-0008-0000-0200-00000D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830" name="Line 41">
          <a:extLst>
            <a:ext uri="{FF2B5EF4-FFF2-40B4-BE49-F238E27FC236}">
              <a16:creationId xmlns:a16="http://schemas.microsoft.com/office/drawing/2014/main" id="{00000000-0008-0000-0200-00000E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831" name="Rectangle 42">
          <a:extLst>
            <a:ext uri="{FF2B5EF4-FFF2-40B4-BE49-F238E27FC236}">
              <a16:creationId xmlns:a16="http://schemas.microsoft.com/office/drawing/2014/main" id="{00000000-0008-0000-0200-00000F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832" name="Line 43">
          <a:extLst>
            <a:ext uri="{FF2B5EF4-FFF2-40B4-BE49-F238E27FC236}">
              <a16:creationId xmlns:a16="http://schemas.microsoft.com/office/drawing/2014/main" id="{00000000-0008-0000-0200-000010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833" name="Line 44">
          <a:extLst>
            <a:ext uri="{FF2B5EF4-FFF2-40B4-BE49-F238E27FC236}">
              <a16:creationId xmlns:a16="http://schemas.microsoft.com/office/drawing/2014/main" id="{00000000-0008-0000-0200-000011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834" name="Line 45">
          <a:extLst>
            <a:ext uri="{FF2B5EF4-FFF2-40B4-BE49-F238E27FC236}">
              <a16:creationId xmlns:a16="http://schemas.microsoft.com/office/drawing/2014/main" id="{00000000-0008-0000-0200-000012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835" name="Line 46">
          <a:extLst>
            <a:ext uri="{FF2B5EF4-FFF2-40B4-BE49-F238E27FC236}">
              <a16:creationId xmlns:a16="http://schemas.microsoft.com/office/drawing/2014/main" id="{00000000-0008-0000-0200-000013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836" name="Line 47">
          <a:extLst>
            <a:ext uri="{FF2B5EF4-FFF2-40B4-BE49-F238E27FC236}">
              <a16:creationId xmlns:a16="http://schemas.microsoft.com/office/drawing/2014/main" id="{00000000-0008-0000-0200-000014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837" name="Line 48">
          <a:extLst>
            <a:ext uri="{FF2B5EF4-FFF2-40B4-BE49-F238E27FC236}">
              <a16:creationId xmlns:a16="http://schemas.microsoft.com/office/drawing/2014/main" id="{00000000-0008-0000-0200-000015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838" name="Line 49">
          <a:extLst>
            <a:ext uri="{FF2B5EF4-FFF2-40B4-BE49-F238E27FC236}">
              <a16:creationId xmlns:a16="http://schemas.microsoft.com/office/drawing/2014/main" id="{00000000-0008-0000-0200-000016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839" name="Line 50">
          <a:extLst>
            <a:ext uri="{FF2B5EF4-FFF2-40B4-BE49-F238E27FC236}">
              <a16:creationId xmlns:a16="http://schemas.microsoft.com/office/drawing/2014/main" id="{00000000-0008-0000-0200-000017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840" name="Line 51">
          <a:extLst>
            <a:ext uri="{FF2B5EF4-FFF2-40B4-BE49-F238E27FC236}">
              <a16:creationId xmlns:a16="http://schemas.microsoft.com/office/drawing/2014/main" id="{00000000-0008-0000-0200-000018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841" name="Line 52">
          <a:extLst>
            <a:ext uri="{FF2B5EF4-FFF2-40B4-BE49-F238E27FC236}">
              <a16:creationId xmlns:a16="http://schemas.microsoft.com/office/drawing/2014/main" id="{00000000-0008-0000-0200-000019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842" name="Line 53">
          <a:extLst>
            <a:ext uri="{FF2B5EF4-FFF2-40B4-BE49-F238E27FC236}">
              <a16:creationId xmlns:a16="http://schemas.microsoft.com/office/drawing/2014/main" id="{00000000-0008-0000-0200-00001A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843" name="Line 54">
          <a:extLst>
            <a:ext uri="{FF2B5EF4-FFF2-40B4-BE49-F238E27FC236}">
              <a16:creationId xmlns:a16="http://schemas.microsoft.com/office/drawing/2014/main" id="{00000000-0008-0000-0200-00001B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844" name="Line 55">
          <a:extLst>
            <a:ext uri="{FF2B5EF4-FFF2-40B4-BE49-F238E27FC236}">
              <a16:creationId xmlns:a16="http://schemas.microsoft.com/office/drawing/2014/main" id="{00000000-0008-0000-0200-00001C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845" name="Line 56">
          <a:extLst>
            <a:ext uri="{FF2B5EF4-FFF2-40B4-BE49-F238E27FC236}">
              <a16:creationId xmlns:a16="http://schemas.microsoft.com/office/drawing/2014/main" id="{00000000-0008-0000-0200-00001D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846" name="Rectangle 57">
          <a:extLst>
            <a:ext uri="{FF2B5EF4-FFF2-40B4-BE49-F238E27FC236}">
              <a16:creationId xmlns:a16="http://schemas.microsoft.com/office/drawing/2014/main" id="{00000000-0008-0000-0200-00001E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847" name="Line 58">
          <a:extLst>
            <a:ext uri="{FF2B5EF4-FFF2-40B4-BE49-F238E27FC236}">
              <a16:creationId xmlns:a16="http://schemas.microsoft.com/office/drawing/2014/main" id="{00000000-0008-0000-0200-00001F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848" name="Line 59">
          <a:extLst>
            <a:ext uri="{FF2B5EF4-FFF2-40B4-BE49-F238E27FC236}">
              <a16:creationId xmlns:a16="http://schemas.microsoft.com/office/drawing/2014/main" id="{00000000-0008-0000-0200-000020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849" name="Line 60">
          <a:extLst>
            <a:ext uri="{FF2B5EF4-FFF2-40B4-BE49-F238E27FC236}">
              <a16:creationId xmlns:a16="http://schemas.microsoft.com/office/drawing/2014/main" id="{00000000-0008-0000-0200-000021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850" name="Line 61">
          <a:extLst>
            <a:ext uri="{FF2B5EF4-FFF2-40B4-BE49-F238E27FC236}">
              <a16:creationId xmlns:a16="http://schemas.microsoft.com/office/drawing/2014/main" id="{00000000-0008-0000-0200-000022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851" name="Line 62">
          <a:extLst>
            <a:ext uri="{FF2B5EF4-FFF2-40B4-BE49-F238E27FC236}">
              <a16:creationId xmlns:a16="http://schemas.microsoft.com/office/drawing/2014/main" id="{00000000-0008-0000-0200-000023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852" name="Line 63">
          <a:extLst>
            <a:ext uri="{FF2B5EF4-FFF2-40B4-BE49-F238E27FC236}">
              <a16:creationId xmlns:a16="http://schemas.microsoft.com/office/drawing/2014/main" id="{00000000-0008-0000-0200-000024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853" name="Line 64">
          <a:extLst>
            <a:ext uri="{FF2B5EF4-FFF2-40B4-BE49-F238E27FC236}">
              <a16:creationId xmlns:a16="http://schemas.microsoft.com/office/drawing/2014/main" id="{00000000-0008-0000-0200-000025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854" name="Line 65">
          <a:extLst>
            <a:ext uri="{FF2B5EF4-FFF2-40B4-BE49-F238E27FC236}">
              <a16:creationId xmlns:a16="http://schemas.microsoft.com/office/drawing/2014/main" id="{00000000-0008-0000-0200-000026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855" name="Line 66">
          <a:extLst>
            <a:ext uri="{FF2B5EF4-FFF2-40B4-BE49-F238E27FC236}">
              <a16:creationId xmlns:a16="http://schemas.microsoft.com/office/drawing/2014/main" id="{00000000-0008-0000-0200-000027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856" name="Line 67">
          <a:extLst>
            <a:ext uri="{FF2B5EF4-FFF2-40B4-BE49-F238E27FC236}">
              <a16:creationId xmlns:a16="http://schemas.microsoft.com/office/drawing/2014/main" id="{00000000-0008-0000-0200-000028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857" name="Line 68">
          <a:extLst>
            <a:ext uri="{FF2B5EF4-FFF2-40B4-BE49-F238E27FC236}">
              <a16:creationId xmlns:a16="http://schemas.microsoft.com/office/drawing/2014/main" id="{00000000-0008-0000-0200-000029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858" name="Line 1">
          <a:extLst>
            <a:ext uri="{FF2B5EF4-FFF2-40B4-BE49-F238E27FC236}">
              <a16:creationId xmlns:a16="http://schemas.microsoft.com/office/drawing/2014/main" id="{00000000-0008-0000-0200-00002A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859" name="Drawing 16">
          <a:extLst>
            <a:ext uri="{FF2B5EF4-FFF2-40B4-BE49-F238E27FC236}">
              <a16:creationId xmlns:a16="http://schemas.microsoft.com/office/drawing/2014/main" id="{00000000-0008-0000-0200-00002B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860" name="Line 3">
          <a:extLst>
            <a:ext uri="{FF2B5EF4-FFF2-40B4-BE49-F238E27FC236}">
              <a16:creationId xmlns:a16="http://schemas.microsoft.com/office/drawing/2014/main" id="{00000000-0008-0000-0200-00002C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861" name="Line 4">
          <a:extLst>
            <a:ext uri="{FF2B5EF4-FFF2-40B4-BE49-F238E27FC236}">
              <a16:creationId xmlns:a16="http://schemas.microsoft.com/office/drawing/2014/main" id="{00000000-0008-0000-0200-00002D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862" name="Line 5">
          <a:extLst>
            <a:ext uri="{FF2B5EF4-FFF2-40B4-BE49-F238E27FC236}">
              <a16:creationId xmlns:a16="http://schemas.microsoft.com/office/drawing/2014/main" id="{00000000-0008-0000-0200-00002E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863" name="Line 6">
          <a:extLst>
            <a:ext uri="{FF2B5EF4-FFF2-40B4-BE49-F238E27FC236}">
              <a16:creationId xmlns:a16="http://schemas.microsoft.com/office/drawing/2014/main" id="{00000000-0008-0000-0200-00002F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864" name="Line 7">
          <a:extLst>
            <a:ext uri="{FF2B5EF4-FFF2-40B4-BE49-F238E27FC236}">
              <a16:creationId xmlns:a16="http://schemas.microsoft.com/office/drawing/2014/main" id="{00000000-0008-0000-0200-000030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865" name="Line 8">
          <a:extLst>
            <a:ext uri="{FF2B5EF4-FFF2-40B4-BE49-F238E27FC236}">
              <a16:creationId xmlns:a16="http://schemas.microsoft.com/office/drawing/2014/main" id="{00000000-0008-0000-0200-000031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866" name="Line 9">
          <a:extLst>
            <a:ext uri="{FF2B5EF4-FFF2-40B4-BE49-F238E27FC236}">
              <a16:creationId xmlns:a16="http://schemas.microsoft.com/office/drawing/2014/main" id="{00000000-0008-0000-0200-000032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867" name="Line 10">
          <a:extLst>
            <a:ext uri="{FF2B5EF4-FFF2-40B4-BE49-F238E27FC236}">
              <a16:creationId xmlns:a16="http://schemas.microsoft.com/office/drawing/2014/main" id="{00000000-0008-0000-0200-000033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868" name="Line 11">
          <a:extLst>
            <a:ext uri="{FF2B5EF4-FFF2-40B4-BE49-F238E27FC236}">
              <a16:creationId xmlns:a16="http://schemas.microsoft.com/office/drawing/2014/main" id="{00000000-0008-0000-0200-0000340B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869" name="Line 12">
          <a:extLst>
            <a:ext uri="{FF2B5EF4-FFF2-40B4-BE49-F238E27FC236}">
              <a16:creationId xmlns:a16="http://schemas.microsoft.com/office/drawing/2014/main" id="{00000000-0008-0000-0200-0000350B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870" name="Line 13">
          <a:extLst>
            <a:ext uri="{FF2B5EF4-FFF2-40B4-BE49-F238E27FC236}">
              <a16:creationId xmlns:a16="http://schemas.microsoft.com/office/drawing/2014/main" id="{00000000-0008-0000-0200-0000360B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71" name="Line 14">
          <a:extLst>
            <a:ext uri="{FF2B5EF4-FFF2-40B4-BE49-F238E27FC236}">
              <a16:creationId xmlns:a16="http://schemas.microsoft.com/office/drawing/2014/main" id="{00000000-0008-0000-0200-0000370B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872" name="Line 15">
          <a:extLst>
            <a:ext uri="{FF2B5EF4-FFF2-40B4-BE49-F238E27FC236}">
              <a16:creationId xmlns:a16="http://schemas.microsoft.com/office/drawing/2014/main" id="{00000000-0008-0000-0200-0000380B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873" name="Line 16">
          <a:extLst>
            <a:ext uri="{FF2B5EF4-FFF2-40B4-BE49-F238E27FC236}">
              <a16:creationId xmlns:a16="http://schemas.microsoft.com/office/drawing/2014/main" id="{00000000-0008-0000-0200-0000390B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874" name="Line 17">
          <a:extLst>
            <a:ext uri="{FF2B5EF4-FFF2-40B4-BE49-F238E27FC236}">
              <a16:creationId xmlns:a16="http://schemas.microsoft.com/office/drawing/2014/main" id="{00000000-0008-0000-0200-00003A0B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875" name="Line 18">
          <a:extLst>
            <a:ext uri="{FF2B5EF4-FFF2-40B4-BE49-F238E27FC236}">
              <a16:creationId xmlns:a16="http://schemas.microsoft.com/office/drawing/2014/main" id="{00000000-0008-0000-0200-00003B0B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876" name="Line 19">
          <a:extLst>
            <a:ext uri="{FF2B5EF4-FFF2-40B4-BE49-F238E27FC236}">
              <a16:creationId xmlns:a16="http://schemas.microsoft.com/office/drawing/2014/main" id="{00000000-0008-0000-0200-00003C0B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877" name="Line 20">
          <a:extLst>
            <a:ext uri="{FF2B5EF4-FFF2-40B4-BE49-F238E27FC236}">
              <a16:creationId xmlns:a16="http://schemas.microsoft.com/office/drawing/2014/main" id="{00000000-0008-0000-0200-00003D0B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878" name="Line 21">
          <a:extLst>
            <a:ext uri="{FF2B5EF4-FFF2-40B4-BE49-F238E27FC236}">
              <a16:creationId xmlns:a16="http://schemas.microsoft.com/office/drawing/2014/main" id="{00000000-0008-0000-0200-00003E0B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879" name="Line 22">
          <a:extLst>
            <a:ext uri="{FF2B5EF4-FFF2-40B4-BE49-F238E27FC236}">
              <a16:creationId xmlns:a16="http://schemas.microsoft.com/office/drawing/2014/main" id="{00000000-0008-0000-0200-00003F0B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880" name="Line 23">
          <a:extLst>
            <a:ext uri="{FF2B5EF4-FFF2-40B4-BE49-F238E27FC236}">
              <a16:creationId xmlns:a16="http://schemas.microsoft.com/office/drawing/2014/main" id="{00000000-0008-0000-0200-0000400B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881" name="Line 24">
          <a:extLst>
            <a:ext uri="{FF2B5EF4-FFF2-40B4-BE49-F238E27FC236}">
              <a16:creationId xmlns:a16="http://schemas.microsoft.com/office/drawing/2014/main" id="{00000000-0008-0000-0200-0000410B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882" name="Line 25">
          <a:extLst>
            <a:ext uri="{FF2B5EF4-FFF2-40B4-BE49-F238E27FC236}">
              <a16:creationId xmlns:a16="http://schemas.microsoft.com/office/drawing/2014/main" id="{00000000-0008-0000-0200-0000420B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883" name="Line 26">
          <a:extLst>
            <a:ext uri="{FF2B5EF4-FFF2-40B4-BE49-F238E27FC236}">
              <a16:creationId xmlns:a16="http://schemas.microsoft.com/office/drawing/2014/main" id="{00000000-0008-0000-0200-0000430B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884" name="Line 27">
          <a:extLst>
            <a:ext uri="{FF2B5EF4-FFF2-40B4-BE49-F238E27FC236}">
              <a16:creationId xmlns:a16="http://schemas.microsoft.com/office/drawing/2014/main" id="{00000000-0008-0000-0200-000044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885" name="Line 28">
          <a:extLst>
            <a:ext uri="{FF2B5EF4-FFF2-40B4-BE49-F238E27FC236}">
              <a16:creationId xmlns:a16="http://schemas.microsoft.com/office/drawing/2014/main" id="{00000000-0008-0000-0200-000045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886" name="Line 29">
          <a:extLst>
            <a:ext uri="{FF2B5EF4-FFF2-40B4-BE49-F238E27FC236}">
              <a16:creationId xmlns:a16="http://schemas.microsoft.com/office/drawing/2014/main" id="{00000000-0008-0000-0200-000046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887" name="Line 30">
          <a:extLst>
            <a:ext uri="{FF2B5EF4-FFF2-40B4-BE49-F238E27FC236}">
              <a16:creationId xmlns:a16="http://schemas.microsoft.com/office/drawing/2014/main" id="{00000000-0008-0000-0200-000047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888" name="Line 31">
          <a:extLst>
            <a:ext uri="{FF2B5EF4-FFF2-40B4-BE49-F238E27FC236}">
              <a16:creationId xmlns:a16="http://schemas.microsoft.com/office/drawing/2014/main" id="{00000000-0008-0000-0200-000048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889" name="Line 32">
          <a:extLst>
            <a:ext uri="{FF2B5EF4-FFF2-40B4-BE49-F238E27FC236}">
              <a16:creationId xmlns:a16="http://schemas.microsoft.com/office/drawing/2014/main" id="{00000000-0008-0000-0200-000049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890" name="Line 33">
          <a:extLst>
            <a:ext uri="{FF2B5EF4-FFF2-40B4-BE49-F238E27FC236}">
              <a16:creationId xmlns:a16="http://schemas.microsoft.com/office/drawing/2014/main" id="{00000000-0008-0000-0200-00004A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891" name="Line 34">
          <a:extLst>
            <a:ext uri="{FF2B5EF4-FFF2-40B4-BE49-F238E27FC236}">
              <a16:creationId xmlns:a16="http://schemas.microsoft.com/office/drawing/2014/main" id="{00000000-0008-0000-0200-00004B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892" name="Line 35">
          <a:extLst>
            <a:ext uri="{FF2B5EF4-FFF2-40B4-BE49-F238E27FC236}">
              <a16:creationId xmlns:a16="http://schemas.microsoft.com/office/drawing/2014/main" id="{00000000-0008-0000-0200-00004C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893" name="Line 36">
          <a:extLst>
            <a:ext uri="{FF2B5EF4-FFF2-40B4-BE49-F238E27FC236}">
              <a16:creationId xmlns:a16="http://schemas.microsoft.com/office/drawing/2014/main" id="{00000000-0008-0000-0200-00004D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894" name="Line 37">
          <a:extLst>
            <a:ext uri="{FF2B5EF4-FFF2-40B4-BE49-F238E27FC236}">
              <a16:creationId xmlns:a16="http://schemas.microsoft.com/office/drawing/2014/main" id="{00000000-0008-0000-0200-00004E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895" name="Line 38">
          <a:extLst>
            <a:ext uri="{FF2B5EF4-FFF2-40B4-BE49-F238E27FC236}">
              <a16:creationId xmlns:a16="http://schemas.microsoft.com/office/drawing/2014/main" id="{00000000-0008-0000-0200-00004F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896" name="Line 39">
          <a:extLst>
            <a:ext uri="{FF2B5EF4-FFF2-40B4-BE49-F238E27FC236}">
              <a16:creationId xmlns:a16="http://schemas.microsoft.com/office/drawing/2014/main" id="{00000000-0008-0000-0200-000050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897" name="Line 40">
          <a:extLst>
            <a:ext uri="{FF2B5EF4-FFF2-40B4-BE49-F238E27FC236}">
              <a16:creationId xmlns:a16="http://schemas.microsoft.com/office/drawing/2014/main" id="{00000000-0008-0000-0200-000051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898" name="Line 41">
          <a:extLst>
            <a:ext uri="{FF2B5EF4-FFF2-40B4-BE49-F238E27FC236}">
              <a16:creationId xmlns:a16="http://schemas.microsoft.com/office/drawing/2014/main" id="{00000000-0008-0000-0200-000052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899" name="Rectangle 42">
          <a:extLst>
            <a:ext uri="{FF2B5EF4-FFF2-40B4-BE49-F238E27FC236}">
              <a16:creationId xmlns:a16="http://schemas.microsoft.com/office/drawing/2014/main" id="{00000000-0008-0000-0200-000053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00" name="Line 43">
          <a:extLst>
            <a:ext uri="{FF2B5EF4-FFF2-40B4-BE49-F238E27FC236}">
              <a16:creationId xmlns:a16="http://schemas.microsoft.com/office/drawing/2014/main" id="{00000000-0008-0000-0200-000054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01" name="Line 44">
          <a:extLst>
            <a:ext uri="{FF2B5EF4-FFF2-40B4-BE49-F238E27FC236}">
              <a16:creationId xmlns:a16="http://schemas.microsoft.com/office/drawing/2014/main" id="{00000000-0008-0000-0200-000055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902" name="Line 45">
          <a:extLst>
            <a:ext uri="{FF2B5EF4-FFF2-40B4-BE49-F238E27FC236}">
              <a16:creationId xmlns:a16="http://schemas.microsoft.com/office/drawing/2014/main" id="{00000000-0008-0000-0200-000056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903" name="Line 46">
          <a:extLst>
            <a:ext uri="{FF2B5EF4-FFF2-40B4-BE49-F238E27FC236}">
              <a16:creationId xmlns:a16="http://schemas.microsoft.com/office/drawing/2014/main" id="{00000000-0008-0000-0200-000057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904" name="Line 47">
          <a:extLst>
            <a:ext uri="{FF2B5EF4-FFF2-40B4-BE49-F238E27FC236}">
              <a16:creationId xmlns:a16="http://schemas.microsoft.com/office/drawing/2014/main" id="{00000000-0008-0000-0200-000058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905" name="Line 48">
          <a:extLst>
            <a:ext uri="{FF2B5EF4-FFF2-40B4-BE49-F238E27FC236}">
              <a16:creationId xmlns:a16="http://schemas.microsoft.com/office/drawing/2014/main" id="{00000000-0008-0000-0200-000059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906" name="Line 49">
          <a:extLst>
            <a:ext uri="{FF2B5EF4-FFF2-40B4-BE49-F238E27FC236}">
              <a16:creationId xmlns:a16="http://schemas.microsoft.com/office/drawing/2014/main" id="{00000000-0008-0000-0200-00005A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907" name="Line 50">
          <a:extLst>
            <a:ext uri="{FF2B5EF4-FFF2-40B4-BE49-F238E27FC236}">
              <a16:creationId xmlns:a16="http://schemas.microsoft.com/office/drawing/2014/main" id="{00000000-0008-0000-0200-00005B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908" name="Line 51">
          <a:extLst>
            <a:ext uri="{FF2B5EF4-FFF2-40B4-BE49-F238E27FC236}">
              <a16:creationId xmlns:a16="http://schemas.microsoft.com/office/drawing/2014/main" id="{00000000-0008-0000-0200-00005C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909" name="Line 52">
          <a:extLst>
            <a:ext uri="{FF2B5EF4-FFF2-40B4-BE49-F238E27FC236}">
              <a16:creationId xmlns:a16="http://schemas.microsoft.com/office/drawing/2014/main" id="{00000000-0008-0000-0200-00005D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910" name="Line 53">
          <a:extLst>
            <a:ext uri="{FF2B5EF4-FFF2-40B4-BE49-F238E27FC236}">
              <a16:creationId xmlns:a16="http://schemas.microsoft.com/office/drawing/2014/main" id="{00000000-0008-0000-0200-00005E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911" name="Line 54">
          <a:extLst>
            <a:ext uri="{FF2B5EF4-FFF2-40B4-BE49-F238E27FC236}">
              <a16:creationId xmlns:a16="http://schemas.microsoft.com/office/drawing/2014/main" id="{00000000-0008-0000-0200-00005F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912" name="Line 55">
          <a:extLst>
            <a:ext uri="{FF2B5EF4-FFF2-40B4-BE49-F238E27FC236}">
              <a16:creationId xmlns:a16="http://schemas.microsoft.com/office/drawing/2014/main" id="{00000000-0008-0000-0200-000060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913" name="Line 56">
          <a:extLst>
            <a:ext uri="{FF2B5EF4-FFF2-40B4-BE49-F238E27FC236}">
              <a16:creationId xmlns:a16="http://schemas.microsoft.com/office/drawing/2014/main" id="{00000000-0008-0000-0200-000061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914" name="Rectangle 57">
          <a:extLst>
            <a:ext uri="{FF2B5EF4-FFF2-40B4-BE49-F238E27FC236}">
              <a16:creationId xmlns:a16="http://schemas.microsoft.com/office/drawing/2014/main" id="{00000000-0008-0000-0200-000062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915" name="Line 58">
          <a:extLst>
            <a:ext uri="{FF2B5EF4-FFF2-40B4-BE49-F238E27FC236}">
              <a16:creationId xmlns:a16="http://schemas.microsoft.com/office/drawing/2014/main" id="{00000000-0008-0000-0200-000063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916" name="Line 59">
          <a:extLst>
            <a:ext uri="{FF2B5EF4-FFF2-40B4-BE49-F238E27FC236}">
              <a16:creationId xmlns:a16="http://schemas.microsoft.com/office/drawing/2014/main" id="{00000000-0008-0000-0200-000064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917" name="Line 60">
          <a:extLst>
            <a:ext uri="{FF2B5EF4-FFF2-40B4-BE49-F238E27FC236}">
              <a16:creationId xmlns:a16="http://schemas.microsoft.com/office/drawing/2014/main" id="{00000000-0008-0000-0200-000065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918" name="Line 61">
          <a:extLst>
            <a:ext uri="{FF2B5EF4-FFF2-40B4-BE49-F238E27FC236}">
              <a16:creationId xmlns:a16="http://schemas.microsoft.com/office/drawing/2014/main" id="{00000000-0008-0000-0200-000066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919" name="Line 62">
          <a:extLst>
            <a:ext uri="{FF2B5EF4-FFF2-40B4-BE49-F238E27FC236}">
              <a16:creationId xmlns:a16="http://schemas.microsoft.com/office/drawing/2014/main" id="{00000000-0008-0000-0200-000067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920" name="Line 63">
          <a:extLst>
            <a:ext uri="{FF2B5EF4-FFF2-40B4-BE49-F238E27FC236}">
              <a16:creationId xmlns:a16="http://schemas.microsoft.com/office/drawing/2014/main" id="{00000000-0008-0000-0200-000068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921" name="Line 64">
          <a:extLst>
            <a:ext uri="{FF2B5EF4-FFF2-40B4-BE49-F238E27FC236}">
              <a16:creationId xmlns:a16="http://schemas.microsoft.com/office/drawing/2014/main" id="{00000000-0008-0000-0200-000069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922" name="Line 65">
          <a:extLst>
            <a:ext uri="{FF2B5EF4-FFF2-40B4-BE49-F238E27FC236}">
              <a16:creationId xmlns:a16="http://schemas.microsoft.com/office/drawing/2014/main" id="{00000000-0008-0000-0200-00006A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923" name="Line 66">
          <a:extLst>
            <a:ext uri="{FF2B5EF4-FFF2-40B4-BE49-F238E27FC236}">
              <a16:creationId xmlns:a16="http://schemas.microsoft.com/office/drawing/2014/main" id="{00000000-0008-0000-0200-00006B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924" name="Line 67">
          <a:extLst>
            <a:ext uri="{FF2B5EF4-FFF2-40B4-BE49-F238E27FC236}">
              <a16:creationId xmlns:a16="http://schemas.microsoft.com/office/drawing/2014/main" id="{00000000-0008-0000-0200-00006C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925" name="Line 68">
          <a:extLst>
            <a:ext uri="{FF2B5EF4-FFF2-40B4-BE49-F238E27FC236}">
              <a16:creationId xmlns:a16="http://schemas.microsoft.com/office/drawing/2014/main" id="{00000000-0008-0000-0200-00006D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926" name="Line 1">
          <a:extLst>
            <a:ext uri="{FF2B5EF4-FFF2-40B4-BE49-F238E27FC236}">
              <a16:creationId xmlns:a16="http://schemas.microsoft.com/office/drawing/2014/main" id="{00000000-0008-0000-0200-00006E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927" name="Drawing 16">
          <a:extLst>
            <a:ext uri="{FF2B5EF4-FFF2-40B4-BE49-F238E27FC236}">
              <a16:creationId xmlns:a16="http://schemas.microsoft.com/office/drawing/2014/main" id="{00000000-0008-0000-0200-00006F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928" name="Line 3">
          <a:extLst>
            <a:ext uri="{FF2B5EF4-FFF2-40B4-BE49-F238E27FC236}">
              <a16:creationId xmlns:a16="http://schemas.microsoft.com/office/drawing/2014/main" id="{00000000-0008-0000-0200-000070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929" name="Line 4">
          <a:extLst>
            <a:ext uri="{FF2B5EF4-FFF2-40B4-BE49-F238E27FC236}">
              <a16:creationId xmlns:a16="http://schemas.microsoft.com/office/drawing/2014/main" id="{00000000-0008-0000-0200-000071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930" name="Line 5">
          <a:extLst>
            <a:ext uri="{FF2B5EF4-FFF2-40B4-BE49-F238E27FC236}">
              <a16:creationId xmlns:a16="http://schemas.microsoft.com/office/drawing/2014/main" id="{00000000-0008-0000-0200-000072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931" name="Line 6">
          <a:extLst>
            <a:ext uri="{FF2B5EF4-FFF2-40B4-BE49-F238E27FC236}">
              <a16:creationId xmlns:a16="http://schemas.microsoft.com/office/drawing/2014/main" id="{00000000-0008-0000-0200-000073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2932" name="Line 7">
          <a:extLst>
            <a:ext uri="{FF2B5EF4-FFF2-40B4-BE49-F238E27FC236}">
              <a16:creationId xmlns:a16="http://schemas.microsoft.com/office/drawing/2014/main" id="{00000000-0008-0000-0200-000074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2933" name="Line 8">
          <a:extLst>
            <a:ext uri="{FF2B5EF4-FFF2-40B4-BE49-F238E27FC236}">
              <a16:creationId xmlns:a16="http://schemas.microsoft.com/office/drawing/2014/main" id="{00000000-0008-0000-0200-000075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2934" name="Line 9">
          <a:extLst>
            <a:ext uri="{FF2B5EF4-FFF2-40B4-BE49-F238E27FC236}">
              <a16:creationId xmlns:a16="http://schemas.microsoft.com/office/drawing/2014/main" id="{00000000-0008-0000-0200-000076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2935" name="Line 10">
          <a:extLst>
            <a:ext uri="{FF2B5EF4-FFF2-40B4-BE49-F238E27FC236}">
              <a16:creationId xmlns:a16="http://schemas.microsoft.com/office/drawing/2014/main" id="{00000000-0008-0000-0200-000077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2936" name="Line 11">
          <a:extLst>
            <a:ext uri="{FF2B5EF4-FFF2-40B4-BE49-F238E27FC236}">
              <a16:creationId xmlns:a16="http://schemas.microsoft.com/office/drawing/2014/main" id="{00000000-0008-0000-0200-0000780B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2937" name="Line 12">
          <a:extLst>
            <a:ext uri="{FF2B5EF4-FFF2-40B4-BE49-F238E27FC236}">
              <a16:creationId xmlns:a16="http://schemas.microsoft.com/office/drawing/2014/main" id="{00000000-0008-0000-0200-0000790B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2938" name="Line 13">
          <a:extLst>
            <a:ext uri="{FF2B5EF4-FFF2-40B4-BE49-F238E27FC236}">
              <a16:creationId xmlns:a16="http://schemas.microsoft.com/office/drawing/2014/main" id="{00000000-0008-0000-0200-00007A0B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939" name="Line 14">
          <a:extLst>
            <a:ext uri="{FF2B5EF4-FFF2-40B4-BE49-F238E27FC236}">
              <a16:creationId xmlns:a16="http://schemas.microsoft.com/office/drawing/2014/main" id="{00000000-0008-0000-0200-00007B0B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2940" name="Line 15">
          <a:extLst>
            <a:ext uri="{FF2B5EF4-FFF2-40B4-BE49-F238E27FC236}">
              <a16:creationId xmlns:a16="http://schemas.microsoft.com/office/drawing/2014/main" id="{00000000-0008-0000-0200-00007C0B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2941" name="Line 16">
          <a:extLst>
            <a:ext uri="{FF2B5EF4-FFF2-40B4-BE49-F238E27FC236}">
              <a16:creationId xmlns:a16="http://schemas.microsoft.com/office/drawing/2014/main" id="{00000000-0008-0000-0200-00007D0B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2942" name="Line 17">
          <a:extLst>
            <a:ext uri="{FF2B5EF4-FFF2-40B4-BE49-F238E27FC236}">
              <a16:creationId xmlns:a16="http://schemas.microsoft.com/office/drawing/2014/main" id="{00000000-0008-0000-0200-00007E0B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2943" name="Line 18">
          <a:extLst>
            <a:ext uri="{FF2B5EF4-FFF2-40B4-BE49-F238E27FC236}">
              <a16:creationId xmlns:a16="http://schemas.microsoft.com/office/drawing/2014/main" id="{00000000-0008-0000-0200-00007F0B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2944" name="Line 19">
          <a:extLst>
            <a:ext uri="{FF2B5EF4-FFF2-40B4-BE49-F238E27FC236}">
              <a16:creationId xmlns:a16="http://schemas.microsoft.com/office/drawing/2014/main" id="{00000000-0008-0000-0200-0000800B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2945" name="Line 20">
          <a:extLst>
            <a:ext uri="{FF2B5EF4-FFF2-40B4-BE49-F238E27FC236}">
              <a16:creationId xmlns:a16="http://schemas.microsoft.com/office/drawing/2014/main" id="{00000000-0008-0000-0200-0000810B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2946" name="Line 21">
          <a:extLst>
            <a:ext uri="{FF2B5EF4-FFF2-40B4-BE49-F238E27FC236}">
              <a16:creationId xmlns:a16="http://schemas.microsoft.com/office/drawing/2014/main" id="{00000000-0008-0000-0200-0000820B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2947" name="Line 22">
          <a:extLst>
            <a:ext uri="{FF2B5EF4-FFF2-40B4-BE49-F238E27FC236}">
              <a16:creationId xmlns:a16="http://schemas.microsoft.com/office/drawing/2014/main" id="{00000000-0008-0000-0200-0000830B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2948" name="Line 23">
          <a:extLst>
            <a:ext uri="{FF2B5EF4-FFF2-40B4-BE49-F238E27FC236}">
              <a16:creationId xmlns:a16="http://schemas.microsoft.com/office/drawing/2014/main" id="{00000000-0008-0000-0200-0000840B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2949" name="Line 24">
          <a:extLst>
            <a:ext uri="{FF2B5EF4-FFF2-40B4-BE49-F238E27FC236}">
              <a16:creationId xmlns:a16="http://schemas.microsoft.com/office/drawing/2014/main" id="{00000000-0008-0000-0200-0000850B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2950" name="Line 25">
          <a:extLst>
            <a:ext uri="{FF2B5EF4-FFF2-40B4-BE49-F238E27FC236}">
              <a16:creationId xmlns:a16="http://schemas.microsoft.com/office/drawing/2014/main" id="{00000000-0008-0000-0200-0000860B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2951" name="Line 26">
          <a:extLst>
            <a:ext uri="{FF2B5EF4-FFF2-40B4-BE49-F238E27FC236}">
              <a16:creationId xmlns:a16="http://schemas.microsoft.com/office/drawing/2014/main" id="{00000000-0008-0000-0200-0000870B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2952" name="Line 27">
          <a:extLst>
            <a:ext uri="{FF2B5EF4-FFF2-40B4-BE49-F238E27FC236}">
              <a16:creationId xmlns:a16="http://schemas.microsoft.com/office/drawing/2014/main" id="{00000000-0008-0000-0200-000088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2953" name="Line 28">
          <a:extLst>
            <a:ext uri="{FF2B5EF4-FFF2-40B4-BE49-F238E27FC236}">
              <a16:creationId xmlns:a16="http://schemas.microsoft.com/office/drawing/2014/main" id="{00000000-0008-0000-0200-000089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2954" name="Line 29">
          <a:extLst>
            <a:ext uri="{FF2B5EF4-FFF2-40B4-BE49-F238E27FC236}">
              <a16:creationId xmlns:a16="http://schemas.microsoft.com/office/drawing/2014/main" id="{00000000-0008-0000-0200-00008A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2955" name="Line 30">
          <a:extLst>
            <a:ext uri="{FF2B5EF4-FFF2-40B4-BE49-F238E27FC236}">
              <a16:creationId xmlns:a16="http://schemas.microsoft.com/office/drawing/2014/main" id="{00000000-0008-0000-0200-00008B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2956" name="Line 31">
          <a:extLst>
            <a:ext uri="{FF2B5EF4-FFF2-40B4-BE49-F238E27FC236}">
              <a16:creationId xmlns:a16="http://schemas.microsoft.com/office/drawing/2014/main" id="{00000000-0008-0000-0200-00008C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2957" name="Line 32">
          <a:extLst>
            <a:ext uri="{FF2B5EF4-FFF2-40B4-BE49-F238E27FC236}">
              <a16:creationId xmlns:a16="http://schemas.microsoft.com/office/drawing/2014/main" id="{00000000-0008-0000-0200-00008D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2958" name="Line 33">
          <a:extLst>
            <a:ext uri="{FF2B5EF4-FFF2-40B4-BE49-F238E27FC236}">
              <a16:creationId xmlns:a16="http://schemas.microsoft.com/office/drawing/2014/main" id="{00000000-0008-0000-0200-00008E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2959" name="Line 34">
          <a:extLst>
            <a:ext uri="{FF2B5EF4-FFF2-40B4-BE49-F238E27FC236}">
              <a16:creationId xmlns:a16="http://schemas.microsoft.com/office/drawing/2014/main" id="{00000000-0008-0000-0200-00008F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2960" name="Line 35">
          <a:extLst>
            <a:ext uri="{FF2B5EF4-FFF2-40B4-BE49-F238E27FC236}">
              <a16:creationId xmlns:a16="http://schemas.microsoft.com/office/drawing/2014/main" id="{00000000-0008-0000-0200-000090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2961" name="Line 36">
          <a:extLst>
            <a:ext uri="{FF2B5EF4-FFF2-40B4-BE49-F238E27FC236}">
              <a16:creationId xmlns:a16="http://schemas.microsoft.com/office/drawing/2014/main" id="{00000000-0008-0000-0200-000091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2962" name="Line 37">
          <a:extLst>
            <a:ext uri="{FF2B5EF4-FFF2-40B4-BE49-F238E27FC236}">
              <a16:creationId xmlns:a16="http://schemas.microsoft.com/office/drawing/2014/main" id="{00000000-0008-0000-0200-000092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2963" name="Line 38">
          <a:extLst>
            <a:ext uri="{FF2B5EF4-FFF2-40B4-BE49-F238E27FC236}">
              <a16:creationId xmlns:a16="http://schemas.microsoft.com/office/drawing/2014/main" id="{00000000-0008-0000-0200-000093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2964" name="Line 39">
          <a:extLst>
            <a:ext uri="{FF2B5EF4-FFF2-40B4-BE49-F238E27FC236}">
              <a16:creationId xmlns:a16="http://schemas.microsoft.com/office/drawing/2014/main" id="{00000000-0008-0000-0200-000094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2965" name="Line 40">
          <a:extLst>
            <a:ext uri="{FF2B5EF4-FFF2-40B4-BE49-F238E27FC236}">
              <a16:creationId xmlns:a16="http://schemas.microsoft.com/office/drawing/2014/main" id="{00000000-0008-0000-0200-000095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2966" name="Line 41">
          <a:extLst>
            <a:ext uri="{FF2B5EF4-FFF2-40B4-BE49-F238E27FC236}">
              <a16:creationId xmlns:a16="http://schemas.microsoft.com/office/drawing/2014/main" id="{00000000-0008-0000-0200-000096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2967" name="Rectangle 42">
          <a:extLst>
            <a:ext uri="{FF2B5EF4-FFF2-40B4-BE49-F238E27FC236}">
              <a16:creationId xmlns:a16="http://schemas.microsoft.com/office/drawing/2014/main" id="{00000000-0008-0000-0200-000097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68" name="Line 43">
          <a:extLst>
            <a:ext uri="{FF2B5EF4-FFF2-40B4-BE49-F238E27FC236}">
              <a16:creationId xmlns:a16="http://schemas.microsoft.com/office/drawing/2014/main" id="{00000000-0008-0000-0200-000098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969" name="Line 44">
          <a:extLst>
            <a:ext uri="{FF2B5EF4-FFF2-40B4-BE49-F238E27FC236}">
              <a16:creationId xmlns:a16="http://schemas.microsoft.com/office/drawing/2014/main" id="{00000000-0008-0000-0200-000099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2970" name="Line 45">
          <a:extLst>
            <a:ext uri="{FF2B5EF4-FFF2-40B4-BE49-F238E27FC236}">
              <a16:creationId xmlns:a16="http://schemas.microsoft.com/office/drawing/2014/main" id="{00000000-0008-0000-0200-00009A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2971" name="Line 46">
          <a:extLst>
            <a:ext uri="{FF2B5EF4-FFF2-40B4-BE49-F238E27FC236}">
              <a16:creationId xmlns:a16="http://schemas.microsoft.com/office/drawing/2014/main" id="{00000000-0008-0000-0200-00009B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2972" name="Line 47">
          <a:extLst>
            <a:ext uri="{FF2B5EF4-FFF2-40B4-BE49-F238E27FC236}">
              <a16:creationId xmlns:a16="http://schemas.microsoft.com/office/drawing/2014/main" id="{00000000-0008-0000-0200-00009C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2973" name="Line 48">
          <a:extLst>
            <a:ext uri="{FF2B5EF4-FFF2-40B4-BE49-F238E27FC236}">
              <a16:creationId xmlns:a16="http://schemas.microsoft.com/office/drawing/2014/main" id="{00000000-0008-0000-0200-00009D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2974" name="Line 49">
          <a:extLst>
            <a:ext uri="{FF2B5EF4-FFF2-40B4-BE49-F238E27FC236}">
              <a16:creationId xmlns:a16="http://schemas.microsoft.com/office/drawing/2014/main" id="{00000000-0008-0000-0200-00009E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2975" name="Line 50">
          <a:extLst>
            <a:ext uri="{FF2B5EF4-FFF2-40B4-BE49-F238E27FC236}">
              <a16:creationId xmlns:a16="http://schemas.microsoft.com/office/drawing/2014/main" id="{00000000-0008-0000-0200-00009F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2976" name="Line 51">
          <a:extLst>
            <a:ext uri="{FF2B5EF4-FFF2-40B4-BE49-F238E27FC236}">
              <a16:creationId xmlns:a16="http://schemas.microsoft.com/office/drawing/2014/main" id="{00000000-0008-0000-0200-0000A0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2977" name="Line 52">
          <a:extLst>
            <a:ext uri="{FF2B5EF4-FFF2-40B4-BE49-F238E27FC236}">
              <a16:creationId xmlns:a16="http://schemas.microsoft.com/office/drawing/2014/main" id="{00000000-0008-0000-0200-0000A1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2978" name="Line 53">
          <a:extLst>
            <a:ext uri="{FF2B5EF4-FFF2-40B4-BE49-F238E27FC236}">
              <a16:creationId xmlns:a16="http://schemas.microsoft.com/office/drawing/2014/main" id="{00000000-0008-0000-0200-0000A2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2979" name="Line 54">
          <a:extLst>
            <a:ext uri="{FF2B5EF4-FFF2-40B4-BE49-F238E27FC236}">
              <a16:creationId xmlns:a16="http://schemas.microsoft.com/office/drawing/2014/main" id="{00000000-0008-0000-0200-0000A3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2980" name="Line 55">
          <a:extLst>
            <a:ext uri="{FF2B5EF4-FFF2-40B4-BE49-F238E27FC236}">
              <a16:creationId xmlns:a16="http://schemas.microsoft.com/office/drawing/2014/main" id="{00000000-0008-0000-0200-0000A4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2981" name="Line 56">
          <a:extLst>
            <a:ext uri="{FF2B5EF4-FFF2-40B4-BE49-F238E27FC236}">
              <a16:creationId xmlns:a16="http://schemas.microsoft.com/office/drawing/2014/main" id="{00000000-0008-0000-0200-0000A5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2982" name="Rectangle 57">
          <a:extLst>
            <a:ext uri="{FF2B5EF4-FFF2-40B4-BE49-F238E27FC236}">
              <a16:creationId xmlns:a16="http://schemas.microsoft.com/office/drawing/2014/main" id="{00000000-0008-0000-0200-0000A6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2983" name="Line 58">
          <a:extLst>
            <a:ext uri="{FF2B5EF4-FFF2-40B4-BE49-F238E27FC236}">
              <a16:creationId xmlns:a16="http://schemas.microsoft.com/office/drawing/2014/main" id="{00000000-0008-0000-0200-0000A7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2984" name="Line 59">
          <a:extLst>
            <a:ext uri="{FF2B5EF4-FFF2-40B4-BE49-F238E27FC236}">
              <a16:creationId xmlns:a16="http://schemas.microsoft.com/office/drawing/2014/main" id="{00000000-0008-0000-0200-0000A8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2985" name="Line 60">
          <a:extLst>
            <a:ext uri="{FF2B5EF4-FFF2-40B4-BE49-F238E27FC236}">
              <a16:creationId xmlns:a16="http://schemas.microsoft.com/office/drawing/2014/main" id="{00000000-0008-0000-0200-0000A9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2986" name="Line 61">
          <a:extLst>
            <a:ext uri="{FF2B5EF4-FFF2-40B4-BE49-F238E27FC236}">
              <a16:creationId xmlns:a16="http://schemas.microsoft.com/office/drawing/2014/main" id="{00000000-0008-0000-0200-0000AA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2987" name="Line 62">
          <a:extLst>
            <a:ext uri="{FF2B5EF4-FFF2-40B4-BE49-F238E27FC236}">
              <a16:creationId xmlns:a16="http://schemas.microsoft.com/office/drawing/2014/main" id="{00000000-0008-0000-0200-0000AB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2988" name="Line 63">
          <a:extLst>
            <a:ext uri="{FF2B5EF4-FFF2-40B4-BE49-F238E27FC236}">
              <a16:creationId xmlns:a16="http://schemas.microsoft.com/office/drawing/2014/main" id="{00000000-0008-0000-0200-0000AC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2989" name="Line 64">
          <a:extLst>
            <a:ext uri="{FF2B5EF4-FFF2-40B4-BE49-F238E27FC236}">
              <a16:creationId xmlns:a16="http://schemas.microsoft.com/office/drawing/2014/main" id="{00000000-0008-0000-0200-0000AD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2990" name="Line 65">
          <a:extLst>
            <a:ext uri="{FF2B5EF4-FFF2-40B4-BE49-F238E27FC236}">
              <a16:creationId xmlns:a16="http://schemas.microsoft.com/office/drawing/2014/main" id="{00000000-0008-0000-0200-0000AE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2991" name="Line 66">
          <a:extLst>
            <a:ext uri="{FF2B5EF4-FFF2-40B4-BE49-F238E27FC236}">
              <a16:creationId xmlns:a16="http://schemas.microsoft.com/office/drawing/2014/main" id="{00000000-0008-0000-0200-0000AF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2992" name="Line 67">
          <a:extLst>
            <a:ext uri="{FF2B5EF4-FFF2-40B4-BE49-F238E27FC236}">
              <a16:creationId xmlns:a16="http://schemas.microsoft.com/office/drawing/2014/main" id="{00000000-0008-0000-0200-0000B0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2993" name="Line 68">
          <a:extLst>
            <a:ext uri="{FF2B5EF4-FFF2-40B4-BE49-F238E27FC236}">
              <a16:creationId xmlns:a16="http://schemas.microsoft.com/office/drawing/2014/main" id="{00000000-0008-0000-0200-0000B1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2994" name="Line 1">
          <a:extLst>
            <a:ext uri="{FF2B5EF4-FFF2-40B4-BE49-F238E27FC236}">
              <a16:creationId xmlns:a16="http://schemas.microsoft.com/office/drawing/2014/main" id="{00000000-0008-0000-0200-0000B2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2995" name="Drawing 16">
          <a:extLst>
            <a:ext uri="{FF2B5EF4-FFF2-40B4-BE49-F238E27FC236}">
              <a16:creationId xmlns:a16="http://schemas.microsoft.com/office/drawing/2014/main" id="{00000000-0008-0000-0200-0000B3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2996" name="Line 3">
          <a:extLst>
            <a:ext uri="{FF2B5EF4-FFF2-40B4-BE49-F238E27FC236}">
              <a16:creationId xmlns:a16="http://schemas.microsoft.com/office/drawing/2014/main" id="{00000000-0008-0000-0200-0000B4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2997" name="Line 4">
          <a:extLst>
            <a:ext uri="{FF2B5EF4-FFF2-40B4-BE49-F238E27FC236}">
              <a16:creationId xmlns:a16="http://schemas.microsoft.com/office/drawing/2014/main" id="{00000000-0008-0000-0200-0000B5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2998" name="Line 5">
          <a:extLst>
            <a:ext uri="{FF2B5EF4-FFF2-40B4-BE49-F238E27FC236}">
              <a16:creationId xmlns:a16="http://schemas.microsoft.com/office/drawing/2014/main" id="{00000000-0008-0000-0200-0000B6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2999" name="Line 6">
          <a:extLst>
            <a:ext uri="{FF2B5EF4-FFF2-40B4-BE49-F238E27FC236}">
              <a16:creationId xmlns:a16="http://schemas.microsoft.com/office/drawing/2014/main" id="{00000000-0008-0000-0200-0000B7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000" name="Line 7">
          <a:extLst>
            <a:ext uri="{FF2B5EF4-FFF2-40B4-BE49-F238E27FC236}">
              <a16:creationId xmlns:a16="http://schemas.microsoft.com/office/drawing/2014/main" id="{00000000-0008-0000-0200-0000B8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001" name="Line 8">
          <a:extLst>
            <a:ext uri="{FF2B5EF4-FFF2-40B4-BE49-F238E27FC236}">
              <a16:creationId xmlns:a16="http://schemas.microsoft.com/office/drawing/2014/main" id="{00000000-0008-0000-0200-0000B9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002" name="Line 9">
          <a:extLst>
            <a:ext uri="{FF2B5EF4-FFF2-40B4-BE49-F238E27FC236}">
              <a16:creationId xmlns:a16="http://schemas.microsoft.com/office/drawing/2014/main" id="{00000000-0008-0000-0200-0000BA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003" name="Line 10">
          <a:extLst>
            <a:ext uri="{FF2B5EF4-FFF2-40B4-BE49-F238E27FC236}">
              <a16:creationId xmlns:a16="http://schemas.microsoft.com/office/drawing/2014/main" id="{00000000-0008-0000-0200-0000BB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004" name="Line 11">
          <a:extLst>
            <a:ext uri="{FF2B5EF4-FFF2-40B4-BE49-F238E27FC236}">
              <a16:creationId xmlns:a16="http://schemas.microsoft.com/office/drawing/2014/main" id="{00000000-0008-0000-0200-0000BC0B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005" name="Line 12">
          <a:extLst>
            <a:ext uri="{FF2B5EF4-FFF2-40B4-BE49-F238E27FC236}">
              <a16:creationId xmlns:a16="http://schemas.microsoft.com/office/drawing/2014/main" id="{00000000-0008-0000-0200-0000BD0B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006" name="Line 13">
          <a:extLst>
            <a:ext uri="{FF2B5EF4-FFF2-40B4-BE49-F238E27FC236}">
              <a16:creationId xmlns:a16="http://schemas.microsoft.com/office/drawing/2014/main" id="{00000000-0008-0000-0200-0000BE0B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07" name="Line 14">
          <a:extLst>
            <a:ext uri="{FF2B5EF4-FFF2-40B4-BE49-F238E27FC236}">
              <a16:creationId xmlns:a16="http://schemas.microsoft.com/office/drawing/2014/main" id="{00000000-0008-0000-0200-0000BF0B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008" name="Line 15">
          <a:extLst>
            <a:ext uri="{FF2B5EF4-FFF2-40B4-BE49-F238E27FC236}">
              <a16:creationId xmlns:a16="http://schemas.microsoft.com/office/drawing/2014/main" id="{00000000-0008-0000-0200-0000C00B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09" name="Line 16">
          <a:extLst>
            <a:ext uri="{FF2B5EF4-FFF2-40B4-BE49-F238E27FC236}">
              <a16:creationId xmlns:a16="http://schemas.microsoft.com/office/drawing/2014/main" id="{00000000-0008-0000-0200-0000C10B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010" name="Line 17">
          <a:extLst>
            <a:ext uri="{FF2B5EF4-FFF2-40B4-BE49-F238E27FC236}">
              <a16:creationId xmlns:a16="http://schemas.microsoft.com/office/drawing/2014/main" id="{00000000-0008-0000-0200-0000C20B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011" name="Line 18">
          <a:extLst>
            <a:ext uri="{FF2B5EF4-FFF2-40B4-BE49-F238E27FC236}">
              <a16:creationId xmlns:a16="http://schemas.microsoft.com/office/drawing/2014/main" id="{00000000-0008-0000-0200-0000C30B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012" name="Line 19">
          <a:extLst>
            <a:ext uri="{FF2B5EF4-FFF2-40B4-BE49-F238E27FC236}">
              <a16:creationId xmlns:a16="http://schemas.microsoft.com/office/drawing/2014/main" id="{00000000-0008-0000-0200-0000C40B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013" name="Line 20">
          <a:extLst>
            <a:ext uri="{FF2B5EF4-FFF2-40B4-BE49-F238E27FC236}">
              <a16:creationId xmlns:a16="http://schemas.microsoft.com/office/drawing/2014/main" id="{00000000-0008-0000-0200-0000C50B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014" name="Line 21">
          <a:extLst>
            <a:ext uri="{FF2B5EF4-FFF2-40B4-BE49-F238E27FC236}">
              <a16:creationId xmlns:a16="http://schemas.microsoft.com/office/drawing/2014/main" id="{00000000-0008-0000-0200-0000C60B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015" name="Line 22">
          <a:extLst>
            <a:ext uri="{FF2B5EF4-FFF2-40B4-BE49-F238E27FC236}">
              <a16:creationId xmlns:a16="http://schemas.microsoft.com/office/drawing/2014/main" id="{00000000-0008-0000-0200-0000C70B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016" name="Line 23">
          <a:extLst>
            <a:ext uri="{FF2B5EF4-FFF2-40B4-BE49-F238E27FC236}">
              <a16:creationId xmlns:a16="http://schemas.microsoft.com/office/drawing/2014/main" id="{00000000-0008-0000-0200-0000C80B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017" name="Line 24">
          <a:extLst>
            <a:ext uri="{FF2B5EF4-FFF2-40B4-BE49-F238E27FC236}">
              <a16:creationId xmlns:a16="http://schemas.microsoft.com/office/drawing/2014/main" id="{00000000-0008-0000-0200-0000C90B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018" name="Line 25">
          <a:extLst>
            <a:ext uri="{FF2B5EF4-FFF2-40B4-BE49-F238E27FC236}">
              <a16:creationId xmlns:a16="http://schemas.microsoft.com/office/drawing/2014/main" id="{00000000-0008-0000-0200-0000CA0B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019" name="Line 26">
          <a:extLst>
            <a:ext uri="{FF2B5EF4-FFF2-40B4-BE49-F238E27FC236}">
              <a16:creationId xmlns:a16="http://schemas.microsoft.com/office/drawing/2014/main" id="{00000000-0008-0000-0200-0000CB0B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020" name="Line 27">
          <a:extLst>
            <a:ext uri="{FF2B5EF4-FFF2-40B4-BE49-F238E27FC236}">
              <a16:creationId xmlns:a16="http://schemas.microsoft.com/office/drawing/2014/main" id="{00000000-0008-0000-0200-0000CC0B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021" name="Line 28">
          <a:extLst>
            <a:ext uri="{FF2B5EF4-FFF2-40B4-BE49-F238E27FC236}">
              <a16:creationId xmlns:a16="http://schemas.microsoft.com/office/drawing/2014/main" id="{00000000-0008-0000-0200-0000CD0B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22" name="Line 29">
          <a:extLst>
            <a:ext uri="{FF2B5EF4-FFF2-40B4-BE49-F238E27FC236}">
              <a16:creationId xmlns:a16="http://schemas.microsoft.com/office/drawing/2014/main" id="{00000000-0008-0000-0200-0000CE0B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023" name="Line 30">
          <a:extLst>
            <a:ext uri="{FF2B5EF4-FFF2-40B4-BE49-F238E27FC236}">
              <a16:creationId xmlns:a16="http://schemas.microsoft.com/office/drawing/2014/main" id="{00000000-0008-0000-0200-0000CF0B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024" name="Line 31">
          <a:extLst>
            <a:ext uri="{FF2B5EF4-FFF2-40B4-BE49-F238E27FC236}">
              <a16:creationId xmlns:a16="http://schemas.microsoft.com/office/drawing/2014/main" id="{00000000-0008-0000-0200-0000D00B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025" name="Line 32">
          <a:extLst>
            <a:ext uri="{FF2B5EF4-FFF2-40B4-BE49-F238E27FC236}">
              <a16:creationId xmlns:a16="http://schemas.microsoft.com/office/drawing/2014/main" id="{00000000-0008-0000-0200-0000D10B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026" name="Line 33">
          <a:extLst>
            <a:ext uri="{FF2B5EF4-FFF2-40B4-BE49-F238E27FC236}">
              <a16:creationId xmlns:a16="http://schemas.microsoft.com/office/drawing/2014/main" id="{00000000-0008-0000-0200-0000D20B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027" name="Line 34">
          <a:extLst>
            <a:ext uri="{FF2B5EF4-FFF2-40B4-BE49-F238E27FC236}">
              <a16:creationId xmlns:a16="http://schemas.microsoft.com/office/drawing/2014/main" id="{00000000-0008-0000-0200-0000D30B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028" name="Line 35">
          <a:extLst>
            <a:ext uri="{FF2B5EF4-FFF2-40B4-BE49-F238E27FC236}">
              <a16:creationId xmlns:a16="http://schemas.microsoft.com/office/drawing/2014/main" id="{00000000-0008-0000-0200-0000D40B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029" name="Line 36">
          <a:extLst>
            <a:ext uri="{FF2B5EF4-FFF2-40B4-BE49-F238E27FC236}">
              <a16:creationId xmlns:a16="http://schemas.microsoft.com/office/drawing/2014/main" id="{00000000-0008-0000-0200-0000D50B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030" name="Line 37">
          <a:extLst>
            <a:ext uri="{FF2B5EF4-FFF2-40B4-BE49-F238E27FC236}">
              <a16:creationId xmlns:a16="http://schemas.microsoft.com/office/drawing/2014/main" id="{00000000-0008-0000-0200-0000D60B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031" name="Line 38">
          <a:extLst>
            <a:ext uri="{FF2B5EF4-FFF2-40B4-BE49-F238E27FC236}">
              <a16:creationId xmlns:a16="http://schemas.microsoft.com/office/drawing/2014/main" id="{00000000-0008-0000-0200-0000D70B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032" name="Line 39">
          <a:extLst>
            <a:ext uri="{FF2B5EF4-FFF2-40B4-BE49-F238E27FC236}">
              <a16:creationId xmlns:a16="http://schemas.microsoft.com/office/drawing/2014/main" id="{00000000-0008-0000-0200-0000D80B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033" name="Line 40">
          <a:extLst>
            <a:ext uri="{FF2B5EF4-FFF2-40B4-BE49-F238E27FC236}">
              <a16:creationId xmlns:a16="http://schemas.microsoft.com/office/drawing/2014/main" id="{00000000-0008-0000-0200-0000D90B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034" name="Line 41">
          <a:extLst>
            <a:ext uri="{FF2B5EF4-FFF2-40B4-BE49-F238E27FC236}">
              <a16:creationId xmlns:a16="http://schemas.microsoft.com/office/drawing/2014/main" id="{00000000-0008-0000-0200-0000DA0B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035" name="Rectangle 42">
          <a:extLst>
            <a:ext uri="{FF2B5EF4-FFF2-40B4-BE49-F238E27FC236}">
              <a16:creationId xmlns:a16="http://schemas.microsoft.com/office/drawing/2014/main" id="{00000000-0008-0000-0200-0000DB0B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036" name="Line 43">
          <a:extLst>
            <a:ext uri="{FF2B5EF4-FFF2-40B4-BE49-F238E27FC236}">
              <a16:creationId xmlns:a16="http://schemas.microsoft.com/office/drawing/2014/main" id="{00000000-0008-0000-0200-0000DC0B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037" name="Line 44">
          <a:extLst>
            <a:ext uri="{FF2B5EF4-FFF2-40B4-BE49-F238E27FC236}">
              <a16:creationId xmlns:a16="http://schemas.microsoft.com/office/drawing/2014/main" id="{00000000-0008-0000-0200-0000DD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038" name="Line 45">
          <a:extLst>
            <a:ext uri="{FF2B5EF4-FFF2-40B4-BE49-F238E27FC236}">
              <a16:creationId xmlns:a16="http://schemas.microsoft.com/office/drawing/2014/main" id="{00000000-0008-0000-0200-0000DE0B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039" name="Line 46">
          <a:extLst>
            <a:ext uri="{FF2B5EF4-FFF2-40B4-BE49-F238E27FC236}">
              <a16:creationId xmlns:a16="http://schemas.microsoft.com/office/drawing/2014/main" id="{00000000-0008-0000-0200-0000DF0B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040" name="Line 47">
          <a:extLst>
            <a:ext uri="{FF2B5EF4-FFF2-40B4-BE49-F238E27FC236}">
              <a16:creationId xmlns:a16="http://schemas.microsoft.com/office/drawing/2014/main" id="{00000000-0008-0000-0200-0000E00B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041" name="Line 48">
          <a:extLst>
            <a:ext uri="{FF2B5EF4-FFF2-40B4-BE49-F238E27FC236}">
              <a16:creationId xmlns:a16="http://schemas.microsoft.com/office/drawing/2014/main" id="{00000000-0008-0000-0200-0000E10B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042" name="Line 49">
          <a:extLst>
            <a:ext uri="{FF2B5EF4-FFF2-40B4-BE49-F238E27FC236}">
              <a16:creationId xmlns:a16="http://schemas.microsoft.com/office/drawing/2014/main" id="{00000000-0008-0000-0200-0000E20B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043" name="Line 50">
          <a:extLst>
            <a:ext uri="{FF2B5EF4-FFF2-40B4-BE49-F238E27FC236}">
              <a16:creationId xmlns:a16="http://schemas.microsoft.com/office/drawing/2014/main" id="{00000000-0008-0000-0200-0000E30B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044" name="Line 51">
          <a:extLst>
            <a:ext uri="{FF2B5EF4-FFF2-40B4-BE49-F238E27FC236}">
              <a16:creationId xmlns:a16="http://schemas.microsoft.com/office/drawing/2014/main" id="{00000000-0008-0000-0200-0000E40B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045" name="Line 52">
          <a:extLst>
            <a:ext uri="{FF2B5EF4-FFF2-40B4-BE49-F238E27FC236}">
              <a16:creationId xmlns:a16="http://schemas.microsoft.com/office/drawing/2014/main" id="{00000000-0008-0000-0200-0000E50B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046" name="Line 53">
          <a:extLst>
            <a:ext uri="{FF2B5EF4-FFF2-40B4-BE49-F238E27FC236}">
              <a16:creationId xmlns:a16="http://schemas.microsoft.com/office/drawing/2014/main" id="{00000000-0008-0000-0200-0000E60B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047" name="Line 54">
          <a:extLst>
            <a:ext uri="{FF2B5EF4-FFF2-40B4-BE49-F238E27FC236}">
              <a16:creationId xmlns:a16="http://schemas.microsoft.com/office/drawing/2014/main" id="{00000000-0008-0000-0200-0000E70B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048" name="Line 55">
          <a:extLst>
            <a:ext uri="{FF2B5EF4-FFF2-40B4-BE49-F238E27FC236}">
              <a16:creationId xmlns:a16="http://schemas.microsoft.com/office/drawing/2014/main" id="{00000000-0008-0000-0200-0000E80B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049" name="Line 56">
          <a:extLst>
            <a:ext uri="{FF2B5EF4-FFF2-40B4-BE49-F238E27FC236}">
              <a16:creationId xmlns:a16="http://schemas.microsoft.com/office/drawing/2014/main" id="{00000000-0008-0000-0200-0000E90B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050" name="Rectangle 57">
          <a:extLst>
            <a:ext uri="{FF2B5EF4-FFF2-40B4-BE49-F238E27FC236}">
              <a16:creationId xmlns:a16="http://schemas.microsoft.com/office/drawing/2014/main" id="{00000000-0008-0000-0200-0000EA0B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051" name="Line 58">
          <a:extLst>
            <a:ext uri="{FF2B5EF4-FFF2-40B4-BE49-F238E27FC236}">
              <a16:creationId xmlns:a16="http://schemas.microsoft.com/office/drawing/2014/main" id="{00000000-0008-0000-0200-0000EB0B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052" name="Line 59">
          <a:extLst>
            <a:ext uri="{FF2B5EF4-FFF2-40B4-BE49-F238E27FC236}">
              <a16:creationId xmlns:a16="http://schemas.microsoft.com/office/drawing/2014/main" id="{00000000-0008-0000-0200-0000EC0B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053" name="Line 60">
          <a:extLst>
            <a:ext uri="{FF2B5EF4-FFF2-40B4-BE49-F238E27FC236}">
              <a16:creationId xmlns:a16="http://schemas.microsoft.com/office/drawing/2014/main" id="{00000000-0008-0000-0200-0000ED0B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054" name="Line 61">
          <a:extLst>
            <a:ext uri="{FF2B5EF4-FFF2-40B4-BE49-F238E27FC236}">
              <a16:creationId xmlns:a16="http://schemas.microsoft.com/office/drawing/2014/main" id="{00000000-0008-0000-0200-0000EE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055" name="Line 62">
          <a:extLst>
            <a:ext uri="{FF2B5EF4-FFF2-40B4-BE49-F238E27FC236}">
              <a16:creationId xmlns:a16="http://schemas.microsoft.com/office/drawing/2014/main" id="{00000000-0008-0000-0200-0000EF0B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056" name="Line 63">
          <a:extLst>
            <a:ext uri="{FF2B5EF4-FFF2-40B4-BE49-F238E27FC236}">
              <a16:creationId xmlns:a16="http://schemas.microsoft.com/office/drawing/2014/main" id="{00000000-0008-0000-0200-0000F00B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057" name="Line 64">
          <a:extLst>
            <a:ext uri="{FF2B5EF4-FFF2-40B4-BE49-F238E27FC236}">
              <a16:creationId xmlns:a16="http://schemas.microsoft.com/office/drawing/2014/main" id="{00000000-0008-0000-0200-0000F10B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058" name="Line 65">
          <a:extLst>
            <a:ext uri="{FF2B5EF4-FFF2-40B4-BE49-F238E27FC236}">
              <a16:creationId xmlns:a16="http://schemas.microsoft.com/office/drawing/2014/main" id="{00000000-0008-0000-0200-0000F20B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059" name="Line 66">
          <a:extLst>
            <a:ext uri="{FF2B5EF4-FFF2-40B4-BE49-F238E27FC236}">
              <a16:creationId xmlns:a16="http://schemas.microsoft.com/office/drawing/2014/main" id="{00000000-0008-0000-0200-0000F30B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060" name="Line 67">
          <a:extLst>
            <a:ext uri="{FF2B5EF4-FFF2-40B4-BE49-F238E27FC236}">
              <a16:creationId xmlns:a16="http://schemas.microsoft.com/office/drawing/2014/main" id="{00000000-0008-0000-0200-0000F40B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061" name="Line 68">
          <a:extLst>
            <a:ext uri="{FF2B5EF4-FFF2-40B4-BE49-F238E27FC236}">
              <a16:creationId xmlns:a16="http://schemas.microsoft.com/office/drawing/2014/main" id="{00000000-0008-0000-0200-0000F50B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062" name="Line 1">
          <a:extLst>
            <a:ext uri="{FF2B5EF4-FFF2-40B4-BE49-F238E27FC236}">
              <a16:creationId xmlns:a16="http://schemas.microsoft.com/office/drawing/2014/main" id="{00000000-0008-0000-0200-0000F60B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063" name="Drawing 16">
          <a:extLst>
            <a:ext uri="{FF2B5EF4-FFF2-40B4-BE49-F238E27FC236}">
              <a16:creationId xmlns:a16="http://schemas.microsoft.com/office/drawing/2014/main" id="{00000000-0008-0000-0200-0000F70B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064" name="Line 3">
          <a:extLst>
            <a:ext uri="{FF2B5EF4-FFF2-40B4-BE49-F238E27FC236}">
              <a16:creationId xmlns:a16="http://schemas.microsoft.com/office/drawing/2014/main" id="{00000000-0008-0000-0200-0000F80B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065" name="Line 4">
          <a:extLst>
            <a:ext uri="{FF2B5EF4-FFF2-40B4-BE49-F238E27FC236}">
              <a16:creationId xmlns:a16="http://schemas.microsoft.com/office/drawing/2014/main" id="{00000000-0008-0000-0200-0000F90B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066" name="Line 5">
          <a:extLst>
            <a:ext uri="{FF2B5EF4-FFF2-40B4-BE49-F238E27FC236}">
              <a16:creationId xmlns:a16="http://schemas.microsoft.com/office/drawing/2014/main" id="{00000000-0008-0000-0200-0000FA0B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067" name="Line 6">
          <a:extLst>
            <a:ext uri="{FF2B5EF4-FFF2-40B4-BE49-F238E27FC236}">
              <a16:creationId xmlns:a16="http://schemas.microsoft.com/office/drawing/2014/main" id="{00000000-0008-0000-0200-0000FB0B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068" name="Line 7">
          <a:extLst>
            <a:ext uri="{FF2B5EF4-FFF2-40B4-BE49-F238E27FC236}">
              <a16:creationId xmlns:a16="http://schemas.microsoft.com/office/drawing/2014/main" id="{00000000-0008-0000-0200-0000FC0B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069" name="Line 8">
          <a:extLst>
            <a:ext uri="{FF2B5EF4-FFF2-40B4-BE49-F238E27FC236}">
              <a16:creationId xmlns:a16="http://schemas.microsoft.com/office/drawing/2014/main" id="{00000000-0008-0000-0200-0000FD0B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070" name="Line 9">
          <a:extLst>
            <a:ext uri="{FF2B5EF4-FFF2-40B4-BE49-F238E27FC236}">
              <a16:creationId xmlns:a16="http://schemas.microsoft.com/office/drawing/2014/main" id="{00000000-0008-0000-0200-0000FE0B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071" name="Line 10">
          <a:extLst>
            <a:ext uri="{FF2B5EF4-FFF2-40B4-BE49-F238E27FC236}">
              <a16:creationId xmlns:a16="http://schemas.microsoft.com/office/drawing/2014/main" id="{00000000-0008-0000-0200-0000FF0B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072" name="Line 11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073" name="Line 12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074" name="Line 13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75" name="Line 14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076" name="Line 15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077" name="Line 16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078" name="Line 17">
          <a:extLst>
            <a:ext uri="{FF2B5EF4-FFF2-40B4-BE49-F238E27FC236}">
              <a16:creationId xmlns:a16="http://schemas.microsoft.com/office/drawing/2014/main" id="{00000000-0008-0000-0200-000006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079" name="Line 18">
          <a:extLst>
            <a:ext uri="{FF2B5EF4-FFF2-40B4-BE49-F238E27FC236}">
              <a16:creationId xmlns:a16="http://schemas.microsoft.com/office/drawing/2014/main" id="{00000000-0008-0000-0200-000007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080" name="Line 19">
          <a:extLst>
            <a:ext uri="{FF2B5EF4-FFF2-40B4-BE49-F238E27FC236}">
              <a16:creationId xmlns:a16="http://schemas.microsoft.com/office/drawing/2014/main" id="{00000000-0008-0000-0200-000008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081" name="Line 20">
          <a:extLst>
            <a:ext uri="{FF2B5EF4-FFF2-40B4-BE49-F238E27FC236}">
              <a16:creationId xmlns:a16="http://schemas.microsoft.com/office/drawing/2014/main" id="{00000000-0008-0000-0200-000009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082" name="Line 21">
          <a:extLst>
            <a:ext uri="{FF2B5EF4-FFF2-40B4-BE49-F238E27FC236}">
              <a16:creationId xmlns:a16="http://schemas.microsoft.com/office/drawing/2014/main" id="{00000000-0008-0000-0200-00000A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083" name="Line 22">
          <a:extLst>
            <a:ext uri="{FF2B5EF4-FFF2-40B4-BE49-F238E27FC236}">
              <a16:creationId xmlns:a16="http://schemas.microsoft.com/office/drawing/2014/main" id="{00000000-0008-0000-0200-00000B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084" name="Line 23">
          <a:extLst>
            <a:ext uri="{FF2B5EF4-FFF2-40B4-BE49-F238E27FC236}">
              <a16:creationId xmlns:a16="http://schemas.microsoft.com/office/drawing/2014/main" id="{00000000-0008-0000-0200-00000C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085" name="Line 24">
          <a:extLst>
            <a:ext uri="{FF2B5EF4-FFF2-40B4-BE49-F238E27FC236}">
              <a16:creationId xmlns:a16="http://schemas.microsoft.com/office/drawing/2014/main" id="{00000000-0008-0000-0200-00000D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086" name="Line 25">
          <a:extLst>
            <a:ext uri="{FF2B5EF4-FFF2-40B4-BE49-F238E27FC236}">
              <a16:creationId xmlns:a16="http://schemas.microsoft.com/office/drawing/2014/main" id="{00000000-0008-0000-0200-00000E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087" name="Line 26">
          <a:extLst>
            <a:ext uri="{FF2B5EF4-FFF2-40B4-BE49-F238E27FC236}">
              <a16:creationId xmlns:a16="http://schemas.microsoft.com/office/drawing/2014/main" id="{00000000-0008-0000-0200-00000F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088" name="Line 27">
          <a:extLst>
            <a:ext uri="{FF2B5EF4-FFF2-40B4-BE49-F238E27FC236}">
              <a16:creationId xmlns:a16="http://schemas.microsoft.com/office/drawing/2014/main" id="{00000000-0008-0000-0200-000010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089" name="Line 28">
          <a:extLst>
            <a:ext uri="{FF2B5EF4-FFF2-40B4-BE49-F238E27FC236}">
              <a16:creationId xmlns:a16="http://schemas.microsoft.com/office/drawing/2014/main" id="{00000000-0008-0000-0200-000011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090" name="Line 29">
          <a:extLst>
            <a:ext uri="{FF2B5EF4-FFF2-40B4-BE49-F238E27FC236}">
              <a16:creationId xmlns:a16="http://schemas.microsoft.com/office/drawing/2014/main" id="{00000000-0008-0000-0200-000012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091" name="Line 30">
          <a:extLst>
            <a:ext uri="{FF2B5EF4-FFF2-40B4-BE49-F238E27FC236}">
              <a16:creationId xmlns:a16="http://schemas.microsoft.com/office/drawing/2014/main" id="{00000000-0008-0000-0200-000013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092" name="Line 31">
          <a:extLst>
            <a:ext uri="{FF2B5EF4-FFF2-40B4-BE49-F238E27FC236}">
              <a16:creationId xmlns:a16="http://schemas.microsoft.com/office/drawing/2014/main" id="{00000000-0008-0000-0200-000014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093" name="Line 32">
          <a:extLst>
            <a:ext uri="{FF2B5EF4-FFF2-40B4-BE49-F238E27FC236}">
              <a16:creationId xmlns:a16="http://schemas.microsoft.com/office/drawing/2014/main" id="{00000000-0008-0000-0200-000015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094" name="Line 33">
          <a:extLst>
            <a:ext uri="{FF2B5EF4-FFF2-40B4-BE49-F238E27FC236}">
              <a16:creationId xmlns:a16="http://schemas.microsoft.com/office/drawing/2014/main" id="{00000000-0008-0000-0200-000016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095" name="Line 34">
          <a:extLst>
            <a:ext uri="{FF2B5EF4-FFF2-40B4-BE49-F238E27FC236}">
              <a16:creationId xmlns:a16="http://schemas.microsoft.com/office/drawing/2014/main" id="{00000000-0008-0000-0200-000017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096" name="Line 35">
          <a:extLst>
            <a:ext uri="{FF2B5EF4-FFF2-40B4-BE49-F238E27FC236}">
              <a16:creationId xmlns:a16="http://schemas.microsoft.com/office/drawing/2014/main" id="{00000000-0008-0000-0200-000018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097" name="Line 36">
          <a:extLst>
            <a:ext uri="{FF2B5EF4-FFF2-40B4-BE49-F238E27FC236}">
              <a16:creationId xmlns:a16="http://schemas.microsoft.com/office/drawing/2014/main" id="{00000000-0008-0000-0200-000019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098" name="Line 37">
          <a:extLst>
            <a:ext uri="{FF2B5EF4-FFF2-40B4-BE49-F238E27FC236}">
              <a16:creationId xmlns:a16="http://schemas.microsoft.com/office/drawing/2014/main" id="{00000000-0008-0000-0200-00001A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099" name="Line 38">
          <a:extLst>
            <a:ext uri="{FF2B5EF4-FFF2-40B4-BE49-F238E27FC236}">
              <a16:creationId xmlns:a16="http://schemas.microsoft.com/office/drawing/2014/main" id="{00000000-0008-0000-0200-00001B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100" name="Line 39">
          <a:extLst>
            <a:ext uri="{FF2B5EF4-FFF2-40B4-BE49-F238E27FC236}">
              <a16:creationId xmlns:a16="http://schemas.microsoft.com/office/drawing/2014/main" id="{00000000-0008-0000-0200-00001C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101" name="Line 40">
          <a:extLst>
            <a:ext uri="{FF2B5EF4-FFF2-40B4-BE49-F238E27FC236}">
              <a16:creationId xmlns:a16="http://schemas.microsoft.com/office/drawing/2014/main" id="{00000000-0008-0000-0200-00001D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102" name="Line 41">
          <a:extLst>
            <a:ext uri="{FF2B5EF4-FFF2-40B4-BE49-F238E27FC236}">
              <a16:creationId xmlns:a16="http://schemas.microsoft.com/office/drawing/2014/main" id="{00000000-0008-0000-0200-00001E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103" name="Rectangle 42">
          <a:extLst>
            <a:ext uri="{FF2B5EF4-FFF2-40B4-BE49-F238E27FC236}">
              <a16:creationId xmlns:a16="http://schemas.microsoft.com/office/drawing/2014/main" id="{00000000-0008-0000-0200-00001F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04" name="Line 43">
          <a:extLst>
            <a:ext uri="{FF2B5EF4-FFF2-40B4-BE49-F238E27FC236}">
              <a16:creationId xmlns:a16="http://schemas.microsoft.com/office/drawing/2014/main" id="{00000000-0008-0000-0200-000020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05" name="Line 44">
          <a:extLst>
            <a:ext uri="{FF2B5EF4-FFF2-40B4-BE49-F238E27FC236}">
              <a16:creationId xmlns:a16="http://schemas.microsoft.com/office/drawing/2014/main" id="{00000000-0008-0000-0200-000021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106" name="Line 45">
          <a:extLst>
            <a:ext uri="{FF2B5EF4-FFF2-40B4-BE49-F238E27FC236}">
              <a16:creationId xmlns:a16="http://schemas.microsoft.com/office/drawing/2014/main" id="{00000000-0008-0000-0200-000022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107" name="Line 46">
          <a:extLst>
            <a:ext uri="{FF2B5EF4-FFF2-40B4-BE49-F238E27FC236}">
              <a16:creationId xmlns:a16="http://schemas.microsoft.com/office/drawing/2014/main" id="{00000000-0008-0000-0200-000023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108" name="Line 47">
          <a:extLst>
            <a:ext uri="{FF2B5EF4-FFF2-40B4-BE49-F238E27FC236}">
              <a16:creationId xmlns:a16="http://schemas.microsoft.com/office/drawing/2014/main" id="{00000000-0008-0000-0200-000024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109" name="Line 48">
          <a:extLst>
            <a:ext uri="{FF2B5EF4-FFF2-40B4-BE49-F238E27FC236}">
              <a16:creationId xmlns:a16="http://schemas.microsoft.com/office/drawing/2014/main" id="{00000000-0008-0000-0200-000025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110" name="Line 49">
          <a:extLst>
            <a:ext uri="{FF2B5EF4-FFF2-40B4-BE49-F238E27FC236}">
              <a16:creationId xmlns:a16="http://schemas.microsoft.com/office/drawing/2014/main" id="{00000000-0008-0000-0200-000026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111" name="Line 50">
          <a:extLst>
            <a:ext uri="{FF2B5EF4-FFF2-40B4-BE49-F238E27FC236}">
              <a16:creationId xmlns:a16="http://schemas.microsoft.com/office/drawing/2014/main" id="{00000000-0008-0000-0200-000027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112" name="Line 51">
          <a:extLst>
            <a:ext uri="{FF2B5EF4-FFF2-40B4-BE49-F238E27FC236}">
              <a16:creationId xmlns:a16="http://schemas.microsoft.com/office/drawing/2014/main" id="{00000000-0008-0000-0200-000028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113" name="Line 52">
          <a:extLst>
            <a:ext uri="{FF2B5EF4-FFF2-40B4-BE49-F238E27FC236}">
              <a16:creationId xmlns:a16="http://schemas.microsoft.com/office/drawing/2014/main" id="{00000000-0008-0000-0200-000029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114" name="Line 53">
          <a:extLst>
            <a:ext uri="{FF2B5EF4-FFF2-40B4-BE49-F238E27FC236}">
              <a16:creationId xmlns:a16="http://schemas.microsoft.com/office/drawing/2014/main" id="{00000000-0008-0000-0200-00002A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115" name="Line 54">
          <a:extLst>
            <a:ext uri="{FF2B5EF4-FFF2-40B4-BE49-F238E27FC236}">
              <a16:creationId xmlns:a16="http://schemas.microsoft.com/office/drawing/2014/main" id="{00000000-0008-0000-0200-00002B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116" name="Line 55">
          <a:extLst>
            <a:ext uri="{FF2B5EF4-FFF2-40B4-BE49-F238E27FC236}">
              <a16:creationId xmlns:a16="http://schemas.microsoft.com/office/drawing/2014/main" id="{00000000-0008-0000-0200-00002C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117" name="Line 56">
          <a:extLst>
            <a:ext uri="{FF2B5EF4-FFF2-40B4-BE49-F238E27FC236}">
              <a16:creationId xmlns:a16="http://schemas.microsoft.com/office/drawing/2014/main" id="{00000000-0008-0000-0200-00002D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118" name="Rectangle 57">
          <a:extLst>
            <a:ext uri="{FF2B5EF4-FFF2-40B4-BE49-F238E27FC236}">
              <a16:creationId xmlns:a16="http://schemas.microsoft.com/office/drawing/2014/main" id="{00000000-0008-0000-0200-00002E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119" name="Line 58">
          <a:extLst>
            <a:ext uri="{FF2B5EF4-FFF2-40B4-BE49-F238E27FC236}">
              <a16:creationId xmlns:a16="http://schemas.microsoft.com/office/drawing/2014/main" id="{00000000-0008-0000-0200-00002F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120" name="Line 59">
          <a:extLst>
            <a:ext uri="{FF2B5EF4-FFF2-40B4-BE49-F238E27FC236}">
              <a16:creationId xmlns:a16="http://schemas.microsoft.com/office/drawing/2014/main" id="{00000000-0008-0000-0200-000030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121" name="Line 60">
          <a:extLst>
            <a:ext uri="{FF2B5EF4-FFF2-40B4-BE49-F238E27FC236}">
              <a16:creationId xmlns:a16="http://schemas.microsoft.com/office/drawing/2014/main" id="{00000000-0008-0000-0200-000031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122" name="Line 61">
          <a:extLst>
            <a:ext uri="{FF2B5EF4-FFF2-40B4-BE49-F238E27FC236}">
              <a16:creationId xmlns:a16="http://schemas.microsoft.com/office/drawing/2014/main" id="{00000000-0008-0000-0200-000032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123" name="Line 62">
          <a:extLst>
            <a:ext uri="{FF2B5EF4-FFF2-40B4-BE49-F238E27FC236}">
              <a16:creationId xmlns:a16="http://schemas.microsoft.com/office/drawing/2014/main" id="{00000000-0008-0000-0200-000033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124" name="Line 63">
          <a:extLst>
            <a:ext uri="{FF2B5EF4-FFF2-40B4-BE49-F238E27FC236}">
              <a16:creationId xmlns:a16="http://schemas.microsoft.com/office/drawing/2014/main" id="{00000000-0008-0000-0200-0000340C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125" name="Line 64">
          <a:extLst>
            <a:ext uri="{FF2B5EF4-FFF2-40B4-BE49-F238E27FC236}">
              <a16:creationId xmlns:a16="http://schemas.microsoft.com/office/drawing/2014/main" id="{00000000-0008-0000-0200-0000350C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126" name="Line 65">
          <a:extLst>
            <a:ext uri="{FF2B5EF4-FFF2-40B4-BE49-F238E27FC236}">
              <a16:creationId xmlns:a16="http://schemas.microsoft.com/office/drawing/2014/main" id="{00000000-0008-0000-0200-0000360C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127" name="Line 66">
          <a:extLst>
            <a:ext uri="{FF2B5EF4-FFF2-40B4-BE49-F238E27FC236}">
              <a16:creationId xmlns:a16="http://schemas.microsoft.com/office/drawing/2014/main" id="{00000000-0008-0000-0200-0000370C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128" name="Line 67">
          <a:extLst>
            <a:ext uri="{FF2B5EF4-FFF2-40B4-BE49-F238E27FC236}">
              <a16:creationId xmlns:a16="http://schemas.microsoft.com/office/drawing/2014/main" id="{00000000-0008-0000-0200-0000380C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129" name="Line 68">
          <a:extLst>
            <a:ext uri="{FF2B5EF4-FFF2-40B4-BE49-F238E27FC236}">
              <a16:creationId xmlns:a16="http://schemas.microsoft.com/office/drawing/2014/main" id="{00000000-0008-0000-0200-0000390C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130" name="Line 1">
          <a:extLst>
            <a:ext uri="{FF2B5EF4-FFF2-40B4-BE49-F238E27FC236}">
              <a16:creationId xmlns:a16="http://schemas.microsoft.com/office/drawing/2014/main" id="{00000000-0008-0000-0200-00003A0C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131" name="Drawing 16">
          <a:extLst>
            <a:ext uri="{FF2B5EF4-FFF2-40B4-BE49-F238E27FC236}">
              <a16:creationId xmlns:a16="http://schemas.microsoft.com/office/drawing/2014/main" id="{00000000-0008-0000-0200-00003B0C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132" name="Line 3">
          <a:extLst>
            <a:ext uri="{FF2B5EF4-FFF2-40B4-BE49-F238E27FC236}">
              <a16:creationId xmlns:a16="http://schemas.microsoft.com/office/drawing/2014/main" id="{00000000-0008-0000-0200-00003C0C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133" name="Line 4">
          <a:extLst>
            <a:ext uri="{FF2B5EF4-FFF2-40B4-BE49-F238E27FC236}">
              <a16:creationId xmlns:a16="http://schemas.microsoft.com/office/drawing/2014/main" id="{00000000-0008-0000-0200-00003D0C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134" name="Line 5">
          <a:extLst>
            <a:ext uri="{FF2B5EF4-FFF2-40B4-BE49-F238E27FC236}">
              <a16:creationId xmlns:a16="http://schemas.microsoft.com/office/drawing/2014/main" id="{00000000-0008-0000-0200-00003E0C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135" name="Line 6">
          <a:extLst>
            <a:ext uri="{FF2B5EF4-FFF2-40B4-BE49-F238E27FC236}">
              <a16:creationId xmlns:a16="http://schemas.microsoft.com/office/drawing/2014/main" id="{00000000-0008-0000-0200-00003F0C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136" name="Line 7">
          <a:extLst>
            <a:ext uri="{FF2B5EF4-FFF2-40B4-BE49-F238E27FC236}">
              <a16:creationId xmlns:a16="http://schemas.microsoft.com/office/drawing/2014/main" id="{00000000-0008-0000-0200-0000400C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137" name="Line 8">
          <a:extLst>
            <a:ext uri="{FF2B5EF4-FFF2-40B4-BE49-F238E27FC236}">
              <a16:creationId xmlns:a16="http://schemas.microsoft.com/office/drawing/2014/main" id="{00000000-0008-0000-0200-0000410C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138" name="Line 9">
          <a:extLst>
            <a:ext uri="{FF2B5EF4-FFF2-40B4-BE49-F238E27FC236}">
              <a16:creationId xmlns:a16="http://schemas.microsoft.com/office/drawing/2014/main" id="{00000000-0008-0000-0200-0000420C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139" name="Line 10">
          <a:extLst>
            <a:ext uri="{FF2B5EF4-FFF2-40B4-BE49-F238E27FC236}">
              <a16:creationId xmlns:a16="http://schemas.microsoft.com/office/drawing/2014/main" id="{00000000-0008-0000-0200-0000430C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140" name="Line 11">
          <a:extLst>
            <a:ext uri="{FF2B5EF4-FFF2-40B4-BE49-F238E27FC236}">
              <a16:creationId xmlns:a16="http://schemas.microsoft.com/office/drawing/2014/main" id="{00000000-0008-0000-0200-000044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141" name="Line 12">
          <a:extLst>
            <a:ext uri="{FF2B5EF4-FFF2-40B4-BE49-F238E27FC236}">
              <a16:creationId xmlns:a16="http://schemas.microsoft.com/office/drawing/2014/main" id="{00000000-0008-0000-0200-000045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142" name="Line 13">
          <a:extLst>
            <a:ext uri="{FF2B5EF4-FFF2-40B4-BE49-F238E27FC236}">
              <a16:creationId xmlns:a16="http://schemas.microsoft.com/office/drawing/2014/main" id="{00000000-0008-0000-0200-000046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143" name="Line 14">
          <a:extLst>
            <a:ext uri="{FF2B5EF4-FFF2-40B4-BE49-F238E27FC236}">
              <a16:creationId xmlns:a16="http://schemas.microsoft.com/office/drawing/2014/main" id="{00000000-0008-0000-0200-000047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144" name="Line 15">
          <a:extLst>
            <a:ext uri="{FF2B5EF4-FFF2-40B4-BE49-F238E27FC236}">
              <a16:creationId xmlns:a16="http://schemas.microsoft.com/office/drawing/2014/main" id="{00000000-0008-0000-0200-000048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145" name="Line 16">
          <a:extLst>
            <a:ext uri="{FF2B5EF4-FFF2-40B4-BE49-F238E27FC236}">
              <a16:creationId xmlns:a16="http://schemas.microsoft.com/office/drawing/2014/main" id="{00000000-0008-0000-0200-000049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146" name="Line 17">
          <a:extLst>
            <a:ext uri="{FF2B5EF4-FFF2-40B4-BE49-F238E27FC236}">
              <a16:creationId xmlns:a16="http://schemas.microsoft.com/office/drawing/2014/main" id="{00000000-0008-0000-0200-00004A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147" name="Line 18">
          <a:extLst>
            <a:ext uri="{FF2B5EF4-FFF2-40B4-BE49-F238E27FC236}">
              <a16:creationId xmlns:a16="http://schemas.microsoft.com/office/drawing/2014/main" id="{00000000-0008-0000-0200-00004B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148" name="Line 19">
          <a:extLst>
            <a:ext uri="{FF2B5EF4-FFF2-40B4-BE49-F238E27FC236}">
              <a16:creationId xmlns:a16="http://schemas.microsoft.com/office/drawing/2014/main" id="{00000000-0008-0000-0200-00004C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149" name="Line 20">
          <a:extLst>
            <a:ext uri="{FF2B5EF4-FFF2-40B4-BE49-F238E27FC236}">
              <a16:creationId xmlns:a16="http://schemas.microsoft.com/office/drawing/2014/main" id="{00000000-0008-0000-0200-00004D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150" name="Line 21">
          <a:extLst>
            <a:ext uri="{FF2B5EF4-FFF2-40B4-BE49-F238E27FC236}">
              <a16:creationId xmlns:a16="http://schemas.microsoft.com/office/drawing/2014/main" id="{00000000-0008-0000-0200-00004E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151" name="Line 22">
          <a:extLst>
            <a:ext uri="{FF2B5EF4-FFF2-40B4-BE49-F238E27FC236}">
              <a16:creationId xmlns:a16="http://schemas.microsoft.com/office/drawing/2014/main" id="{00000000-0008-0000-0200-00004F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152" name="Line 23">
          <a:extLst>
            <a:ext uri="{FF2B5EF4-FFF2-40B4-BE49-F238E27FC236}">
              <a16:creationId xmlns:a16="http://schemas.microsoft.com/office/drawing/2014/main" id="{00000000-0008-0000-0200-000050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153" name="Line 24">
          <a:extLst>
            <a:ext uri="{FF2B5EF4-FFF2-40B4-BE49-F238E27FC236}">
              <a16:creationId xmlns:a16="http://schemas.microsoft.com/office/drawing/2014/main" id="{00000000-0008-0000-0200-000051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154" name="Line 25">
          <a:extLst>
            <a:ext uri="{FF2B5EF4-FFF2-40B4-BE49-F238E27FC236}">
              <a16:creationId xmlns:a16="http://schemas.microsoft.com/office/drawing/2014/main" id="{00000000-0008-0000-0200-000052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155" name="Line 26">
          <a:extLst>
            <a:ext uri="{FF2B5EF4-FFF2-40B4-BE49-F238E27FC236}">
              <a16:creationId xmlns:a16="http://schemas.microsoft.com/office/drawing/2014/main" id="{00000000-0008-0000-0200-000053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156" name="Line 27">
          <a:extLst>
            <a:ext uri="{FF2B5EF4-FFF2-40B4-BE49-F238E27FC236}">
              <a16:creationId xmlns:a16="http://schemas.microsoft.com/office/drawing/2014/main" id="{00000000-0008-0000-0200-000054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157" name="Line 28">
          <a:extLst>
            <a:ext uri="{FF2B5EF4-FFF2-40B4-BE49-F238E27FC236}">
              <a16:creationId xmlns:a16="http://schemas.microsoft.com/office/drawing/2014/main" id="{00000000-0008-0000-0200-000055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158" name="Line 29">
          <a:extLst>
            <a:ext uri="{FF2B5EF4-FFF2-40B4-BE49-F238E27FC236}">
              <a16:creationId xmlns:a16="http://schemas.microsoft.com/office/drawing/2014/main" id="{00000000-0008-0000-0200-000056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159" name="Line 30">
          <a:extLst>
            <a:ext uri="{FF2B5EF4-FFF2-40B4-BE49-F238E27FC236}">
              <a16:creationId xmlns:a16="http://schemas.microsoft.com/office/drawing/2014/main" id="{00000000-0008-0000-0200-000057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160" name="Line 31">
          <a:extLst>
            <a:ext uri="{FF2B5EF4-FFF2-40B4-BE49-F238E27FC236}">
              <a16:creationId xmlns:a16="http://schemas.microsoft.com/office/drawing/2014/main" id="{00000000-0008-0000-0200-000058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161" name="Line 32">
          <a:extLst>
            <a:ext uri="{FF2B5EF4-FFF2-40B4-BE49-F238E27FC236}">
              <a16:creationId xmlns:a16="http://schemas.microsoft.com/office/drawing/2014/main" id="{00000000-0008-0000-0200-000059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162" name="Line 33">
          <a:extLst>
            <a:ext uri="{FF2B5EF4-FFF2-40B4-BE49-F238E27FC236}">
              <a16:creationId xmlns:a16="http://schemas.microsoft.com/office/drawing/2014/main" id="{00000000-0008-0000-0200-00005A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163" name="Line 34">
          <a:extLst>
            <a:ext uri="{FF2B5EF4-FFF2-40B4-BE49-F238E27FC236}">
              <a16:creationId xmlns:a16="http://schemas.microsoft.com/office/drawing/2014/main" id="{00000000-0008-0000-0200-00005B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164" name="Line 35">
          <a:extLst>
            <a:ext uri="{FF2B5EF4-FFF2-40B4-BE49-F238E27FC236}">
              <a16:creationId xmlns:a16="http://schemas.microsoft.com/office/drawing/2014/main" id="{00000000-0008-0000-0200-00005C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165" name="Line 36">
          <a:extLst>
            <a:ext uri="{FF2B5EF4-FFF2-40B4-BE49-F238E27FC236}">
              <a16:creationId xmlns:a16="http://schemas.microsoft.com/office/drawing/2014/main" id="{00000000-0008-0000-0200-00005D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166" name="Line 37">
          <a:extLst>
            <a:ext uri="{FF2B5EF4-FFF2-40B4-BE49-F238E27FC236}">
              <a16:creationId xmlns:a16="http://schemas.microsoft.com/office/drawing/2014/main" id="{00000000-0008-0000-0200-00005E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167" name="Line 38">
          <a:extLst>
            <a:ext uri="{FF2B5EF4-FFF2-40B4-BE49-F238E27FC236}">
              <a16:creationId xmlns:a16="http://schemas.microsoft.com/office/drawing/2014/main" id="{00000000-0008-0000-0200-00005F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168" name="Line 39">
          <a:extLst>
            <a:ext uri="{FF2B5EF4-FFF2-40B4-BE49-F238E27FC236}">
              <a16:creationId xmlns:a16="http://schemas.microsoft.com/office/drawing/2014/main" id="{00000000-0008-0000-0200-000060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169" name="Line 40">
          <a:extLst>
            <a:ext uri="{FF2B5EF4-FFF2-40B4-BE49-F238E27FC236}">
              <a16:creationId xmlns:a16="http://schemas.microsoft.com/office/drawing/2014/main" id="{00000000-0008-0000-0200-000061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170" name="Line 41">
          <a:extLst>
            <a:ext uri="{FF2B5EF4-FFF2-40B4-BE49-F238E27FC236}">
              <a16:creationId xmlns:a16="http://schemas.microsoft.com/office/drawing/2014/main" id="{00000000-0008-0000-0200-000062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171" name="Rectangle 42">
          <a:extLst>
            <a:ext uri="{FF2B5EF4-FFF2-40B4-BE49-F238E27FC236}">
              <a16:creationId xmlns:a16="http://schemas.microsoft.com/office/drawing/2014/main" id="{00000000-0008-0000-0200-000063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72" name="Line 43">
          <a:extLst>
            <a:ext uri="{FF2B5EF4-FFF2-40B4-BE49-F238E27FC236}">
              <a16:creationId xmlns:a16="http://schemas.microsoft.com/office/drawing/2014/main" id="{00000000-0008-0000-0200-000064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173" name="Line 44">
          <a:extLst>
            <a:ext uri="{FF2B5EF4-FFF2-40B4-BE49-F238E27FC236}">
              <a16:creationId xmlns:a16="http://schemas.microsoft.com/office/drawing/2014/main" id="{00000000-0008-0000-0200-000065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174" name="Line 45">
          <a:extLst>
            <a:ext uri="{FF2B5EF4-FFF2-40B4-BE49-F238E27FC236}">
              <a16:creationId xmlns:a16="http://schemas.microsoft.com/office/drawing/2014/main" id="{00000000-0008-0000-0200-000066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175" name="Line 46">
          <a:extLst>
            <a:ext uri="{FF2B5EF4-FFF2-40B4-BE49-F238E27FC236}">
              <a16:creationId xmlns:a16="http://schemas.microsoft.com/office/drawing/2014/main" id="{00000000-0008-0000-0200-000067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176" name="Line 47">
          <a:extLst>
            <a:ext uri="{FF2B5EF4-FFF2-40B4-BE49-F238E27FC236}">
              <a16:creationId xmlns:a16="http://schemas.microsoft.com/office/drawing/2014/main" id="{00000000-0008-0000-0200-000068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177" name="Line 48">
          <a:extLst>
            <a:ext uri="{FF2B5EF4-FFF2-40B4-BE49-F238E27FC236}">
              <a16:creationId xmlns:a16="http://schemas.microsoft.com/office/drawing/2014/main" id="{00000000-0008-0000-0200-000069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178" name="Line 49">
          <a:extLst>
            <a:ext uri="{FF2B5EF4-FFF2-40B4-BE49-F238E27FC236}">
              <a16:creationId xmlns:a16="http://schemas.microsoft.com/office/drawing/2014/main" id="{00000000-0008-0000-0200-00006A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179" name="Line 50">
          <a:extLst>
            <a:ext uri="{FF2B5EF4-FFF2-40B4-BE49-F238E27FC236}">
              <a16:creationId xmlns:a16="http://schemas.microsoft.com/office/drawing/2014/main" id="{00000000-0008-0000-0200-00006B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180" name="Line 51">
          <a:extLst>
            <a:ext uri="{FF2B5EF4-FFF2-40B4-BE49-F238E27FC236}">
              <a16:creationId xmlns:a16="http://schemas.microsoft.com/office/drawing/2014/main" id="{00000000-0008-0000-0200-00006C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181" name="Line 52">
          <a:extLst>
            <a:ext uri="{FF2B5EF4-FFF2-40B4-BE49-F238E27FC236}">
              <a16:creationId xmlns:a16="http://schemas.microsoft.com/office/drawing/2014/main" id="{00000000-0008-0000-0200-00006D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182" name="Line 53">
          <a:extLst>
            <a:ext uri="{FF2B5EF4-FFF2-40B4-BE49-F238E27FC236}">
              <a16:creationId xmlns:a16="http://schemas.microsoft.com/office/drawing/2014/main" id="{00000000-0008-0000-0200-00006E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183" name="Line 54">
          <a:extLst>
            <a:ext uri="{FF2B5EF4-FFF2-40B4-BE49-F238E27FC236}">
              <a16:creationId xmlns:a16="http://schemas.microsoft.com/office/drawing/2014/main" id="{00000000-0008-0000-0200-00006F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184" name="Line 55">
          <a:extLst>
            <a:ext uri="{FF2B5EF4-FFF2-40B4-BE49-F238E27FC236}">
              <a16:creationId xmlns:a16="http://schemas.microsoft.com/office/drawing/2014/main" id="{00000000-0008-0000-0200-000070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185" name="Line 56">
          <a:extLst>
            <a:ext uri="{FF2B5EF4-FFF2-40B4-BE49-F238E27FC236}">
              <a16:creationId xmlns:a16="http://schemas.microsoft.com/office/drawing/2014/main" id="{00000000-0008-0000-0200-000071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186" name="Rectangle 57">
          <a:extLst>
            <a:ext uri="{FF2B5EF4-FFF2-40B4-BE49-F238E27FC236}">
              <a16:creationId xmlns:a16="http://schemas.microsoft.com/office/drawing/2014/main" id="{00000000-0008-0000-0200-000072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187" name="Line 58">
          <a:extLst>
            <a:ext uri="{FF2B5EF4-FFF2-40B4-BE49-F238E27FC236}">
              <a16:creationId xmlns:a16="http://schemas.microsoft.com/office/drawing/2014/main" id="{00000000-0008-0000-0200-000073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188" name="Line 59">
          <a:extLst>
            <a:ext uri="{FF2B5EF4-FFF2-40B4-BE49-F238E27FC236}">
              <a16:creationId xmlns:a16="http://schemas.microsoft.com/office/drawing/2014/main" id="{00000000-0008-0000-0200-000074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189" name="Line 60">
          <a:extLst>
            <a:ext uri="{FF2B5EF4-FFF2-40B4-BE49-F238E27FC236}">
              <a16:creationId xmlns:a16="http://schemas.microsoft.com/office/drawing/2014/main" id="{00000000-0008-0000-0200-000075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190" name="Line 61">
          <a:extLst>
            <a:ext uri="{FF2B5EF4-FFF2-40B4-BE49-F238E27FC236}">
              <a16:creationId xmlns:a16="http://schemas.microsoft.com/office/drawing/2014/main" id="{00000000-0008-0000-0200-000076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191" name="Line 62">
          <a:extLst>
            <a:ext uri="{FF2B5EF4-FFF2-40B4-BE49-F238E27FC236}">
              <a16:creationId xmlns:a16="http://schemas.microsoft.com/office/drawing/2014/main" id="{00000000-0008-0000-0200-000077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192" name="Line 63">
          <a:extLst>
            <a:ext uri="{FF2B5EF4-FFF2-40B4-BE49-F238E27FC236}">
              <a16:creationId xmlns:a16="http://schemas.microsoft.com/office/drawing/2014/main" id="{00000000-0008-0000-0200-0000780C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193" name="Line 64">
          <a:extLst>
            <a:ext uri="{FF2B5EF4-FFF2-40B4-BE49-F238E27FC236}">
              <a16:creationId xmlns:a16="http://schemas.microsoft.com/office/drawing/2014/main" id="{00000000-0008-0000-0200-0000790C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194" name="Line 65">
          <a:extLst>
            <a:ext uri="{FF2B5EF4-FFF2-40B4-BE49-F238E27FC236}">
              <a16:creationId xmlns:a16="http://schemas.microsoft.com/office/drawing/2014/main" id="{00000000-0008-0000-0200-00007A0C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195" name="Line 66">
          <a:extLst>
            <a:ext uri="{FF2B5EF4-FFF2-40B4-BE49-F238E27FC236}">
              <a16:creationId xmlns:a16="http://schemas.microsoft.com/office/drawing/2014/main" id="{00000000-0008-0000-0200-00007B0C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196" name="Line 67">
          <a:extLst>
            <a:ext uri="{FF2B5EF4-FFF2-40B4-BE49-F238E27FC236}">
              <a16:creationId xmlns:a16="http://schemas.microsoft.com/office/drawing/2014/main" id="{00000000-0008-0000-0200-00007C0C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197" name="Line 68">
          <a:extLst>
            <a:ext uri="{FF2B5EF4-FFF2-40B4-BE49-F238E27FC236}">
              <a16:creationId xmlns:a16="http://schemas.microsoft.com/office/drawing/2014/main" id="{00000000-0008-0000-0200-00007D0C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198" name="Line 1">
          <a:extLst>
            <a:ext uri="{FF2B5EF4-FFF2-40B4-BE49-F238E27FC236}">
              <a16:creationId xmlns:a16="http://schemas.microsoft.com/office/drawing/2014/main" id="{00000000-0008-0000-0200-00007E0C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199" name="Drawing 16">
          <a:extLst>
            <a:ext uri="{FF2B5EF4-FFF2-40B4-BE49-F238E27FC236}">
              <a16:creationId xmlns:a16="http://schemas.microsoft.com/office/drawing/2014/main" id="{00000000-0008-0000-0200-00007F0C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200" name="Line 3">
          <a:extLst>
            <a:ext uri="{FF2B5EF4-FFF2-40B4-BE49-F238E27FC236}">
              <a16:creationId xmlns:a16="http://schemas.microsoft.com/office/drawing/2014/main" id="{00000000-0008-0000-0200-0000800C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201" name="Line 4">
          <a:extLst>
            <a:ext uri="{FF2B5EF4-FFF2-40B4-BE49-F238E27FC236}">
              <a16:creationId xmlns:a16="http://schemas.microsoft.com/office/drawing/2014/main" id="{00000000-0008-0000-0200-0000810C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202" name="Line 5">
          <a:extLst>
            <a:ext uri="{FF2B5EF4-FFF2-40B4-BE49-F238E27FC236}">
              <a16:creationId xmlns:a16="http://schemas.microsoft.com/office/drawing/2014/main" id="{00000000-0008-0000-0200-0000820C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203" name="Line 6">
          <a:extLst>
            <a:ext uri="{FF2B5EF4-FFF2-40B4-BE49-F238E27FC236}">
              <a16:creationId xmlns:a16="http://schemas.microsoft.com/office/drawing/2014/main" id="{00000000-0008-0000-0200-0000830C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204" name="Line 7">
          <a:extLst>
            <a:ext uri="{FF2B5EF4-FFF2-40B4-BE49-F238E27FC236}">
              <a16:creationId xmlns:a16="http://schemas.microsoft.com/office/drawing/2014/main" id="{00000000-0008-0000-0200-0000840C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205" name="Line 8">
          <a:extLst>
            <a:ext uri="{FF2B5EF4-FFF2-40B4-BE49-F238E27FC236}">
              <a16:creationId xmlns:a16="http://schemas.microsoft.com/office/drawing/2014/main" id="{00000000-0008-0000-0200-0000850C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206" name="Line 9">
          <a:extLst>
            <a:ext uri="{FF2B5EF4-FFF2-40B4-BE49-F238E27FC236}">
              <a16:creationId xmlns:a16="http://schemas.microsoft.com/office/drawing/2014/main" id="{00000000-0008-0000-0200-0000860C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207" name="Line 10">
          <a:extLst>
            <a:ext uri="{FF2B5EF4-FFF2-40B4-BE49-F238E27FC236}">
              <a16:creationId xmlns:a16="http://schemas.microsoft.com/office/drawing/2014/main" id="{00000000-0008-0000-0200-0000870C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208" name="Line 11">
          <a:extLst>
            <a:ext uri="{FF2B5EF4-FFF2-40B4-BE49-F238E27FC236}">
              <a16:creationId xmlns:a16="http://schemas.microsoft.com/office/drawing/2014/main" id="{00000000-0008-0000-0200-000088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209" name="Line 12">
          <a:extLst>
            <a:ext uri="{FF2B5EF4-FFF2-40B4-BE49-F238E27FC236}">
              <a16:creationId xmlns:a16="http://schemas.microsoft.com/office/drawing/2014/main" id="{00000000-0008-0000-0200-000089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210" name="Line 13">
          <a:extLst>
            <a:ext uri="{FF2B5EF4-FFF2-40B4-BE49-F238E27FC236}">
              <a16:creationId xmlns:a16="http://schemas.microsoft.com/office/drawing/2014/main" id="{00000000-0008-0000-0200-00008A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11" name="Line 14">
          <a:extLst>
            <a:ext uri="{FF2B5EF4-FFF2-40B4-BE49-F238E27FC236}">
              <a16:creationId xmlns:a16="http://schemas.microsoft.com/office/drawing/2014/main" id="{00000000-0008-0000-0200-00008B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212" name="Line 15">
          <a:extLst>
            <a:ext uri="{FF2B5EF4-FFF2-40B4-BE49-F238E27FC236}">
              <a16:creationId xmlns:a16="http://schemas.microsoft.com/office/drawing/2014/main" id="{00000000-0008-0000-0200-00008C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13" name="Line 16">
          <a:extLst>
            <a:ext uri="{FF2B5EF4-FFF2-40B4-BE49-F238E27FC236}">
              <a16:creationId xmlns:a16="http://schemas.microsoft.com/office/drawing/2014/main" id="{00000000-0008-0000-0200-00008D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214" name="Line 17">
          <a:extLst>
            <a:ext uri="{FF2B5EF4-FFF2-40B4-BE49-F238E27FC236}">
              <a16:creationId xmlns:a16="http://schemas.microsoft.com/office/drawing/2014/main" id="{00000000-0008-0000-0200-00008E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215" name="Line 18">
          <a:extLst>
            <a:ext uri="{FF2B5EF4-FFF2-40B4-BE49-F238E27FC236}">
              <a16:creationId xmlns:a16="http://schemas.microsoft.com/office/drawing/2014/main" id="{00000000-0008-0000-0200-00008F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216" name="Line 19">
          <a:extLst>
            <a:ext uri="{FF2B5EF4-FFF2-40B4-BE49-F238E27FC236}">
              <a16:creationId xmlns:a16="http://schemas.microsoft.com/office/drawing/2014/main" id="{00000000-0008-0000-0200-000090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217" name="Line 20">
          <a:extLst>
            <a:ext uri="{FF2B5EF4-FFF2-40B4-BE49-F238E27FC236}">
              <a16:creationId xmlns:a16="http://schemas.microsoft.com/office/drawing/2014/main" id="{00000000-0008-0000-0200-000091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218" name="Line 21">
          <a:extLst>
            <a:ext uri="{FF2B5EF4-FFF2-40B4-BE49-F238E27FC236}">
              <a16:creationId xmlns:a16="http://schemas.microsoft.com/office/drawing/2014/main" id="{00000000-0008-0000-0200-000092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219" name="Line 22">
          <a:extLst>
            <a:ext uri="{FF2B5EF4-FFF2-40B4-BE49-F238E27FC236}">
              <a16:creationId xmlns:a16="http://schemas.microsoft.com/office/drawing/2014/main" id="{00000000-0008-0000-0200-000093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220" name="Line 23">
          <a:extLst>
            <a:ext uri="{FF2B5EF4-FFF2-40B4-BE49-F238E27FC236}">
              <a16:creationId xmlns:a16="http://schemas.microsoft.com/office/drawing/2014/main" id="{00000000-0008-0000-0200-000094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221" name="Line 24">
          <a:extLst>
            <a:ext uri="{FF2B5EF4-FFF2-40B4-BE49-F238E27FC236}">
              <a16:creationId xmlns:a16="http://schemas.microsoft.com/office/drawing/2014/main" id="{00000000-0008-0000-0200-000095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222" name="Line 25">
          <a:extLst>
            <a:ext uri="{FF2B5EF4-FFF2-40B4-BE49-F238E27FC236}">
              <a16:creationId xmlns:a16="http://schemas.microsoft.com/office/drawing/2014/main" id="{00000000-0008-0000-0200-000096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223" name="Line 26">
          <a:extLst>
            <a:ext uri="{FF2B5EF4-FFF2-40B4-BE49-F238E27FC236}">
              <a16:creationId xmlns:a16="http://schemas.microsoft.com/office/drawing/2014/main" id="{00000000-0008-0000-0200-000097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224" name="Line 27">
          <a:extLst>
            <a:ext uri="{FF2B5EF4-FFF2-40B4-BE49-F238E27FC236}">
              <a16:creationId xmlns:a16="http://schemas.microsoft.com/office/drawing/2014/main" id="{00000000-0008-0000-0200-000098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225" name="Line 28">
          <a:extLst>
            <a:ext uri="{FF2B5EF4-FFF2-40B4-BE49-F238E27FC236}">
              <a16:creationId xmlns:a16="http://schemas.microsoft.com/office/drawing/2014/main" id="{00000000-0008-0000-0200-000099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226" name="Line 29">
          <a:extLst>
            <a:ext uri="{FF2B5EF4-FFF2-40B4-BE49-F238E27FC236}">
              <a16:creationId xmlns:a16="http://schemas.microsoft.com/office/drawing/2014/main" id="{00000000-0008-0000-0200-00009A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227" name="Line 30">
          <a:extLst>
            <a:ext uri="{FF2B5EF4-FFF2-40B4-BE49-F238E27FC236}">
              <a16:creationId xmlns:a16="http://schemas.microsoft.com/office/drawing/2014/main" id="{00000000-0008-0000-0200-00009B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228" name="Line 31">
          <a:extLst>
            <a:ext uri="{FF2B5EF4-FFF2-40B4-BE49-F238E27FC236}">
              <a16:creationId xmlns:a16="http://schemas.microsoft.com/office/drawing/2014/main" id="{00000000-0008-0000-0200-00009C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229" name="Line 32">
          <a:extLst>
            <a:ext uri="{FF2B5EF4-FFF2-40B4-BE49-F238E27FC236}">
              <a16:creationId xmlns:a16="http://schemas.microsoft.com/office/drawing/2014/main" id="{00000000-0008-0000-0200-00009D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230" name="Line 33">
          <a:extLst>
            <a:ext uri="{FF2B5EF4-FFF2-40B4-BE49-F238E27FC236}">
              <a16:creationId xmlns:a16="http://schemas.microsoft.com/office/drawing/2014/main" id="{00000000-0008-0000-0200-00009E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231" name="Line 34">
          <a:extLst>
            <a:ext uri="{FF2B5EF4-FFF2-40B4-BE49-F238E27FC236}">
              <a16:creationId xmlns:a16="http://schemas.microsoft.com/office/drawing/2014/main" id="{00000000-0008-0000-0200-00009F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232" name="Line 35">
          <a:extLst>
            <a:ext uri="{FF2B5EF4-FFF2-40B4-BE49-F238E27FC236}">
              <a16:creationId xmlns:a16="http://schemas.microsoft.com/office/drawing/2014/main" id="{00000000-0008-0000-0200-0000A0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233" name="Line 36">
          <a:extLst>
            <a:ext uri="{FF2B5EF4-FFF2-40B4-BE49-F238E27FC236}">
              <a16:creationId xmlns:a16="http://schemas.microsoft.com/office/drawing/2014/main" id="{00000000-0008-0000-0200-0000A1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234" name="Line 37">
          <a:extLst>
            <a:ext uri="{FF2B5EF4-FFF2-40B4-BE49-F238E27FC236}">
              <a16:creationId xmlns:a16="http://schemas.microsoft.com/office/drawing/2014/main" id="{00000000-0008-0000-0200-0000A2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235" name="Line 38">
          <a:extLst>
            <a:ext uri="{FF2B5EF4-FFF2-40B4-BE49-F238E27FC236}">
              <a16:creationId xmlns:a16="http://schemas.microsoft.com/office/drawing/2014/main" id="{00000000-0008-0000-0200-0000A3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236" name="Line 39">
          <a:extLst>
            <a:ext uri="{FF2B5EF4-FFF2-40B4-BE49-F238E27FC236}">
              <a16:creationId xmlns:a16="http://schemas.microsoft.com/office/drawing/2014/main" id="{00000000-0008-0000-0200-0000A4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237" name="Line 40">
          <a:extLst>
            <a:ext uri="{FF2B5EF4-FFF2-40B4-BE49-F238E27FC236}">
              <a16:creationId xmlns:a16="http://schemas.microsoft.com/office/drawing/2014/main" id="{00000000-0008-0000-0200-0000A5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238" name="Line 41">
          <a:extLst>
            <a:ext uri="{FF2B5EF4-FFF2-40B4-BE49-F238E27FC236}">
              <a16:creationId xmlns:a16="http://schemas.microsoft.com/office/drawing/2014/main" id="{00000000-0008-0000-0200-0000A6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239" name="Rectangle 42">
          <a:extLst>
            <a:ext uri="{FF2B5EF4-FFF2-40B4-BE49-F238E27FC236}">
              <a16:creationId xmlns:a16="http://schemas.microsoft.com/office/drawing/2014/main" id="{00000000-0008-0000-0200-0000A7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240" name="Line 43">
          <a:extLst>
            <a:ext uri="{FF2B5EF4-FFF2-40B4-BE49-F238E27FC236}">
              <a16:creationId xmlns:a16="http://schemas.microsoft.com/office/drawing/2014/main" id="{00000000-0008-0000-0200-0000A8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241" name="Line 44">
          <a:extLst>
            <a:ext uri="{FF2B5EF4-FFF2-40B4-BE49-F238E27FC236}">
              <a16:creationId xmlns:a16="http://schemas.microsoft.com/office/drawing/2014/main" id="{00000000-0008-0000-0200-0000A9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242" name="Line 45">
          <a:extLst>
            <a:ext uri="{FF2B5EF4-FFF2-40B4-BE49-F238E27FC236}">
              <a16:creationId xmlns:a16="http://schemas.microsoft.com/office/drawing/2014/main" id="{00000000-0008-0000-0200-0000AA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243" name="Line 46">
          <a:extLst>
            <a:ext uri="{FF2B5EF4-FFF2-40B4-BE49-F238E27FC236}">
              <a16:creationId xmlns:a16="http://schemas.microsoft.com/office/drawing/2014/main" id="{00000000-0008-0000-0200-0000AB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244" name="Line 47">
          <a:extLst>
            <a:ext uri="{FF2B5EF4-FFF2-40B4-BE49-F238E27FC236}">
              <a16:creationId xmlns:a16="http://schemas.microsoft.com/office/drawing/2014/main" id="{00000000-0008-0000-0200-0000AC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245" name="Line 48">
          <a:extLst>
            <a:ext uri="{FF2B5EF4-FFF2-40B4-BE49-F238E27FC236}">
              <a16:creationId xmlns:a16="http://schemas.microsoft.com/office/drawing/2014/main" id="{00000000-0008-0000-0200-0000AD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246" name="Line 49">
          <a:extLst>
            <a:ext uri="{FF2B5EF4-FFF2-40B4-BE49-F238E27FC236}">
              <a16:creationId xmlns:a16="http://schemas.microsoft.com/office/drawing/2014/main" id="{00000000-0008-0000-0200-0000AE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247" name="Line 50">
          <a:extLst>
            <a:ext uri="{FF2B5EF4-FFF2-40B4-BE49-F238E27FC236}">
              <a16:creationId xmlns:a16="http://schemas.microsoft.com/office/drawing/2014/main" id="{00000000-0008-0000-0200-0000AF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248" name="Line 51">
          <a:extLst>
            <a:ext uri="{FF2B5EF4-FFF2-40B4-BE49-F238E27FC236}">
              <a16:creationId xmlns:a16="http://schemas.microsoft.com/office/drawing/2014/main" id="{00000000-0008-0000-0200-0000B0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249" name="Line 52">
          <a:extLst>
            <a:ext uri="{FF2B5EF4-FFF2-40B4-BE49-F238E27FC236}">
              <a16:creationId xmlns:a16="http://schemas.microsoft.com/office/drawing/2014/main" id="{00000000-0008-0000-0200-0000B1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250" name="Line 53">
          <a:extLst>
            <a:ext uri="{FF2B5EF4-FFF2-40B4-BE49-F238E27FC236}">
              <a16:creationId xmlns:a16="http://schemas.microsoft.com/office/drawing/2014/main" id="{00000000-0008-0000-0200-0000B2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251" name="Line 54">
          <a:extLst>
            <a:ext uri="{FF2B5EF4-FFF2-40B4-BE49-F238E27FC236}">
              <a16:creationId xmlns:a16="http://schemas.microsoft.com/office/drawing/2014/main" id="{00000000-0008-0000-0200-0000B3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252" name="Line 55">
          <a:extLst>
            <a:ext uri="{FF2B5EF4-FFF2-40B4-BE49-F238E27FC236}">
              <a16:creationId xmlns:a16="http://schemas.microsoft.com/office/drawing/2014/main" id="{00000000-0008-0000-0200-0000B4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253" name="Line 56">
          <a:extLst>
            <a:ext uri="{FF2B5EF4-FFF2-40B4-BE49-F238E27FC236}">
              <a16:creationId xmlns:a16="http://schemas.microsoft.com/office/drawing/2014/main" id="{00000000-0008-0000-0200-0000B5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254" name="Rectangle 57">
          <a:extLst>
            <a:ext uri="{FF2B5EF4-FFF2-40B4-BE49-F238E27FC236}">
              <a16:creationId xmlns:a16="http://schemas.microsoft.com/office/drawing/2014/main" id="{00000000-0008-0000-0200-0000B6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255" name="Line 58">
          <a:extLst>
            <a:ext uri="{FF2B5EF4-FFF2-40B4-BE49-F238E27FC236}">
              <a16:creationId xmlns:a16="http://schemas.microsoft.com/office/drawing/2014/main" id="{00000000-0008-0000-0200-0000B7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256" name="Line 59">
          <a:extLst>
            <a:ext uri="{FF2B5EF4-FFF2-40B4-BE49-F238E27FC236}">
              <a16:creationId xmlns:a16="http://schemas.microsoft.com/office/drawing/2014/main" id="{00000000-0008-0000-0200-0000B8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257" name="Line 60">
          <a:extLst>
            <a:ext uri="{FF2B5EF4-FFF2-40B4-BE49-F238E27FC236}">
              <a16:creationId xmlns:a16="http://schemas.microsoft.com/office/drawing/2014/main" id="{00000000-0008-0000-0200-0000B9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258" name="Line 61">
          <a:extLst>
            <a:ext uri="{FF2B5EF4-FFF2-40B4-BE49-F238E27FC236}">
              <a16:creationId xmlns:a16="http://schemas.microsoft.com/office/drawing/2014/main" id="{00000000-0008-0000-0200-0000BA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259" name="Line 62">
          <a:extLst>
            <a:ext uri="{FF2B5EF4-FFF2-40B4-BE49-F238E27FC236}">
              <a16:creationId xmlns:a16="http://schemas.microsoft.com/office/drawing/2014/main" id="{00000000-0008-0000-0200-0000BB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260" name="Line 63">
          <a:extLst>
            <a:ext uri="{FF2B5EF4-FFF2-40B4-BE49-F238E27FC236}">
              <a16:creationId xmlns:a16="http://schemas.microsoft.com/office/drawing/2014/main" id="{00000000-0008-0000-0200-0000BC0C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261" name="Line 64">
          <a:extLst>
            <a:ext uri="{FF2B5EF4-FFF2-40B4-BE49-F238E27FC236}">
              <a16:creationId xmlns:a16="http://schemas.microsoft.com/office/drawing/2014/main" id="{00000000-0008-0000-0200-0000BD0C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262" name="Line 65">
          <a:extLst>
            <a:ext uri="{FF2B5EF4-FFF2-40B4-BE49-F238E27FC236}">
              <a16:creationId xmlns:a16="http://schemas.microsoft.com/office/drawing/2014/main" id="{00000000-0008-0000-0200-0000BE0C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263" name="Line 66">
          <a:extLst>
            <a:ext uri="{FF2B5EF4-FFF2-40B4-BE49-F238E27FC236}">
              <a16:creationId xmlns:a16="http://schemas.microsoft.com/office/drawing/2014/main" id="{00000000-0008-0000-0200-0000BF0C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264" name="Line 67">
          <a:extLst>
            <a:ext uri="{FF2B5EF4-FFF2-40B4-BE49-F238E27FC236}">
              <a16:creationId xmlns:a16="http://schemas.microsoft.com/office/drawing/2014/main" id="{00000000-0008-0000-0200-0000C00C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265" name="Line 68">
          <a:extLst>
            <a:ext uri="{FF2B5EF4-FFF2-40B4-BE49-F238E27FC236}">
              <a16:creationId xmlns:a16="http://schemas.microsoft.com/office/drawing/2014/main" id="{00000000-0008-0000-0200-0000C10C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266" name="Line 1">
          <a:extLst>
            <a:ext uri="{FF2B5EF4-FFF2-40B4-BE49-F238E27FC236}">
              <a16:creationId xmlns:a16="http://schemas.microsoft.com/office/drawing/2014/main" id="{00000000-0008-0000-0200-0000C20C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267" name="Drawing 16">
          <a:extLst>
            <a:ext uri="{FF2B5EF4-FFF2-40B4-BE49-F238E27FC236}">
              <a16:creationId xmlns:a16="http://schemas.microsoft.com/office/drawing/2014/main" id="{00000000-0008-0000-0200-0000C30C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268" name="Line 3">
          <a:extLst>
            <a:ext uri="{FF2B5EF4-FFF2-40B4-BE49-F238E27FC236}">
              <a16:creationId xmlns:a16="http://schemas.microsoft.com/office/drawing/2014/main" id="{00000000-0008-0000-0200-0000C40C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269" name="Line 4">
          <a:extLst>
            <a:ext uri="{FF2B5EF4-FFF2-40B4-BE49-F238E27FC236}">
              <a16:creationId xmlns:a16="http://schemas.microsoft.com/office/drawing/2014/main" id="{00000000-0008-0000-0200-0000C50C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270" name="Line 5">
          <a:extLst>
            <a:ext uri="{FF2B5EF4-FFF2-40B4-BE49-F238E27FC236}">
              <a16:creationId xmlns:a16="http://schemas.microsoft.com/office/drawing/2014/main" id="{00000000-0008-0000-0200-0000C60C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271" name="Line 6">
          <a:extLst>
            <a:ext uri="{FF2B5EF4-FFF2-40B4-BE49-F238E27FC236}">
              <a16:creationId xmlns:a16="http://schemas.microsoft.com/office/drawing/2014/main" id="{00000000-0008-0000-0200-0000C70C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272" name="Line 7">
          <a:extLst>
            <a:ext uri="{FF2B5EF4-FFF2-40B4-BE49-F238E27FC236}">
              <a16:creationId xmlns:a16="http://schemas.microsoft.com/office/drawing/2014/main" id="{00000000-0008-0000-0200-0000C80C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273" name="Line 8">
          <a:extLst>
            <a:ext uri="{FF2B5EF4-FFF2-40B4-BE49-F238E27FC236}">
              <a16:creationId xmlns:a16="http://schemas.microsoft.com/office/drawing/2014/main" id="{00000000-0008-0000-0200-0000C90C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274" name="Line 9">
          <a:extLst>
            <a:ext uri="{FF2B5EF4-FFF2-40B4-BE49-F238E27FC236}">
              <a16:creationId xmlns:a16="http://schemas.microsoft.com/office/drawing/2014/main" id="{00000000-0008-0000-0200-0000CA0C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275" name="Line 10">
          <a:extLst>
            <a:ext uri="{FF2B5EF4-FFF2-40B4-BE49-F238E27FC236}">
              <a16:creationId xmlns:a16="http://schemas.microsoft.com/office/drawing/2014/main" id="{00000000-0008-0000-0200-0000CB0C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276" name="Line 11">
          <a:extLst>
            <a:ext uri="{FF2B5EF4-FFF2-40B4-BE49-F238E27FC236}">
              <a16:creationId xmlns:a16="http://schemas.microsoft.com/office/drawing/2014/main" id="{00000000-0008-0000-0200-0000CC0C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277" name="Line 12">
          <a:extLst>
            <a:ext uri="{FF2B5EF4-FFF2-40B4-BE49-F238E27FC236}">
              <a16:creationId xmlns:a16="http://schemas.microsoft.com/office/drawing/2014/main" id="{00000000-0008-0000-0200-0000CD0C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278" name="Line 13">
          <a:extLst>
            <a:ext uri="{FF2B5EF4-FFF2-40B4-BE49-F238E27FC236}">
              <a16:creationId xmlns:a16="http://schemas.microsoft.com/office/drawing/2014/main" id="{00000000-0008-0000-0200-0000CE0C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79" name="Line 14">
          <a:extLst>
            <a:ext uri="{FF2B5EF4-FFF2-40B4-BE49-F238E27FC236}">
              <a16:creationId xmlns:a16="http://schemas.microsoft.com/office/drawing/2014/main" id="{00000000-0008-0000-0200-0000CF0C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280" name="Line 15">
          <a:extLst>
            <a:ext uri="{FF2B5EF4-FFF2-40B4-BE49-F238E27FC236}">
              <a16:creationId xmlns:a16="http://schemas.microsoft.com/office/drawing/2014/main" id="{00000000-0008-0000-0200-0000D00C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281" name="Line 16">
          <a:extLst>
            <a:ext uri="{FF2B5EF4-FFF2-40B4-BE49-F238E27FC236}">
              <a16:creationId xmlns:a16="http://schemas.microsoft.com/office/drawing/2014/main" id="{00000000-0008-0000-0200-0000D10C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282" name="Line 17">
          <a:extLst>
            <a:ext uri="{FF2B5EF4-FFF2-40B4-BE49-F238E27FC236}">
              <a16:creationId xmlns:a16="http://schemas.microsoft.com/office/drawing/2014/main" id="{00000000-0008-0000-0200-0000D20C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283" name="Line 18">
          <a:extLst>
            <a:ext uri="{FF2B5EF4-FFF2-40B4-BE49-F238E27FC236}">
              <a16:creationId xmlns:a16="http://schemas.microsoft.com/office/drawing/2014/main" id="{00000000-0008-0000-0200-0000D30C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284" name="Line 19">
          <a:extLst>
            <a:ext uri="{FF2B5EF4-FFF2-40B4-BE49-F238E27FC236}">
              <a16:creationId xmlns:a16="http://schemas.microsoft.com/office/drawing/2014/main" id="{00000000-0008-0000-0200-0000D40C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285" name="Line 20">
          <a:extLst>
            <a:ext uri="{FF2B5EF4-FFF2-40B4-BE49-F238E27FC236}">
              <a16:creationId xmlns:a16="http://schemas.microsoft.com/office/drawing/2014/main" id="{00000000-0008-0000-0200-0000D50C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286" name="Line 21">
          <a:extLst>
            <a:ext uri="{FF2B5EF4-FFF2-40B4-BE49-F238E27FC236}">
              <a16:creationId xmlns:a16="http://schemas.microsoft.com/office/drawing/2014/main" id="{00000000-0008-0000-0200-0000D60C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287" name="Line 22">
          <a:extLst>
            <a:ext uri="{FF2B5EF4-FFF2-40B4-BE49-F238E27FC236}">
              <a16:creationId xmlns:a16="http://schemas.microsoft.com/office/drawing/2014/main" id="{00000000-0008-0000-0200-0000D70C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288" name="Line 23">
          <a:extLst>
            <a:ext uri="{FF2B5EF4-FFF2-40B4-BE49-F238E27FC236}">
              <a16:creationId xmlns:a16="http://schemas.microsoft.com/office/drawing/2014/main" id="{00000000-0008-0000-0200-0000D80C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289" name="Line 24">
          <a:extLst>
            <a:ext uri="{FF2B5EF4-FFF2-40B4-BE49-F238E27FC236}">
              <a16:creationId xmlns:a16="http://schemas.microsoft.com/office/drawing/2014/main" id="{00000000-0008-0000-0200-0000D90C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290" name="Line 25">
          <a:extLst>
            <a:ext uri="{FF2B5EF4-FFF2-40B4-BE49-F238E27FC236}">
              <a16:creationId xmlns:a16="http://schemas.microsoft.com/office/drawing/2014/main" id="{00000000-0008-0000-0200-0000DA0C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291" name="Line 26">
          <a:extLst>
            <a:ext uri="{FF2B5EF4-FFF2-40B4-BE49-F238E27FC236}">
              <a16:creationId xmlns:a16="http://schemas.microsoft.com/office/drawing/2014/main" id="{00000000-0008-0000-0200-0000DB0C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292" name="Line 27">
          <a:extLst>
            <a:ext uri="{FF2B5EF4-FFF2-40B4-BE49-F238E27FC236}">
              <a16:creationId xmlns:a16="http://schemas.microsoft.com/office/drawing/2014/main" id="{00000000-0008-0000-0200-0000DC0C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293" name="Line 28">
          <a:extLst>
            <a:ext uri="{FF2B5EF4-FFF2-40B4-BE49-F238E27FC236}">
              <a16:creationId xmlns:a16="http://schemas.microsoft.com/office/drawing/2014/main" id="{00000000-0008-0000-0200-0000DD0C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294" name="Line 29">
          <a:extLst>
            <a:ext uri="{FF2B5EF4-FFF2-40B4-BE49-F238E27FC236}">
              <a16:creationId xmlns:a16="http://schemas.microsoft.com/office/drawing/2014/main" id="{00000000-0008-0000-0200-0000DE0C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295" name="Line 30">
          <a:extLst>
            <a:ext uri="{FF2B5EF4-FFF2-40B4-BE49-F238E27FC236}">
              <a16:creationId xmlns:a16="http://schemas.microsoft.com/office/drawing/2014/main" id="{00000000-0008-0000-0200-0000DF0C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296" name="Line 31">
          <a:extLst>
            <a:ext uri="{FF2B5EF4-FFF2-40B4-BE49-F238E27FC236}">
              <a16:creationId xmlns:a16="http://schemas.microsoft.com/office/drawing/2014/main" id="{00000000-0008-0000-0200-0000E00C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297" name="Line 32">
          <a:extLst>
            <a:ext uri="{FF2B5EF4-FFF2-40B4-BE49-F238E27FC236}">
              <a16:creationId xmlns:a16="http://schemas.microsoft.com/office/drawing/2014/main" id="{00000000-0008-0000-0200-0000E10C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298" name="Line 33">
          <a:extLst>
            <a:ext uri="{FF2B5EF4-FFF2-40B4-BE49-F238E27FC236}">
              <a16:creationId xmlns:a16="http://schemas.microsoft.com/office/drawing/2014/main" id="{00000000-0008-0000-0200-0000E20C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299" name="Line 34">
          <a:extLst>
            <a:ext uri="{FF2B5EF4-FFF2-40B4-BE49-F238E27FC236}">
              <a16:creationId xmlns:a16="http://schemas.microsoft.com/office/drawing/2014/main" id="{00000000-0008-0000-0200-0000E30C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300" name="Line 35">
          <a:extLst>
            <a:ext uri="{FF2B5EF4-FFF2-40B4-BE49-F238E27FC236}">
              <a16:creationId xmlns:a16="http://schemas.microsoft.com/office/drawing/2014/main" id="{00000000-0008-0000-0200-0000E40C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301" name="Line 36">
          <a:extLst>
            <a:ext uri="{FF2B5EF4-FFF2-40B4-BE49-F238E27FC236}">
              <a16:creationId xmlns:a16="http://schemas.microsoft.com/office/drawing/2014/main" id="{00000000-0008-0000-0200-0000E50C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302" name="Line 37">
          <a:extLst>
            <a:ext uri="{FF2B5EF4-FFF2-40B4-BE49-F238E27FC236}">
              <a16:creationId xmlns:a16="http://schemas.microsoft.com/office/drawing/2014/main" id="{00000000-0008-0000-0200-0000E60C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303" name="Line 38">
          <a:extLst>
            <a:ext uri="{FF2B5EF4-FFF2-40B4-BE49-F238E27FC236}">
              <a16:creationId xmlns:a16="http://schemas.microsoft.com/office/drawing/2014/main" id="{00000000-0008-0000-0200-0000E70C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304" name="Line 39">
          <a:extLst>
            <a:ext uri="{FF2B5EF4-FFF2-40B4-BE49-F238E27FC236}">
              <a16:creationId xmlns:a16="http://schemas.microsoft.com/office/drawing/2014/main" id="{00000000-0008-0000-0200-0000E80C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305" name="Line 40">
          <a:extLst>
            <a:ext uri="{FF2B5EF4-FFF2-40B4-BE49-F238E27FC236}">
              <a16:creationId xmlns:a16="http://schemas.microsoft.com/office/drawing/2014/main" id="{00000000-0008-0000-0200-0000E90C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306" name="Line 41">
          <a:extLst>
            <a:ext uri="{FF2B5EF4-FFF2-40B4-BE49-F238E27FC236}">
              <a16:creationId xmlns:a16="http://schemas.microsoft.com/office/drawing/2014/main" id="{00000000-0008-0000-0200-0000EA0C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307" name="Rectangle 1130">
          <a:extLst>
            <a:ext uri="{FF2B5EF4-FFF2-40B4-BE49-F238E27FC236}">
              <a16:creationId xmlns:a16="http://schemas.microsoft.com/office/drawing/2014/main" id="{00000000-0008-0000-0200-0000EB0C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08" name="Line 43">
          <a:extLst>
            <a:ext uri="{FF2B5EF4-FFF2-40B4-BE49-F238E27FC236}">
              <a16:creationId xmlns:a16="http://schemas.microsoft.com/office/drawing/2014/main" id="{00000000-0008-0000-0200-0000EC0C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09" name="Line 44">
          <a:extLst>
            <a:ext uri="{FF2B5EF4-FFF2-40B4-BE49-F238E27FC236}">
              <a16:creationId xmlns:a16="http://schemas.microsoft.com/office/drawing/2014/main" id="{00000000-0008-0000-0200-0000ED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310" name="Line 45">
          <a:extLst>
            <a:ext uri="{FF2B5EF4-FFF2-40B4-BE49-F238E27FC236}">
              <a16:creationId xmlns:a16="http://schemas.microsoft.com/office/drawing/2014/main" id="{00000000-0008-0000-0200-0000EE0C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311" name="Line 46">
          <a:extLst>
            <a:ext uri="{FF2B5EF4-FFF2-40B4-BE49-F238E27FC236}">
              <a16:creationId xmlns:a16="http://schemas.microsoft.com/office/drawing/2014/main" id="{00000000-0008-0000-0200-0000EF0C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312" name="Line 47">
          <a:extLst>
            <a:ext uri="{FF2B5EF4-FFF2-40B4-BE49-F238E27FC236}">
              <a16:creationId xmlns:a16="http://schemas.microsoft.com/office/drawing/2014/main" id="{00000000-0008-0000-0200-0000F00C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313" name="Line 48">
          <a:extLst>
            <a:ext uri="{FF2B5EF4-FFF2-40B4-BE49-F238E27FC236}">
              <a16:creationId xmlns:a16="http://schemas.microsoft.com/office/drawing/2014/main" id="{00000000-0008-0000-0200-0000F10C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314" name="Line 49">
          <a:extLst>
            <a:ext uri="{FF2B5EF4-FFF2-40B4-BE49-F238E27FC236}">
              <a16:creationId xmlns:a16="http://schemas.microsoft.com/office/drawing/2014/main" id="{00000000-0008-0000-0200-0000F20C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315" name="Line 50">
          <a:extLst>
            <a:ext uri="{FF2B5EF4-FFF2-40B4-BE49-F238E27FC236}">
              <a16:creationId xmlns:a16="http://schemas.microsoft.com/office/drawing/2014/main" id="{00000000-0008-0000-0200-0000F30C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316" name="Line 51">
          <a:extLst>
            <a:ext uri="{FF2B5EF4-FFF2-40B4-BE49-F238E27FC236}">
              <a16:creationId xmlns:a16="http://schemas.microsoft.com/office/drawing/2014/main" id="{00000000-0008-0000-0200-0000F40C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317" name="Line 52">
          <a:extLst>
            <a:ext uri="{FF2B5EF4-FFF2-40B4-BE49-F238E27FC236}">
              <a16:creationId xmlns:a16="http://schemas.microsoft.com/office/drawing/2014/main" id="{00000000-0008-0000-0200-0000F50C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318" name="Line 53">
          <a:extLst>
            <a:ext uri="{FF2B5EF4-FFF2-40B4-BE49-F238E27FC236}">
              <a16:creationId xmlns:a16="http://schemas.microsoft.com/office/drawing/2014/main" id="{00000000-0008-0000-0200-0000F60C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319" name="Line 54">
          <a:extLst>
            <a:ext uri="{FF2B5EF4-FFF2-40B4-BE49-F238E27FC236}">
              <a16:creationId xmlns:a16="http://schemas.microsoft.com/office/drawing/2014/main" id="{00000000-0008-0000-0200-0000F70C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320" name="Line 55">
          <a:extLst>
            <a:ext uri="{FF2B5EF4-FFF2-40B4-BE49-F238E27FC236}">
              <a16:creationId xmlns:a16="http://schemas.microsoft.com/office/drawing/2014/main" id="{00000000-0008-0000-0200-0000F80C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321" name="Line 56">
          <a:extLst>
            <a:ext uri="{FF2B5EF4-FFF2-40B4-BE49-F238E27FC236}">
              <a16:creationId xmlns:a16="http://schemas.microsoft.com/office/drawing/2014/main" id="{00000000-0008-0000-0200-0000F90C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322" name="Rectangle 1145">
          <a:extLst>
            <a:ext uri="{FF2B5EF4-FFF2-40B4-BE49-F238E27FC236}">
              <a16:creationId xmlns:a16="http://schemas.microsoft.com/office/drawing/2014/main" id="{00000000-0008-0000-0200-0000FA0C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323" name="Line 58">
          <a:extLst>
            <a:ext uri="{FF2B5EF4-FFF2-40B4-BE49-F238E27FC236}">
              <a16:creationId xmlns:a16="http://schemas.microsoft.com/office/drawing/2014/main" id="{00000000-0008-0000-0200-0000FB0C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324" name="Line 59">
          <a:extLst>
            <a:ext uri="{FF2B5EF4-FFF2-40B4-BE49-F238E27FC236}">
              <a16:creationId xmlns:a16="http://schemas.microsoft.com/office/drawing/2014/main" id="{00000000-0008-0000-0200-0000FC0C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325" name="Line 60">
          <a:extLst>
            <a:ext uri="{FF2B5EF4-FFF2-40B4-BE49-F238E27FC236}">
              <a16:creationId xmlns:a16="http://schemas.microsoft.com/office/drawing/2014/main" id="{00000000-0008-0000-0200-0000FD0C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326" name="Line 61">
          <a:extLst>
            <a:ext uri="{FF2B5EF4-FFF2-40B4-BE49-F238E27FC236}">
              <a16:creationId xmlns:a16="http://schemas.microsoft.com/office/drawing/2014/main" id="{00000000-0008-0000-0200-0000FE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327" name="Line 62">
          <a:extLst>
            <a:ext uri="{FF2B5EF4-FFF2-40B4-BE49-F238E27FC236}">
              <a16:creationId xmlns:a16="http://schemas.microsoft.com/office/drawing/2014/main" id="{00000000-0008-0000-0200-0000FF0C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328" name="Line 63">
          <a:extLst>
            <a:ext uri="{FF2B5EF4-FFF2-40B4-BE49-F238E27FC236}">
              <a16:creationId xmlns:a16="http://schemas.microsoft.com/office/drawing/2014/main" id="{00000000-0008-0000-0200-000000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329" name="Line 64">
          <a:extLst>
            <a:ext uri="{FF2B5EF4-FFF2-40B4-BE49-F238E27FC236}">
              <a16:creationId xmlns:a16="http://schemas.microsoft.com/office/drawing/2014/main" id="{00000000-0008-0000-0200-000001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330" name="Line 65">
          <a:extLst>
            <a:ext uri="{FF2B5EF4-FFF2-40B4-BE49-F238E27FC236}">
              <a16:creationId xmlns:a16="http://schemas.microsoft.com/office/drawing/2014/main" id="{00000000-0008-0000-0200-000002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331" name="Line 66">
          <a:extLst>
            <a:ext uri="{FF2B5EF4-FFF2-40B4-BE49-F238E27FC236}">
              <a16:creationId xmlns:a16="http://schemas.microsoft.com/office/drawing/2014/main" id="{00000000-0008-0000-0200-000003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332" name="Line 67">
          <a:extLst>
            <a:ext uri="{FF2B5EF4-FFF2-40B4-BE49-F238E27FC236}">
              <a16:creationId xmlns:a16="http://schemas.microsoft.com/office/drawing/2014/main" id="{00000000-0008-0000-0200-000004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333" name="Line 68">
          <a:extLst>
            <a:ext uri="{FF2B5EF4-FFF2-40B4-BE49-F238E27FC236}">
              <a16:creationId xmlns:a16="http://schemas.microsoft.com/office/drawing/2014/main" id="{00000000-0008-0000-0200-000005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334" name="Line 1">
          <a:extLst>
            <a:ext uri="{FF2B5EF4-FFF2-40B4-BE49-F238E27FC236}">
              <a16:creationId xmlns:a16="http://schemas.microsoft.com/office/drawing/2014/main" id="{00000000-0008-0000-0200-000006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335" name="Drawing 16">
          <a:extLst>
            <a:ext uri="{FF2B5EF4-FFF2-40B4-BE49-F238E27FC236}">
              <a16:creationId xmlns:a16="http://schemas.microsoft.com/office/drawing/2014/main" id="{00000000-0008-0000-0200-000007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336" name="Line 3">
          <a:extLst>
            <a:ext uri="{FF2B5EF4-FFF2-40B4-BE49-F238E27FC236}">
              <a16:creationId xmlns:a16="http://schemas.microsoft.com/office/drawing/2014/main" id="{00000000-0008-0000-0200-000008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337" name="Line 4">
          <a:extLst>
            <a:ext uri="{FF2B5EF4-FFF2-40B4-BE49-F238E27FC236}">
              <a16:creationId xmlns:a16="http://schemas.microsoft.com/office/drawing/2014/main" id="{00000000-0008-0000-0200-000009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338" name="Line 5">
          <a:extLst>
            <a:ext uri="{FF2B5EF4-FFF2-40B4-BE49-F238E27FC236}">
              <a16:creationId xmlns:a16="http://schemas.microsoft.com/office/drawing/2014/main" id="{00000000-0008-0000-0200-00000A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339" name="Line 6">
          <a:extLst>
            <a:ext uri="{FF2B5EF4-FFF2-40B4-BE49-F238E27FC236}">
              <a16:creationId xmlns:a16="http://schemas.microsoft.com/office/drawing/2014/main" id="{00000000-0008-0000-0200-00000B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340" name="Line 7">
          <a:extLst>
            <a:ext uri="{FF2B5EF4-FFF2-40B4-BE49-F238E27FC236}">
              <a16:creationId xmlns:a16="http://schemas.microsoft.com/office/drawing/2014/main" id="{00000000-0008-0000-0200-00000C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341" name="Line 8">
          <a:extLst>
            <a:ext uri="{FF2B5EF4-FFF2-40B4-BE49-F238E27FC236}">
              <a16:creationId xmlns:a16="http://schemas.microsoft.com/office/drawing/2014/main" id="{00000000-0008-0000-0200-00000D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342" name="Line 9">
          <a:extLst>
            <a:ext uri="{FF2B5EF4-FFF2-40B4-BE49-F238E27FC236}">
              <a16:creationId xmlns:a16="http://schemas.microsoft.com/office/drawing/2014/main" id="{00000000-0008-0000-0200-00000E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343" name="Line 10">
          <a:extLst>
            <a:ext uri="{FF2B5EF4-FFF2-40B4-BE49-F238E27FC236}">
              <a16:creationId xmlns:a16="http://schemas.microsoft.com/office/drawing/2014/main" id="{00000000-0008-0000-0200-00000F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344" name="Line 11">
          <a:extLst>
            <a:ext uri="{FF2B5EF4-FFF2-40B4-BE49-F238E27FC236}">
              <a16:creationId xmlns:a16="http://schemas.microsoft.com/office/drawing/2014/main" id="{00000000-0008-0000-0200-000010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345" name="Line 12">
          <a:extLst>
            <a:ext uri="{FF2B5EF4-FFF2-40B4-BE49-F238E27FC236}">
              <a16:creationId xmlns:a16="http://schemas.microsoft.com/office/drawing/2014/main" id="{00000000-0008-0000-0200-000011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346" name="Line 13">
          <a:extLst>
            <a:ext uri="{FF2B5EF4-FFF2-40B4-BE49-F238E27FC236}">
              <a16:creationId xmlns:a16="http://schemas.microsoft.com/office/drawing/2014/main" id="{00000000-0008-0000-0200-000012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347" name="Line 14">
          <a:extLst>
            <a:ext uri="{FF2B5EF4-FFF2-40B4-BE49-F238E27FC236}">
              <a16:creationId xmlns:a16="http://schemas.microsoft.com/office/drawing/2014/main" id="{00000000-0008-0000-0200-000013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348" name="Line 15">
          <a:extLst>
            <a:ext uri="{FF2B5EF4-FFF2-40B4-BE49-F238E27FC236}">
              <a16:creationId xmlns:a16="http://schemas.microsoft.com/office/drawing/2014/main" id="{00000000-0008-0000-0200-000014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349" name="Line 16">
          <a:extLst>
            <a:ext uri="{FF2B5EF4-FFF2-40B4-BE49-F238E27FC236}">
              <a16:creationId xmlns:a16="http://schemas.microsoft.com/office/drawing/2014/main" id="{00000000-0008-0000-0200-000015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350" name="Line 17">
          <a:extLst>
            <a:ext uri="{FF2B5EF4-FFF2-40B4-BE49-F238E27FC236}">
              <a16:creationId xmlns:a16="http://schemas.microsoft.com/office/drawing/2014/main" id="{00000000-0008-0000-0200-000016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351" name="Line 18">
          <a:extLst>
            <a:ext uri="{FF2B5EF4-FFF2-40B4-BE49-F238E27FC236}">
              <a16:creationId xmlns:a16="http://schemas.microsoft.com/office/drawing/2014/main" id="{00000000-0008-0000-0200-000017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352" name="Line 19">
          <a:extLst>
            <a:ext uri="{FF2B5EF4-FFF2-40B4-BE49-F238E27FC236}">
              <a16:creationId xmlns:a16="http://schemas.microsoft.com/office/drawing/2014/main" id="{00000000-0008-0000-0200-000018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353" name="Line 20">
          <a:extLst>
            <a:ext uri="{FF2B5EF4-FFF2-40B4-BE49-F238E27FC236}">
              <a16:creationId xmlns:a16="http://schemas.microsoft.com/office/drawing/2014/main" id="{00000000-0008-0000-0200-000019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354" name="Line 21">
          <a:extLst>
            <a:ext uri="{FF2B5EF4-FFF2-40B4-BE49-F238E27FC236}">
              <a16:creationId xmlns:a16="http://schemas.microsoft.com/office/drawing/2014/main" id="{00000000-0008-0000-0200-00001A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355" name="Line 22">
          <a:extLst>
            <a:ext uri="{FF2B5EF4-FFF2-40B4-BE49-F238E27FC236}">
              <a16:creationId xmlns:a16="http://schemas.microsoft.com/office/drawing/2014/main" id="{00000000-0008-0000-0200-00001B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356" name="Line 23">
          <a:extLst>
            <a:ext uri="{FF2B5EF4-FFF2-40B4-BE49-F238E27FC236}">
              <a16:creationId xmlns:a16="http://schemas.microsoft.com/office/drawing/2014/main" id="{00000000-0008-0000-0200-00001C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357" name="Line 24">
          <a:extLst>
            <a:ext uri="{FF2B5EF4-FFF2-40B4-BE49-F238E27FC236}">
              <a16:creationId xmlns:a16="http://schemas.microsoft.com/office/drawing/2014/main" id="{00000000-0008-0000-0200-00001D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358" name="Line 25">
          <a:extLst>
            <a:ext uri="{FF2B5EF4-FFF2-40B4-BE49-F238E27FC236}">
              <a16:creationId xmlns:a16="http://schemas.microsoft.com/office/drawing/2014/main" id="{00000000-0008-0000-0200-00001E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359" name="Line 26">
          <a:extLst>
            <a:ext uri="{FF2B5EF4-FFF2-40B4-BE49-F238E27FC236}">
              <a16:creationId xmlns:a16="http://schemas.microsoft.com/office/drawing/2014/main" id="{00000000-0008-0000-0200-00001F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360" name="Line 27">
          <a:extLst>
            <a:ext uri="{FF2B5EF4-FFF2-40B4-BE49-F238E27FC236}">
              <a16:creationId xmlns:a16="http://schemas.microsoft.com/office/drawing/2014/main" id="{00000000-0008-0000-0200-000020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361" name="Line 28">
          <a:extLst>
            <a:ext uri="{FF2B5EF4-FFF2-40B4-BE49-F238E27FC236}">
              <a16:creationId xmlns:a16="http://schemas.microsoft.com/office/drawing/2014/main" id="{00000000-0008-0000-0200-000021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362" name="Line 29">
          <a:extLst>
            <a:ext uri="{FF2B5EF4-FFF2-40B4-BE49-F238E27FC236}">
              <a16:creationId xmlns:a16="http://schemas.microsoft.com/office/drawing/2014/main" id="{00000000-0008-0000-0200-000022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363" name="Line 30">
          <a:extLst>
            <a:ext uri="{FF2B5EF4-FFF2-40B4-BE49-F238E27FC236}">
              <a16:creationId xmlns:a16="http://schemas.microsoft.com/office/drawing/2014/main" id="{00000000-0008-0000-0200-000023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364" name="Line 31">
          <a:extLst>
            <a:ext uri="{FF2B5EF4-FFF2-40B4-BE49-F238E27FC236}">
              <a16:creationId xmlns:a16="http://schemas.microsoft.com/office/drawing/2014/main" id="{00000000-0008-0000-0200-000024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365" name="Line 32">
          <a:extLst>
            <a:ext uri="{FF2B5EF4-FFF2-40B4-BE49-F238E27FC236}">
              <a16:creationId xmlns:a16="http://schemas.microsoft.com/office/drawing/2014/main" id="{00000000-0008-0000-0200-000025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366" name="Line 33">
          <a:extLst>
            <a:ext uri="{FF2B5EF4-FFF2-40B4-BE49-F238E27FC236}">
              <a16:creationId xmlns:a16="http://schemas.microsoft.com/office/drawing/2014/main" id="{00000000-0008-0000-0200-000026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367" name="Line 34">
          <a:extLst>
            <a:ext uri="{FF2B5EF4-FFF2-40B4-BE49-F238E27FC236}">
              <a16:creationId xmlns:a16="http://schemas.microsoft.com/office/drawing/2014/main" id="{00000000-0008-0000-0200-000027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368" name="Line 35">
          <a:extLst>
            <a:ext uri="{FF2B5EF4-FFF2-40B4-BE49-F238E27FC236}">
              <a16:creationId xmlns:a16="http://schemas.microsoft.com/office/drawing/2014/main" id="{00000000-0008-0000-0200-000028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369" name="Line 36">
          <a:extLst>
            <a:ext uri="{FF2B5EF4-FFF2-40B4-BE49-F238E27FC236}">
              <a16:creationId xmlns:a16="http://schemas.microsoft.com/office/drawing/2014/main" id="{00000000-0008-0000-0200-000029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370" name="Line 37">
          <a:extLst>
            <a:ext uri="{FF2B5EF4-FFF2-40B4-BE49-F238E27FC236}">
              <a16:creationId xmlns:a16="http://schemas.microsoft.com/office/drawing/2014/main" id="{00000000-0008-0000-0200-00002A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371" name="Line 38">
          <a:extLst>
            <a:ext uri="{FF2B5EF4-FFF2-40B4-BE49-F238E27FC236}">
              <a16:creationId xmlns:a16="http://schemas.microsoft.com/office/drawing/2014/main" id="{00000000-0008-0000-0200-00002B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372" name="Line 39">
          <a:extLst>
            <a:ext uri="{FF2B5EF4-FFF2-40B4-BE49-F238E27FC236}">
              <a16:creationId xmlns:a16="http://schemas.microsoft.com/office/drawing/2014/main" id="{00000000-0008-0000-0200-00002C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373" name="Line 40">
          <a:extLst>
            <a:ext uri="{FF2B5EF4-FFF2-40B4-BE49-F238E27FC236}">
              <a16:creationId xmlns:a16="http://schemas.microsoft.com/office/drawing/2014/main" id="{00000000-0008-0000-0200-00002D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374" name="Line 41">
          <a:extLst>
            <a:ext uri="{FF2B5EF4-FFF2-40B4-BE49-F238E27FC236}">
              <a16:creationId xmlns:a16="http://schemas.microsoft.com/office/drawing/2014/main" id="{00000000-0008-0000-0200-00002E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375" name="Rectangle 42">
          <a:extLst>
            <a:ext uri="{FF2B5EF4-FFF2-40B4-BE49-F238E27FC236}">
              <a16:creationId xmlns:a16="http://schemas.microsoft.com/office/drawing/2014/main" id="{00000000-0008-0000-0200-00002F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76" name="Line 43">
          <a:extLst>
            <a:ext uri="{FF2B5EF4-FFF2-40B4-BE49-F238E27FC236}">
              <a16:creationId xmlns:a16="http://schemas.microsoft.com/office/drawing/2014/main" id="{00000000-0008-0000-0200-000030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377" name="Line 44">
          <a:extLst>
            <a:ext uri="{FF2B5EF4-FFF2-40B4-BE49-F238E27FC236}">
              <a16:creationId xmlns:a16="http://schemas.microsoft.com/office/drawing/2014/main" id="{00000000-0008-0000-0200-000031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378" name="Line 45">
          <a:extLst>
            <a:ext uri="{FF2B5EF4-FFF2-40B4-BE49-F238E27FC236}">
              <a16:creationId xmlns:a16="http://schemas.microsoft.com/office/drawing/2014/main" id="{00000000-0008-0000-0200-000032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379" name="Line 46">
          <a:extLst>
            <a:ext uri="{FF2B5EF4-FFF2-40B4-BE49-F238E27FC236}">
              <a16:creationId xmlns:a16="http://schemas.microsoft.com/office/drawing/2014/main" id="{00000000-0008-0000-0200-000033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380" name="Line 47">
          <a:extLst>
            <a:ext uri="{FF2B5EF4-FFF2-40B4-BE49-F238E27FC236}">
              <a16:creationId xmlns:a16="http://schemas.microsoft.com/office/drawing/2014/main" id="{00000000-0008-0000-0200-0000340D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381" name="Line 48">
          <a:extLst>
            <a:ext uri="{FF2B5EF4-FFF2-40B4-BE49-F238E27FC236}">
              <a16:creationId xmlns:a16="http://schemas.microsoft.com/office/drawing/2014/main" id="{00000000-0008-0000-0200-0000350D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382" name="Line 49">
          <a:extLst>
            <a:ext uri="{FF2B5EF4-FFF2-40B4-BE49-F238E27FC236}">
              <a16:creationId xmlns:a16="http://schemas.microsoft.com/office/drawing/2014/main" id="{00000000-0008-0000-0200-0000360D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383" name="Line 50">
          <a:extLst>
            <a:ext uri="{FF2B5EF4-FFF2-40B4-BE49-F238E27FC236}">
              <a16:creationId xmlns:a16="http://schemas.microsoft.com/office/drawing/2014/main" id="{00000000-0008-0000-0200-0000370D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384" name="Line 51">
          <a:extLst>
            <a:ext uri="{FF2B5EF4-FFF2-40B4-BE49-F238E27FC236}">
              <a16:creationId xmlns:a16="http://schemas.microsoft.com/office/drawing/2014/main" id="{00000000-0008-0000-0200-0000380D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385" name="Line 52">
          <a:extLst>
            <a:ext uri="{FF2B5EF4-FFF2-40B4-BE49-F238E27FC236}">
              <a16:creationId xmlns:a16="http://schemas.microsoft.com/office/drawing/2014/main" id="{00000000-0008-0000-0200-0000390D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386" name="Line 53">
          <a:extLst>
            <a:ext uri="{FF2B5EF4-FFF2-40B4-BE49-F238E27FC236}">
              <a16:creationId xmlns:a16="http://schemas.microsoft.com/office/drawing/2014/main" id="{00000000-0008-0000-0200-00003A0D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387" name="Line 54">
          <a:extLst>
            <a:ext uri="{FF2B5EF4-FFF2-40B4-BE49-F238E27FC236}">
              <a16:creationId xmlns:a16="http://schemas.microsoft.com/office/drawing/2014/main" id="{00000000-0008-0000-0200-00003B0D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388" name="Line 55">
          <a:extLst>
            <a:ext uri="{FF2B5EF4-FFF2-40B4-BE49-F238E27FC236}">
              <a16:creationId xmlns:a16="http://schemas.microsoft.com/office/drawing/2014/main" id="{00000000-0008-0000-0200-00003C0D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389" name="Line 56">
          <a:extLst>
            <a:ext uri="{FF2B5EF4-FFF2-40B4-BE49-F238E27FC236}">
              <a16:creationId xmlns:a16="http://schemas.microsoft.com/office/drawing/2014/main" id="{00000000-0008-0000-0200-00003D0D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390" name="Rectangle 57">
          <a:extLst>
            <a:ext uri="{FF2B5EF4-FFF2-40B4-BE49-F238E27FC236}">
              <a16:creationId xmlns:a16="http://schemas.microsoft.com/office/drawing/2014/main" id="{00000000-0008-0000-0200-00003E0D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391" name="Line 58">
          <a:extLst>
            <a:ext uri="{FF2B5EF4-FFF2-40B4-BE49-F238E27FC236}">
              <a16:creationId xmlns:a16="http://schemas.microsoft.com/office/drawing/2014/main" id="{00000000-0008-0000-0200-00003F0D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392" name="Line 59">
          <a:extLst>
            <a:ext uri="{FF2B5EF4-FFF2-40B4-BE49-F238E27FC236}">
              <a16:creationId xmlns:a16="http://schemas.microsoft.com/office/drawing/2014/main" id="{00000000-0008-0000-0200-0000400D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393" name="Line 60">
          <a:extLst>
            <a:ext uri="{FF2B5EF4-FFF2-40B4-BE49-F238E27FC236}">
              <a16:creationId xmlns:a16="http://schemas.microsoft.com/office/drawing/2014/main" id="{00000000-0008-0000-0200-0000410D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394" name="Line 61">
          <a:extLst>
            <a:ext uri="{FF2B5EF4-FFF2-40B4-BE49-F238E27FC236}">
              <a16:creationId xmlns:a16="http://schemas.microsoft.com/office/drawing/2014/main" id="{00000000-0008-0000-0200-000042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395" name="Line 62">
          <a:extLst>
            <a:ext uri="{FF2B5EF4-FFF2-40B4-BE49-F238E27FC236}">
              <a16:creationId xmlns:a16="http://schemas.microsoft.com/office/drawing/2014/main" id="{00000000-0008-0000-0200-000043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396" name="Line 63">
          <a:extLst>
            <a:ext uri="{FF2B5EF4-FFF2-40B4-BE49-F238E27FC236}">
              <a16:creationId xmlns:a16="http://schemas.microsoft.com/office/drawing/2014/main" id="{00000000-0008-0000-0200-000044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397" name="Line 64">
          <a:extLst>
            <a:ext uri="{FF2B5EF4-FFF2-40B4-BE49-F238E27FC236}">
              <a16:creationId xmlns:a16="http://schemas.microsoft.com/office/drawing/2014/main" id="{00000000-0008-0000-0200-000045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398" name="Line 65">
          <a:extLst>
            <a:ext uri="{FF2B5EF4-FFF2-40B4-BE49-F238E27FC236}">
              <a16:creationId xmlns:a16="http://schemas.microsoft.com/office/drawing/2014/main" id="{00000000-0008-0000-0200-000046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399" name="Line 66">
          <a:extLst>
            <a:ext uri="{FF2B5EF4-FFF2-40B4-BE49-F238E27FC236}">
              <a16:creationId xmlns:a16="http://schemas.microsoft.com/office/drawing/2014/main" id="{00000000-0008-0000-0200-000047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400" name="Line 67">
          <a:extLst>
            <a:ext uri="{FF2B5EF4-FFF2-40B4-BE49-F238E27FC236}">
              <a16:creationId xmlns:a16="http://schemas.microsoft.com/office/drawing/2014/main" id="{00000000-0008-0000-0200-000048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401" name="Line 68">
          <a:extLst>
            <a:ext uri="{FF2B5EF4-FFF2-40B4-BE49-F238E27FC236}">
              <a16:creationId xmlns:a16="http://schemas.microsoft.com/office/drawing/2014/main" id="{00000000-0008-0000-0200-000049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402" name="Line 1">
          <a:extLst>
            <a:ext uri="{FF2B5EF4-FFF2-40B4-BE49-F238E27FC236}">
              <a16:creationId xmlns:a16="http://schemas.microsoft.com/office/drawing/2014/main" id="{00000000-0008-0000-0200-00004A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403" name="Drawing 16">
          <a:extLst>
            <a:ext uri="{FF2B5EF4-FFF2-40B4-BE49-F238E27FC236}">
              <a16:creationId xmlns:a16="http://schemas.microsoft.com/office/drawing/2014/main" id="{00000000-0008-0000-0200-00004B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404" name="Line 3">
          <a:extLst>
            <a:ext uri="{FF2B5EF4-FFF2-40B4-BE49-F238E27FC236}">
              <a16:creationId xmlns:a16="http://schemas.microsoft.com/office/drawing/2014/main" id="{00000000-0008-0000-0200-00004C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405" name="Line 4">
          <a:extLst>
            <a:ext uri="{FF2B5EF4-FFF2-40B4-BE49-F238E27FC236}">
              <a16:creationId xmlns:a16="http://schemas.microsoft.com/office/drawing/2014/main" id="{00000000-0008-0000-0200-00004D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406" name="Line 5">
          <a:extLst>
            <a:ext uri="{FF2B5EF4-FFF2-40B4-BE49-F238E27FC236}">
              <a16:creationId xmlns:a16="http://schemas.microsoft.com/office/drawing/2014/main" id="{00000000-0008-0000-0200-00004E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407" name="Line 6">
          <a:extLst>
            <a:ext uri="{FF2B5EF4-FFF2-40B4-BE49-F238E27FC236}">
              <a16:creationId xmlns:a16="http://schemas.microsoft.com/office/drawing/2014/main" id="{00000000-0008-0000-0200-00004F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408" name="Line 7">
          <a:extLst>
            <a:ext uri="{FF2B5EF4-FFF2-40B4-BE49-F238E27FC236}">
              <a16:creationId xmlns:a16="http://schemas.microsoft.com/office/drawing/2014/main" id="{00000000-0008-0000-0200-000050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409" name="Line 8">
          <a:extLst>
            <a:ext uri="{FF2B5EF4-FFF2-40B4-BE49-F238E27FC236}">
              <a16:creationId xmlns:a16="http://schemas.microsoft.com/office/drawing/2014/main" id="{00000000-0008-0000-0200-000051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410" name="Line 9">
          <a:extLst>
            <a:ext uri="{FF2B5EF4-FFF2-40B4-BE49-F238E27FC236}">
              <a16:creationId xmlns:a16="http://schemas.microsoft.com/office/drawing/2014/main" id="{00000000-0008-0000-0200-000052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411" name="Line 10">
          <a:extLst>
            <a:ext uri="{FF2B5EF4-FFF2-40B4-BE49-F238E27FC236}">
              <a16:creationId xmlns:a16="http://schemas.microsoft.com/office/drawing/2014/main" id="{00000000-0008-0000-0200-000053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412" name="Line 11">
          <a:extLst>
            <a:ext uri="{FF2B5EF4-FFF2-40B4-BE49-F238E27FC236}">
              <a16:creationId xmlns:a16="http://schemas.microsoft.com/office/drawing/2014/main" id="{00000000-0008-0000-0200-000054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413" name="Line 12">
          <a:extLst>
            <a:ext uri="{FF2B5EF4-FFF2-40B4-BE49-F238E27FC236}">
              <a16:creationId xmlns:a16="http://schemas.microsoft.com/office/drawing/2014/main" id="{00000000-0008-0000-0200-000055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414" name="Line 13">
          <a:extLst>
            <a:ext uri="{FF2B5EF4-FFF2-40B4-BE49-F238E27FC236}">
              <a16:creationId xmlns:a16="http://schemas.microsoft.com/office/drawing/2014/main" id="{00000000-0008-0000-0200-000056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15" name="Line 14">
          <a:extLst>
            <a:ext uri="{FF2B5EF4-FFF2-40B4-BE49-F238E27FC236}">
              <a16:creationId xmlns:a16="http://schemas.microsoft.com/office/drawing/2014/main" id="{00000000-0008-0000-0200-000057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416" name="Line 15">
          <a:extLst>
            <a:ext uri="{FF2B5EF4-FFF2-40B4-BE49-F238E27FC236}">
              <a16:creationId xmlns:a16="http://schemas.microsoft.com/office/drawing/2014/main" id="{00000000-0008-0000-0200-000058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17" name="Line 16">
          <a:extLst>
            <a:ext uri="{FF2B5EF4-FFF2-40B4-BE49-F238E27FC236}">
              <a16:creationId xmlns:a16="http://schemas.microsoft.com/office/drawing/2014/main" id="{00000000-0008-0000-0200-000059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418" name="Line 17">
          <a:extLst>
            <a:ext uri="{FF2B5EF4-FFF2-40B4-BE49-F238E27FC236}">
              <a16:creationId xmlns:a16="http://schemas.microsoft.com/office/drawing/2014/main" id="{00000000-0008-0000-0200-00005A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419" name="Line 18">
          <a:extLst>
            <a:ext uri="{FF2B5EF4-FFF2-40B4-BE49-F238E27FC236}">
              <a16:creationId xmlns:a16="http://schemas.microsoft.com/office/drawing/2014/main" id="{00000000-0008-0000-0200-00005B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420" name="Line 19">
          <a:extLst>
            <a:ext uri="{FF2B5EF4-FFF2-40B4-BE49-F238E27FC236}">
              <a16:creationId xmlns:a16="http://schemas.microsoft.com/office/drawing/2014/main" id="{00000000-0008-0000-0200-00005C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421" name="Line 20">
          <a:extLst>
            <a:ext uri="{FF2B5EF4-FFF2-40B4-BE49-F238E27FC236}">
              <a16:creationId xmlns:a16="http://schemas.microsoft.com/office/drawing/2014/main" id="{00000000-0008-0000-0200-00005D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422" name="Line 21">
          <a:extLst>
            <a:ext uri="{FF2B5EF4-FFF2-40B4-BE49-F238E27FC236}">
              <a16:creationId xmlns:a16="http://schemas.microsoft.com/office/drawing/2014/main" id="{00000000-0008-0000-0200-00005E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423" name="Line 22">
          <a:extLst>
            <a:ext uri="{FF2B5EF4-FFF2-40B4-BE49-F238E27FC236}">
              <a16:creationId xmlns:a16="http://schemas.microsoft.com/office/drawing/2014/main" id="{00000000-0008-0000-0200-00005F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424" name="Line 23">
          <a:extLst>
            <a:ext uri="{FF2B5EF4-FFF2-40B4-BE49-F238E27FC236}">
              <a16:creationId xmlns:a16="http://schemas.microsoft.com/office/drawing/2014/main" id="{00000000-0008-0000-0200-000060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425" name="Line 24">
          <a:extLst>
            <a:ext uri="{FF2B5EF4-FFF2-40B4-BE49-F238E27FC236}">
              <a16:creationId xmlns:a16="http://schemas.microsoft.com/office/drawing/2014/main" id="{00000000-0008-0000-0200-000061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426" name="Line 25">
          <a:extLst>
            <a:ext uri="{FF2B5EF4-FFF2-40B4-BE49-F238E27FC236}">
              <a16:creationId xmlns:a16="http://schemas.microsoft.com/office/drawing/2014/main" id="{00000000-0008-0000-0200-000062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427" name="Line 26">
          <a:extLst>
            <a:ext uri="{FF2B5EF4-FFF2-40B4-BE49-F238E27FC236}">
              <a16:creationId xmlns:a16="http://schemas.microsoft.com/office/drawing/2014/main" id="{00000000-0008-0000-0200-000063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428" name="Line 27">
          <a:extLst>
            <a:ext uri="{FF2B5EF4-FFF2-40B4-BE49-F238E27FC236}">
              <a16:creationId xmlns:a16="http://schemas.microsoft.com/office/drawing/2014/main" id="{00000000-0008-0000-0200-000064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429" name="Line 28">
          <a:extLst>
            <a:ext uri="{FF2B5EF4-FFF2-40B4-BE49-F238E27FC236}">
              <a16:creationId xmlns:a16="http://schemas.microsoft.com/office/drawing/2014/main" id="{00000000-0008-0000-0200-000065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430" name="Line 29">
          <a:extLst>
            <a:ext uri="{FF2B5EF4-FFF2-40B4-BE49-F238E27FC236}">
              <a16:creationId xmlns:a16="http://schemas.microsoft.com/office/drawing/2014/main" id="{00000000-0008-0000-0200-000066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431" name="Line 30">
          <a:extLst>
            <a:ext uri="{FF2B5EF4-FFF2-40B4-BE49-F238E27FC236}">
              <a16:creationId xmlns:a16="http://schemas.microsoft.com/office/drawing/2014/main" id="{00000000-0008-0000-0200-000067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432" name="Line 31">
          <a:extLst>
            <a:ext uri="{FF2B5EF4-FFF2-40B4-BE49-F238E27FC236}">
              <a16:creationId xmlns:a16="http://schemas.microsoft.com/office/drawing/2014/main" id="{00000000-0008-0000-0200-000068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433" name="Line 32">
          <a:extLst>
            <a:ext uri="{FF2B5EF4-FFF2-40B4-BE49-F238E27FC236}">
              <a16:creationId xmlns:a16="http://schemas.microsoft.com/office/drawing/2014/main" id="{00000000-0008-0000-0200-000069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434" name="Line 33">
          <a:extLst>
            <a:ext uri="{FF2B5EF4-FFF2-40B4-BE49-F238E27FC236}">
              <a16:creationId xmlns:a16="http://schemas.microsoft.com/office/drawing/2014/main" id="{00000000-0008-0000-0200-00006A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435" name="Line 34">
          <a:extLst>
            <a:ext uri="{FF2B5EF4-FFF2-40B4-BE49-F238E27FC236}">
              <a16:creationId xmlns:a16="http://schemas.microsoft.com/office/drawing/2014/main" id="{00000000-0008-0000-0200-00006B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436" name="Line 35">
          <a:extLst>
            <a:ext uri="{FF2B5EF4-FFF2-40B4-BE49-F238E27FC236}">
              <a16:creationId xmlns:a16="http://schemas.microsoft.com/office/drawing/2014/main" id="{00000000-0008-0000-0200-00006C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437" name="Line 36">
          <a:extLst>
            <a:ext uri="{FF2B5EF4-FFF2-40B4-BE49-F238E27FC236}">
              <a16:creationId xmlns:a16="http://schemas.microsoft.com/office/drawing/2014/main" id="{00000000-0008-0000-0200-00006D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438" name="Line 37">
          <a:extLst>
            <a:ext uri="{FF2B5EF4-FFF2-40B4-BE49-F238E27FC236}">
              <a16:creationId xmlns:a16="http://schemas.microsoft.com/office/drawing/2014/main" id="{00000000-0008-0000-0200-00006E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439" name="Line 38">
          <a:extLst>
            <a:ext uri="{FF2B5EF4-FFF2-40B4-BE49-F238E27FC236}">
              <a16:creationId xmlns:a16="http://schemas.microsoft.com/office/drawing/2014/main" id="{00000000-0008-0000-0200-00006F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440" name="Line 39">
          <a:extLst>
            <a:ext uri="{FF2B5EF4-FFF2-40B4-BE49-F238E27FC236}">
              <a16:creationId xmlns:a16="http://schemas.microsoft.com/office/drawing/2014/main" id="{00000000-0008-0000-0200-000070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441" name="Line 40">
          <a:extLst>
            <a:ext uri="{FF2B5EF4-FFF2-40B4-BE49-F238E27FC236}">
              <a16:creationId xmlns:a16="http://schemas.microsoft.com/office/drawing/2014/main" id="{00000000-0008-0000-0200-000071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442" name="Line 41">
          <a:extLst>
            <a:ext uri="{FF2B5EF4-FFF2-40B4-BE49-F238E27FC236}">
              <a16:creationId xmlns:a16="http://schemas.microsoft.com/office/drawing/2014/main" id="{00000000-0008-0000-0200-000072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443" name="Rectangle 42">
          <a:extLst>
            <a:ext uri="{FF2B5EF4-FFF2-40B4-BE49-F238E27FC236}">
              <a16:creationId xmlns:a16="http://schemas.microsoft.com/office/drawing/2014/main" id="{00000000-0008-0000-0200-000073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444" name="Line 43">
          <a:extLst>
            <a:ext uri="{FF2B5EF4-FFF2-40B4-BE49-F238E27FC236}">
              <a16:creationId xmlns:a16="http://schemas.microsoft.com/office/drawing/2014/main" id="{00000000-0008-0000-0200-000074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445" name="Line 44">
          <a:extLst>
            <a:ext uri="{FF2B5EF4-FFF2-40B4-BE49-F238E27FC236}">
              <a16:creationId xmlns:a16="http://schemas.microsoft.com/office/drawing/2014/main" id="{00000000-0008-0000-0200-000075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446" name="Line 45">
          <a:extLst>
            <a:ext uri="{FF2B5EF4-FFF2-40B4-BE49-F238E27FC236}">
              <a16:creationId xmlns:a16="http://schemas.microsoft.com/office/drawing/2014/main" id="{00000000-0008-0000-0200-000076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447" name="Line 46">
          <a:extLst>
            <a:ext uri="{FF2B5EF4-FFF2-40B4-BE49-F238E27FC236}">
              <a16:creationId xmlns:a16="http://schemas.microsoft.com/office/drawing/2014/main" id="{00000000-0008-0000-0200-000077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448" name="Line 47">
          <a:extLst>
            <a:ext uri="{FF2B5EF4-FFF2-40B4-BE49-F238E27FC236}">
              <a16:creationId xmlns:a16="http://schemas.microsoft.com/office/drawing/2014/main" id="{00000000-0008-0000-0200-0000780D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449" name="Line 48">
          <a:extLst>
            <a:ext uri="{FF2B5EF4-FFF2-40B4-BE49-F238E27FC236}">
              <a16:creationId xmlns:a16="http://schemas.microsoft.com/office/drawing/2014/main" id="{00000000-0008-0000-0200-0000790D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450" name="Line 49">
          <a:extLst>
            <a:ext uri="{FF2B5EF4-FFF2-40B4-BE49-F238E27FC236}">
              <a16:creationId xmlns:a16="http://schemas.microsoft.com/office/drawing/2014/main" id="{00000000-0008-0000-0200-00007A0D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451" name="Line 50">
          <a:extLst>
            <a:ext uri="{FF2B5EF4-FFF2-40B4-BE49-F238E27FC236}">
              <a16:creationId xmlns:a16="http://schemas.microsoft.com/office/drawing/2014/main" id="{00000000-0008-0000-0200-00007B0D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452" name="Line 51">
          <a:extLst>
            <a:ext uri="{FF2B5EF4-FFF2-40B4-BE49-F238E27FC236}">
              <a16:creationId xmlns:a16="http://schemas.microsoft.com/office/drawing/2014/main" id="{00000000-0008-0000-0200-00007C0D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453" name="Line 52">
          <a:extLst>
            <a:ext uri="{FF2B5EF4-FFF2-40B4-BE49-F238E27FC236}">
              <a16:creationId xmlns:a16="http://schemas.microsoft.com/office/drawing/2014/main" id="{00000000-0008-0000-0200-00007D0D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454" name="Line 53">
          <a:extLst>
            <a:ext uri="{FF2B5EF4-FFF2-40B4-BE49-F238E27FC236}">
              <a16:creationId xmlns:a16="http://schemas.microsoft.com/office/drawing/2014/main" id="{00000000-0008-0000-0200-00007E0D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455" name="Line 54">
          <a:extLst>
            <a:ext uri="{FF2B5EF4-FFF2-40B4-BE49-F238E27FC236}">
              <a16:creationId xmlns:a16="http://schemas.microsoft.com/office/drawing/2014/main" id="{00000000-0008-0000-0200-00007F0D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456" name="Line 55">
          <a:extLst>
            <a:ext uri="{FF2B5EF4-FFF2-40B4-BE49-F238E27FC236}">
              <a16:creationId xmlns:a16="http://schemas.microsoft.com/office/drawing/2014/main" id="{00000000-0008-0000-0200-0000800D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457" name="Line 56">
          <a:extLst>
            <a:ext uri="{FF2B5EF4-FFF2-40B4-BE49-F238E27FC236}">
              <a16:creationId xmlns:a16="http://schemas.microsoft.com/office/drawing/2014/main" id="{00000000-0008-0000-0200-0000810D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458" name="Rectangle 57">
          <a:extLst>
            <a:ext uri="{FF2B5EF4-FFF2-40B4-BE49-F238E27FC236}">
              <a16:creationId xmlns:a16="http://schemas.microsoft.com/office/drawing/2014/main" id="{00000000-0008-0000-0200-0000820D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459" name="Line 58">
          <a:extLst>
            <a:ext uri="{FF2B5EF4-FFF2-40B4-BE49-F238E27FC236}">
              <a16:creationId xmlns:a16="http://schemas.microsoft.com/office/drawing/2014/main" id="{00000000-0008-0000-0200-0000830D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460" name="Line 59">
          <a:extLst>
            <a:ext uri="{FF2B5EF4-FFF2-40B4-BE49-F238E27FC236}">
              <a16:creationId xmlns:a16="http://schemas.microsoft.com/office/drawing/2014/main" id="{00000000-0008-0000-0200-0000840D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461" name="Line 60">
          <a:extLst>
            <a:ext uri="{FF2B5EF4-FFF2-40B4-BE49-F238E27FC236}">
              <a16:creationId xmlns:a16="http://schemas.microsoft.com/office/drawing/2014/main" id="{00000000-0008-0000-0200-0000850D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462" name="Line 61">
          <a:extLst>
            <a:ext uri="{FF2B5EF4-FFF2-40B4-BE49-F238E27FC236}">
              <a16:creationId xmlns:a16="http://schemas.microsoft.com/office/drawing/2014/main" id="{00000000-0008-0000-0200-000086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463" name="Line 62">
          <a:extLst>
            <a:ext uri="{FF2B5EF4-FFF2-40B4-BE49-F238E27FC236}">
              <a16:creationId xmlns:a16="http://schemas.microsoft.com/office/drawing/2014/main" id="{00000000-0008-0000-0200-000087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464" name="Line 63">
          <a:extLst>
            <a:ext uri="{FF2B5EF4-FFF2-40B4-BE49-F238E27FC236}">
              <a16:creationId xmlns:a16="http://schemas.microsoft.com/office/drawing/2014/main" id="{00000000-0008-0000-0200-000088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465" name="Line 64">
          <a:extLst>
            <a:ext uri="{FF2B5EF4-FFF2-40B4-BE49-F238E27FC236}">
              <a16:creationId xmlns:a16="http://schemas.microsoft.com/office/drawing/2014/main" id="{00000000-0008-0000-0200-000089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466" name="Line 65">
          <a:extLst>
            <a:ext uri="{FF2B5EF4-FFF2-40B4-BE49-F238E27FC236}">
              <a16:creationId xmlns:a16="http://schemas.microsoft.com/office/drawing/2014/main" id="{00000000-0008-0000-0200-00008A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467" name="Line 66">
          <a:extLst>
            <a:ext uri="{FF2B5EF4-FFF2-40B4-BE49-F238E27FC236}">
              <a16:creationId xmlns:a16="http://schemas.microsoft.com/office/drawing/2014/main" id="{00000000-0008-0000-0200-00008B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468" name="Line 67">
          <a:extLst>
            <a:ext uri="{FF2B5EF4-FFF2-40B4-BE49-F238E27FC236}">
              <a16:creationId xmlns:a16="http://schemas.microsoft.com/office/drawing/2014/main" id="{00000000-0008-0000-0200-00008C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469" name="Line 68">
          <a:extLst>
            <a:ext uri="{FF2B5EF4-FFF2-40B4-BE49-F238E27FC236}">
              <a16:creationId xmlns:a16="http://schemas.microsoft.com/office/drawing/2014/main" id="{00000000-0008-0000-0200-00008D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470" name="Line 1">
          <a:extLst>
            <a:ext uri="{FF2B5EF4-FFF2-40B4-BE49-F238E27FC236}">
              <a16:creationId xmlns:a16="http://schemas.microsoft.com/office/drawing/2014/main" id="{00000000-0008-0000-0200-00008E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471" name="Drawing 16">
          <a:extLst>
            <a:ext uri="{FF2B5EF4-FFF2-40B4-BE49-F238E27FC236}">
              <a16:creationId xmlns:a16="http://schemas.microsoft.com/office/drawing/2014/main" id="{00000000-0008-0000-0200-00008F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472" name="Line 3">
          <a:extLst>
            <a:ext uri="{FF2B5EF4-FFF2-40B4-BE49-F238E27FC236}">
              <a16:creationId xmlns:a16="http://schemas.microsoft.com/office/drawing/2014/main" id="{00000000-0008-0000-0200-000090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473" name="Line 4">
          <a:extLst>
            <a:ext uri="{FF2B5EF4-FFF2-40B4-BE49-F238E27FC236}">
              <a16:creationId xmlns:a16="http://schemas.microsoft.com/office/drawing/2014/main" id="{00000000-0008-0000-0200-000091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474" name="Line 5">
          <a:extLst>
            <a:ext uri="{FF2B5EF4-FFF2-40B4-BE49-F238E27FC236}">
              <a16:creationId xmlns:a16="http://schemas.microsoft.com/office/drawing/2014/main" id="{00000000-0008-0000-0200-000092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475" name="Line 6">
          <a:extLst>
            <a:ext uri="{FF2B5EF4-FFF2-40B4-BE49-F238E27FC236}">
              <a16:creationId xmlns:a16="http://schemas.microsoft.com/office/drawing/2014/main" id="{00000000-0008-0000-0200-000093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476" name="Line 7">
          <a:extLst>
            <a:ext uri="{FF2B5EF4-FFF2-40B4-BE49-F238E27FC236}">
              <a16:creationId xmlns:a16="http://schemas.microsoft.com/office/drawing/2014/main" id="{00000000-0008-0000-0200-000094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477" name="Line 8">
          <a:extLst>
            <a:ext uri="{FF2B5EF4-FFF2-40B4-BE49-F238E27FC236}">
              <a16:creationId xmlns:a16="http://schemas.microsoft.com/office/drawing/2014/main" id="{00000000-0008-0000-0200-000095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478" name="Line 9">
          <a:extLst>
            <a:ext uri="{FF2B5EF4-FFF2-40B4-BE49-F238E27FC236}">
              <a16:creationId xmlns:a16="http://schemas.microsoft.com/office/drawing/2014/main" id="{00000000-0008-0000-0200-000096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479" name="Line 10">
          <a:extLst>
            <a:ext uri="{FF2B5EF4-FFF2-40B4-BE49-F238E27FC236}">
              <a16:creationId xmlns:a16="http://schemas.microsoft.com/office/drawing/2014/main" id="{00000000-0008-0000-0200-000097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480" name="Line 11">
          <a:extLst>
            <a:ext uri="{FF2B5EF4-FFF2-40B4-BE49-F238E27FC236}">
              <a16:creationId xmlns:a16="http://schemas.microsoft.com/office/drawing/2014/main" id="{00000000-0008-0000-0200-000098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481" name="Line 12">
          <a:extLst>
            <a:ext uri="{FF2B5EF4-FFF2-40B4-BE49-F238E27FC236}">
              <a16:creationId xmlns:a16="http://schemas.microsoft.com/office/drawing/2014/main" id="{00000000-0008-0000-0200-000099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482" name="Line 13">
          <a:extLst>
            <a:ext uri="{FF2B5EF4-FFF2-40B4-BE49-F238E27FC236}">
              <a16:creationId xmlns:a16="http://schemas.microsoft.com/office/drawing/2014/main" id="{00000000-0008-0000-0200-00009A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83" name="Line 14">
          <a:extLst>
            <a:ext uri="{FF2B5EF4-FFF2-40B4-BE49-F238E27FC236}">
              <a16:creationId xmlns:a16="http://schemas.microsoft.com/office/drawing/2014/main" id="{00000000-0008-0000-0200-00009B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484" name="Line 15">
          <a:extLst>
            <a:ext uri="{FF2B5EF4-FFF2-40B4-BE49-F238E27FC236}">
              <a16:creationId xmlns:a16="http://schemas.microsoft.com/office/drawing/2014/main" id="{00000000-0008-0000-0200-00009C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485" name="Line 16">
          <a:extLst>
            <a:ext uri="{FF2B5EF4-FFF2-40B4-BE49-F238E27FC236}">
              <a16:creationId xmlns:a16="http://schemas.microsoft.com/office/drawing/2014/main" id="{00000000-0008-0000-0200-00009D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486" name="Line 17">
          <a:extLst>
            <a:ext uri="{FF2B5EF4-FFF2-40B4-BE49-F238E27FC236}">
              <a16:creationId xmlns:a16="http://schemas.microsoft.com/office/drawing/2014/main" id="{00000000-0008-0000-0200-00009E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487" name="Line 18">
          <a:extLst>
            <a:ext uri="{FF2B5EF4-FFF2-40B4-BE49-F238E27FC236}">
              <a16:creationId xmlns:a16="http://schemas.microsoft.com/office/drawing/2014/main" id="{00000000-0008-0000-0200-00009F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488" name="Line 19">
          <a:extLst>
            <a:ext uri="{FF2B5EF4-FFF2-40B4-BE49-F238E27FC236}">
              <a16:creationId xmlns:a16="http://schemas.microsoft.com/office/drawing/2014/main" id="{00000000-0008-0000-0200-0000A0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489" name="Line 20">
          <a:extLst>
            <a:ext uri="{FF2B5EF4-FFF2-40B4-BE49-F238E27FC236}">
              <a16:creationId xmlns:a16="http://schemas.microsoft.com/office/drawing/2014/main" id="{00000000-0008-0000-0200-0000A1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490" name="Line 21">
          <a:extLst>
            <a:ext uri="{FF2B5EF4-FFF2-40B4-BE49-F238E27FC236}">
              <a16:creationId xmlns:a16="http://schemas.microsoft.com/office/drawing/2014/main" id="{00000000-0008-0000-0200-0000A2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491" name="Line 22">
          <a:extLst>
            <a:ext uri="{FF2B5EF4-FFF2-40B4-BE49-F238E27FC236}">
              <a16:creationId xmlns:a16="http://schemas.microsoft.com/office/drawing/2014/main" id="{00000000-0008-0000-0200-0000A3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492" name="Line 23">
          <a:extLst>
            <a:ext uri="{FF2B5EF4-FFF2-40B4-BE49-F238E27FC236}">
              <a16:creationId xmlns:a16="http://schemas.microsoft.com/office/drawing/2014/main" id="{00000000-0008-0000-0200-0000A4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493" name="Line 24">
          <a:extLst>
            <a:ext uri="{FF2B5EF4-FFF2-40B4-BE49-F238E27FC236}">
              <a16:creationId xmlns:a16="http://schemas.microsoft.com/office/drawing/2014/main" id="{00000000-0008-0000-0200-0000A5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494" name="Line 25">
          <a:extLst>
            <a:ext uri="{FF2B5EF4-FFF2-40B4-BE49-F238E27FC236}">
              <a16:creationId xmlns:a16="http://schemas.microsoft.com/office/drawing/2014/main" id="{00000000-0008-0000-0200-0000A6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495" name="Line 26">
          <a:extLst>
            <a:ext uri="{FF2B5EF4-FFF2-40B4-BE49-F238E27FC236}">
              <a16:creationId xmlns:a16="http://schemas.microsoft.com/office/drawing/2014/main" id="{00000000-0008-0000-0200-0000A7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496" name="Line 27">
          <a:extLst>
            <a:ext uri="{FF2B5EF4-FFF2-40B4-BE49-F238E27FC236}">
              <a16:creationId xmlns:a16="http://schemas.microsoft.com/office/drawing/2014/main" id="{00000000-0008-0000-0200-0000A8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497" name="Line 28">
          <a:extLst>
            <a:ext uri="{FF2B5EF4-FFF2-40B4-BE49-F238E27FC236}">
              <a16:creationId xmlns:a16="http://schemas.microsoft.com/office/drawing/2014/main" id="{00000000-0008-0000-0200-0000A9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498" name="Line 29">
          <a:extLst>
            <a:ext uri="{FF2B5EF4-FFF2-40B4-BE49-F238E27FC236}">
              <a16:creationId xmlns:a16="http://schemas.microsoft.com/office/drawing/2014/main" id="{00000000-0008-0000-0200-0000AA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499" name="Line 30">
          <a:extLst>
            <a:ext uri="{FF2B5EF4-FFF2-40B4-BE49-F238E27FC236}">
              <a16:creationId xmlns:a16="http://schemas.microsoft.com/office/drawing/2014/main" id="{00000000-0008-0000-0200-0000AB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500" name="Line 31">
          <a:extLst>
            <a:ext uri="{FF2B5EF4-FFF2-40B4-BE49-F238E27FC236}">
              <a16:creationId xmlns:a16="http://schemas.microsoft.com/office/drawing/2014/main" id="{00000000-0008-0000-0200-0000AC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501" name="Line 32">
          <a:extLst>
            <a:ext uri="{FF2B5EF4-FFF2-40B4-BE49-F238E27FC236}">
              <a16:creationId xmlns:a16="http://schemas.microsoft.com/office/drawing/2014/main" id="{00000000-0008-0000-0200-0000AD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502" name="Line 33">
          <a:extLst>
            <a:ext uri="{FF2B5EF4-FFF2-40B4-BE49-F238E27FC236}">
              <a16:creationId xmlns:a16="http://schemas.microsoft.com/office/drawing/2014/main" id="{00000000-0008-0000-0200-0000AE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503" name="Line 34">
          <a:extLst>
            <a:ext uri="{FF2B5EF4-FFF2-40B4-BE49-F238E27FC236}">
              <a16:creationId xmlns:a16="http://schemas.microsoft.com/office/drawing/2014/main" id="{00000000-0008-0000-0200-0000AF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504" name="Line 35">
          <a:extLst>
            <a:ext uri="{FF2B5EF4-FFF2-40B4-BE49-F238E27FC236}">
              <a16:creationId xmlns:a16="http://schemas.microsoft.com/office/drawing/2014/main" id="{00000000-0008-0000-0200-0000B0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505" name="Line 36">
          <a:extLst>
            <a:ext uri="{FF2B5EF4-FFF2-40B4-BE49-F238E27FC236}">
              <a16:creationId xmlns:a16="http://schemas.microsoft.com/office/drawing/2014/main" id="{00000000-0008-0000-0200-0000B1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506" name="Line 37">
          <a:extLst>
            <a:ext uri="{FF2B5EF4-FFF2-40B4-BE49-F238E27FC236}">
              <a16:creationId xmlns:a16="http://schemas.microsoft.com/office/drawing/2014/main" id="{00000000-0008-0000-0200-0000B2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507" name="Line 38">
          <a:extLst>
            <a:ext uri="{FF2B5EF4-FFF2-40B4-BE49-F238E27FC236}">
              <a16:creationId xmlns:a16="http://schemas.microsoft.com/office/drawing/2014/main" id="{00000000-0008-0000-0200-0000B3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508" name="Line 39">
          <a:extLst>
            <a:ext uri="{FF2B5EF4-FFF2-40B4-BE49-F238E27FC236}">
              <a16:creationId xmlns:a16="http://schemas.microsoft.com/office/drawing/2014/main" id="{00000000-0008-0000-0200-0000B4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509" name="Line 40">
          <a:extLst>
            <a:ext uri="{FF2B5EF4-FFF2-40B4-BE49-F238E27FC236}">
              <a16:creationId xmlns:a16="http://schemas.microsoft.com/office/drawing/2014/main" id="{00000000-0008-0000-0200-0000B5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510" name="Line 41">
          <a:extLst>
            <a:ext uri="{FF2B5EF4-FFF2-40B4-BE49-F238E27FC236}">
              <a16:creationId xmlns:a16="http://schemas.microsoft.com/office/drawing/2014/main" id="{00000000-0008-0000-0200-0000B6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511" name="Rectangle 42">
          <a:extLst>
            <a:ext uri="{FF2B5EF4-FFF2-40B4-BE49-F238E27FC236}">
              <a16:creationId xmlns:a16="http://schemas.microsoft.com/office/drawing/2014/main" id="{00000000-0008-0000-0200-0000B7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12" name="Line 43">
          <a:extLst>
            <a:ext uri="{FF2B5EF4-FFF2-40B4-BE49-F238E27FC236}">
              <a16:creationId xmlns:a16="http://schemas.microsoft.com/office/drawing/2014/main" id="{00000000-0008-0000-0200-0000B8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13" name="Line 44">
          <a:extLst>
            <a:ext uri="{FF2B5EF4-FFF2-40B4-BE49-F238E27FC236}">
              <a16:creationId xmlns:a16="http://schemas.microsoft.com/office/drawing/2014/main" id="{00000000-0008-0000-0200-0000B9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514" name="Line 45">
          <a:extLst>
            <a:ext uri="{FF2B5EF4-FFF2-40B4-BE49-F238E27FC236}">
              <a16:creationId xmlns:a16="http://schemas.microsoft.com/office/drawing/2014/main" id="{00000000-0008-0000-0200-0000BA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515" name="Line 46">
          <a:extLst>
            <a:ext uri="{FF2B5EF4-FFF2-40B4-BE49-F238E27FC236}">
              <a16:creationId xmlns:a16="http://schemas.microsoft.com/office/drawing/2014/main" id="{00000000-0008-0000-0200-0000BB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516" name="Line 47">
          <a:extLst>
            <a:ext uri="{FF2B5EF4-FFF2-40B4-BE49-F238E27FC236}">
              <a16:creationId xmlns:a16="http://schemas.microsoft.com/office/drawing/2014/main" id="{00000000-0008-0000-0200-0000BC0D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517" name="Line 48">
          <a:extLst>
            <a:ext uri="{FF2B5EF4-FFF2-40B4-BE49-F238E27FC236}">
              <a16:creationId xmlns:a16="http://schemas.microsoft.com/office/drawing/2014/main" id="{00000000-0008-0000-0200-0000BD0D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518" name="Line 49">
          <a:extLst>
            <a:ext uri="{FF2B5EF4-FFF2-40B4-BE49-F238E27FC236}">
              <a16:creationId xmlns:a16="http://schemas.microsoft.com/office/drawing/2014/main" id="{00000000-0008-0000-0200-0000BE0D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519" name="Line 50">
          <a:extLst>
            <a:ext uri="{FF2B5EF4-FFF2-40B4-BE49-F238E27FC236}">
              <a16:creationId xmlns:a16="http://schemas.microsoft.com/office/drawing/2014/main" id="{00000000-0008-0000-0200-0000BF0D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520" name="Line 51">
          <a:extLst>
            <a:ext uri="{FF2B5EF4-FFF2-40B4-BE49-F238E27FC236}">
              <a16:creationId xmlns:a16="http://schemas.microsoft.com/office/drawing/2014/main" id="{00000000-0008-0000-0200-0000C00D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521" name="Line 52">
          <a:extLst>
            <a:ext uri="{FF2B5EF4-FFF2-40B4-BE49-F238E27FC236}">
              <a16:creationId xmlns:a16="http://schemas.microsoft.com/office/drawing/2014/main" id="{00000000-0008-0000-0200-0000C10D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522" name="Line 53">
          <a:extLst>
            <a:ext uri="{FF2B5EF4-FFF2-40B4-BE49-F238E27FC236}">
              <a16:creationId xmlns:a16="http://schemas.microsoft.com/office/drawing/2014/main" id="{00000000-0008-0000-0200-0000C20D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523" name="Line 54">
          <a:extLst>
            <a:ext uri="{FF2B5EF4-FFF2-40B4-BE49-F238E27FC236}">
              <a16:creationId xmlns:a16="http://schemas.microsoft.com/office/drawing/2014/main" id="{00000000-0008-0000-0200-0000C30D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524" name="Line 55">
          <a:extLst>
            <a:ext uri="{FF2B5EF4-FFF2-40B4-BE49-F238E27FC236}">
              <a16:creationId xmlns:a16="http://schemas.microsoft.com/office/drawing/2014/main" id="{00000000-0008-0000-0200-0000C40D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525" name="Line 56">
          <a:extLst>
            <a:ext uri="{FF2B5EF4-FFF2-40B4-BE49-F238E27FC236}">
              <a16:creationId xmlns:a16="http://schemas.microsoft.com/office/drawing/2014/main" id="{00000000-0008-0000-0200-0000C50D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526" name="Rectangle 57">
          <a:extLst>
            <a:ext uri="{FF2B5EF4-FFF2-40B4-BE49-F238E27FC236}">
              <a16:creationId xmlns:a16="http://schemas.microsoft.com/office/drawing/2014/main" id="{00000000-0008-0000-0200-0000C60D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527" name="Line 58">
          <a:extLst>
            <a:ext uri="{FF2B5EF4-FFF2-40B4-BE49-F238E27FC236}">
              <a16:creationId xmlns:a16="http://schemas.microsoft.com/office/drawing/2014/main" id="{00000000-0008-0000-0200-0000C70D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528" name="Line 59">
          <a:extLst>
            <a:ext uri="{FF2B5EF4-FFF2-40B4-BE49-F238E27FC236}">
              <a16:creationId xmlns:a16="http://schemas.microsoft.com/office/drawing/2014/main" id="{00000000-0008-0000-0200-0000C80D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529" name="Line 60">
          <a:extLst>
            <a:ext uri="{FF2B5EF4-FFF2-40B4-BE49-F238E27FC236}">
              <a16:creationId xmlns:a16="http://schemas.microsoft.com/office/drawing/2014/main" id="{00000000-0008-0000-0200-0000C90D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530" name="Line 61">
          <a:extLst>
            <a:ext uri="{FF2B5EF4-FFF2-40B4-BE49-F238E27FC236}">
              <a16:creationId xmlns:a16="http://schemas.microsoft.com/office/drawing/2014/main" id="{00000000-0008-0000-0200-0000CA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531" name="Line 62">
          <a:extLst>
            <a:ext uri="{FF2B5EF4-FFF2-40B4-BE49-F238E27FC236}">
              <a16:creationId xmlns:a16="http://schemas.microsoft.com/office/drawing/2014/main" id="{00000000-0008-0000-0200-0000CB0D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532" name="Line 63">
          <a:extLst>
            <a:ext uri="{FF2B5EF4-FFF2-40B4-BE49-F238E27FC236}">
              <a16:creationId xmlns:a16="http://schemas.microsoft.com/office/drawing/2014/main" id="{00000000-0008-0000-0200-0000CC0D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533" name="Line 64">
          <a:extLst>
            <a:ext uri="{FF2B5EF4-FFF2-40B4-BE49-F238E27FC236}">
              <a16:creationId xmlns:a16="http://schemas.microsoft.com/office/drawing/2014/main" id="{00000000-0008-0000-0200-0000CD0D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534" name="Line 65">
          <a:extLst>
            <a:ext uri="{FF2B5EF4-FFF2-40B4-BE49-F238E27FC236}">
              <a16:creationId xmlns:a16="http://schemas.microsoft.com/office/drawing/2014/main" id="{00000000-0008-0000-0200-0000CE0D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535" name="Line 66">
          <a:extLst>
            <a:ext uri="{FF2B5EF4-FFF2-40B4-BE49-F238E27FC236}">
              <a16:creationId xmlns:a16="http://schemas.microsoft.com/office/drawing/2014/main" id="{00000000-0008-0000-0200-0000CF0D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536" name="Line 67">
          <a:extLst>
            <a:ext uri="{FF2B5EF4-FFF2-40B4-BE49-F238E27FC236}">
              <a16:creationId xmlns:a16="http://schemas.microsoft.com/office/drawing/2014/main" id="{00000000-0008-0000-0200-0000D00D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537" name="Line 68">
          <a:extLst>
            <a:ext uri="{FF2B5EF4-FFF2-40B4-BE49-F238E27FC236}">
              <a16:creationId xmlns:a16="http://schemas.microsoft.com/office/drawing/2014/main" id="{00000000-0008-0000-0200-0000D10D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538" name="Line 1">
          <a:extLst>
            <a:ext uri="{FF2B5EF4-FFF2-40B4-BE49-F238E27FC236}">
              <a16:creationId xmlns:a16="http://schemas.microsoft.com/office/drawing/2014/main" id="{00000000-0008-0000-0200-0000D20D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539" name="Drawing 16">
          <a:extLst>
            <a:ext uri="{FF2B5EF4-FFF2-40B4-BE49-F238E27FC236}">
              <a16:creationId xmlns:a16="http://schemas.microsoft.com/office/drawing/2014/main" id="{00000000-0008-0000-0200-0000D30D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540" name="Line 3">
          <a:extLst>
            <a:ext uri="{FF2B5EF4-FFF2-40B4-BE49-F238E27FC236}">
              <a16:creationId xmlns:a16="http://schemas.microsoft.com/office/drawing/2014/main" id="{00000000-0008-0000-0200-0000D40D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541" name="Line 4">
          <a:extLst>
            <a:ext uri="{FF2B5EF4-FFF2-40B4-BE49-F238E27FC236}">
              <a16:creationId xmlns:a16="http://schemas.microsoft.com/office/drawing/2014/main" id="{00000000-0008-0000-0200-0000D50D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542" name="Line 5">
          <a:extLst>
            <a:ext uri="{FF2B5EF4-FFF2-40B4-BE49-F238E27FC236}">
              <a16:creationId xmlns:a16="http://schemas.microsoft.com/office/drawing/2014/main" id="{00000000-0008-0000-0200-0000D60D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543" name="Line 6">
          <a:extLst>
            <a:ext uri="{FF2B5EF4-FFF2-40B4-BE49-F238E27FC236}">
              <a16:creationId xmlns:a16="http://schemas.microsoft.com/office/drawing/2014/main" id="{00000000-0008-0000-0200-0000D70D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544" name="Line 7">
          <a:extLst>
            <a:ext uri="{FF2B5EF4-FFF2-40B4-BE49-F238E27FC236}">
              <a16:creationId xmlns:a16="http://schemas.microsoft.com/office/drawing/2014/main" id="{00000000-0008-0000-0200-0000D80D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545" name="Line 8">
          <a:extLst>
            <a:ext uri="{FF2B5EF4-FFF2-40B4-BE49-F238E27FC236}">
              <a16:creationId xmlns:a16="http://schemas.microsoft.com/office/drawing/2014/main" id="{00000000-0008-0000-0200-0000D90D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546" name="Line 9">
          <a:extLst>
            <a:ext uri="{FF2B5EF4-FFF2-40B4-BE49-F238E27FC236}">
              <a16:creationId xmlns:a16="http://schemas.microsoft.com/office/drawing/2014/main" id="{00000000-0008-0000-0200-0000DA0D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547" name="Line 10">
          <a:extLst>
            <a:ext uri="{FF2B5EF4-FFF2-40B4-BE49-F238E27FC236}">
              <a16:creationId xmlns:a16="http://schemas.microsoft.com/office/drawing/2014/main" id="{00000000-0008-0000-0200-0000DB0D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548" name="Line 11">
          <a:extLst>
            <a:ext uri="{FF2B5EF4-FFF2-40B4-BE49-F238E27FC236}">
              <a16:creationId xmlns:a16="http://schemas.microsoft.com/office/drawing/2014/main" id="{00000000-0008-0000-0200-0000DC0D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549" name="Line 12">
          <a:extLst>
            <a:ext uri="{FF2B5EF4-FFF2-40B4-BE49-F238E27FC236}">
              <a16:creationId xmlns:a16="http://schemas.microsoft.com/office/drawing/2014/main" id="{00000000-0008-0000-0200-0000DD0D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550" name="Line 13">
          <a:extLst>
            <a:ext uri="{FF2B5EF4-FFF2-40B4-BE49-F238E27FC236}">
              <a16:creationId xmlns:a16="http://schemas.microsoft.com/office/drawing/2014/main" id="{00000000-0008-0000-0200-0000DE0D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51" name="Line 14">
          <a:extLst>
            <a:ext uri="{FF2B5EF4-FFF2-40B4-BE49-F238E27FC236}">
              <a16:creationId xmlns:a16="http://schemas.microsoft.com/office/drawing/2014/main" id="{00000000-0008-0000-0200-0000DF0D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552" name="Line 15">
          <a:extLst>
            <a:ext uri="{FF2B5EF4-FFF2-40B4-BE49-F238E27FC236}">
              <a16:creationId xmlns:a16="http://schemas.microsoft.com/office/drawing/2014/main" id="{00000000-0008-0000-0200-0000E00D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553" name="Line 16">
          <a:extLst>
            <a:ext uri="{FF2B5EF4-FFF2-40B4-BE49-F238E27FC236}">
              <a16:creationId xmlns:a16="http://schemas.microsoft.com/office/drawing/2014/main" id="{00000000-0008-0000-0200-0000E10D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554" name="Line 17">
          <a:extLst>
            <a:ext uri="{FF2B5EF4-FFF2-40B4-BE49-F238E27FC236}">
              <a16:creationId xmlns:a16="http://schemas.microsoft.com/office/drawing/2014/main" id="{00000000-0008-0000-0200-0000E20D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555" name="Line 18">
          <a:extLst>
            <a:ext uri="{FF2B5EF4-FFF2-40B4-BE49-F238E27FC236}">
              <a16:creationId xmlns:a16="http://schemas.microsoft.com/office/drawing/2014/main" id="{00000000-0008-0000-0200-0000E30D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556" name="Line 19">
          <a:extLst>
            <a:ext uri="{FF2B5EF4-FFF2-40B4-BE49-F238E27FC236}">
              <a16:creationId xmlns:a16="http://schemas.microsoft.com/office/drawing/2014/main" id="{00000000-0008-0000-0200-0000E40D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557" name="Line 20">
          <a:extLst>
            <a:ext uri="{FF2B5EF4-FFF2-40B4-BE49-F238E27FC236}">
              <a16:creationId xmlns:a16="http://schemas.microsoft.com/office/drawing/2014/main" id="{00000000-0008-0000-0200-0000E50D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558" name="Line 21">
          <a:extLst>
            <a:ext uri="{FF2B5EF4-FFF2-40B4-BE49-F238E27FC236}">
              <a16:creationId xmlns:a16="http://schemas.microsoft.com/office/drawing/2014/main" id="{00000000-0008-0000-0200-0000E60D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559" name="Line 22">
          <a:extLst>
            <a:ext uri="{FF2B5EF4-FFF2-40B4-BE49-F238E27FC236}">
              <a16:creationId xmlns:a16="http://schemas.microsoft.com/office/drawing/2014/main" id="{00000000-0008-0000-0200-0000E70D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560" name="Line 23">
          <a:extLst>
            <a:ext uri="{FF2B5EF4-FFF2-40B4-BE49-F238E27FC236}">
              <a16:creationId xmlns:a16="http://schemas.microsoft.com/office/drawing/2014/main" id="{00000000-0008-0000-0200-0000E80D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561" name="Line 24">
          <a:extLst>
            <a:ext uri="{FF2B5EF4-FFF2-40B4-BE49-F238E27FC236}">
              <a16:creationId xmlns:a16="http://schemas.microsoft.com/office/drawing/2014/main" id="{00000000-0008-0000-0200-0000E90D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562" name="Line 25">
          <a:extLst>
            <a:ext uri="{FF2B5EF4-FFF2-40B4-BE49-F238E27FC236}">
              <a16:creationId xmlns:a16="http://schemas.microsoft.com/office/drawing/2014/main" id="{00000000-0008-0000-0200-0000EA0D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563" name="Line 26">
          <a:extLst>
            <a:ext uri="{FF2B5EF4-FFF2-40B4-BE49-F238E27FC236}">
              <a16:creationId xmlns:a16="http://schemas.microsoft.com/office/drawing/2014/main" id="{00000000-0008-0000-0200-0000EB0D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564" name="Line 27">
          <a:extLst>
            <a:ext uri="{FF2B5EF4-FFF2-40B4-BE49-F238E27FC236}">
              <a16:creationId xmlns:a16="http://schemas.microsoft.com/office/drawing/2014/main" id="{00000000-0008-0000-0200-0000EC0D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565" name="Line 28">
          <a:extLst>
            <a:ext uri="{FF2B5EF4-FFF2-40B4-BE49-F238E27FC236}">
              <a16:creationId xmlns:a16="http://schemas.microsoft.com/office/drawing/2014/main" id="{00000000-0008-0000-0200-0000ED0D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566" name="Line 29">
          <a:extLst>
            <a:ext uri="{FF2B5EF4-FFF2-40B4-BE49-F238E27FC236}">
              <a16:creationId xmlns:a16="http://schemas.microsoft.com/office/drawing/2014/main" id="{00000000-0008-0000-0200-0000EE0D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567" name="Line 30">
          <a:extLst>
            <a:ext uri="{FF2B5EF4-FFF2-40B4-BE49-F238E27FC236}">
              <a16:creationId xmlns:a16="http://schemas.microsoft.com/office/drawing/2014/main" id="{00000000-0008-0000-0200-0000EF0D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568" name="Line 31">
          <a:extLst>
            <a:ext uri="{FF2B5EF4-FFF2-40B4-BE49-F238E27FC236}">
              <a16:creationId xmlns:a16="http://schemas.microsoft.com/office/drawing/2014/main" id="{00000000-0008-0000-0200-0000F00D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569" name="Line 32">
          <a:extLst>
            <a:ext uri="{FF2B5EF4-FFF2-40B4-BE49-F238E27FC236}">
              <a16:creationId xmlns:a16="http://schemas.microsoft.com/office/drawing/2014/main" id="{00000000-0008-0000-0200-0000F10D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570" name="Line 33">
          <a:extLst>
            <a:ext uri="{FF2B5EF4-FFF2-40B4-BE49-F238E27FC236}">
              <a16:creationId xmlns:a16="http://schemas.microsoft.com/office/drawing/2014/main" id="{00000000-0008-0000-0200-0000F20D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571" name="Line 34">
          <a:extLst>
            <a:ext uri="{FF2B5EF4-FFF2-40B4-BE49-F238E27FC236}">
              <a16:creationId xmlns:a16="http://schemas.microsoft.com/office/drawing/2014/main" id="{00000000-0008-0000-0200-0000F30D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572" name="Line 35">
          <a:extLst>
            <a:ext uri="{FF2B5EF4-FFF2-40B4-BE49-F238E27FC236}">
              <a16:creationId xmlns:a16="http://schemas.microsoft.com/office/drawing/2014/main" id="{00000000-0008-0000-0200-0000F40D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573" name="Line 36">
          <a:extLst>
            <a:ext uri="{FF2B5EF4-FFF2-40B4-BE49-F238E27FC236}">
              <a16:creationId xmlns:a16="http://schemas.microsoft.com/office/drawing/2014/main" id="{00000000-0008-0000-0200-0000F50D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574" name="Line 37">
          <a:extLst>
            <a:ext uri="{FF2B5EF4-FFF2-40B4-BE49-F238E27FC236}">
              <a16:creationId xmlns:a16="http://schemas.microsoft.com/office/drawing/2014/main" id="{00000000-0008-0000-0200-0000F60D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575" name="Line 38">
          <a:extLst>
            <a:ext uri="{FF2B5EF4-FFF2-40B4-BE49-F238E27FC236}">
              <a16:creationId xmlns:a16="http://schemas.microsoft.com/office/drawing/2014/main" id="{00000000-0008-0000-0200-0000F70D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576" name="Line 39">
          <a:extLst>
            <a:ext uri="{FF2B5EF4-FFF2-40B4-BE49-F238E27FC236}">
              <a16:creationId xmlns:a16="http://schemas.microsoft.com/office/drawing/2014/main" id="{00000000-0008-0000-0200-0000F80D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577" name="Line 40">
          <a:extLst>
            <a:ext uri="{FF2B5EF4-FFF2-40B4-BE49-F238E27FC236}">
              <a16:creationId xmlns:a16="http://schemas.microsoft.com/office/drawing/2014/main" id="{00000000-0008-0000-0200-0000F90D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578" name="Line 41">
          <a:extLst>
            <a:ext uri="{FF2B5EF4-FFF2-40B4-BE49-F238E27FC236}">
              <a16:creationId xmlns:a16="http://schemas.microsoft.com/office/drawing/2014/main" id="{00000000-0008-0000-0200-0000FA0D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579" name="Rectangle 42">
          <a:extLst>
            <a:ext uri="{FF2B5EF4-FFF2-40B4-BE49-F238E27FC236}">
              <a16:creationId xmlns:a16="http://schemas.microsoft.com/office/drawing/2014/main" id="{00000000-0008-0000-0200-0000FB0D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80" name="Line 43">
          <a:extLst>
            <a:ext uri="{FF2B5EF4-FFF2-40B4-BE49-F238E27FC236}">
              <a16:creationId xmlns:a16="http://schemas.microsoft.com/office/drawing/2014/main" id="{00000000-0008-0000-0200-0000FC0D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581" name="Line 44">
          <a:extLst>
            <a:ext uri="{FF2B5EF4-FFF2-40B4-BE49-F238E27FC236}">
              <a16:creationId xmlns:a16="http://schemas.microsoft.com/office/drawing/2014/main" id="{00000000-0008-0000-0200-0000FD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582" name="Line 45">
          <a:extLst>
            <a:ext uri="{FF2B5EF4-FFF2-40B4-BE49-F238E27FC236}">
              <a16:creationId xmlns:a16="http://schemas.microsoft.com/office/drawing/2014/main" id="{00000000-0008-0000-0200-0000FE0D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583" name="Line 46">
          <a:extLst>
            <a:ext uri="{FF2B5EF4-FFF2-40B4-BE49-F238E27FC236}">
              <a16:creationId xmlns:a16="http://schemas.microsoft.com/office/drawing/2014/main" id="{00000000-0008-0000-0200-0000FF0D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584" name="Line 47">
          <a:extLst>
            <a:ext uri="{FF2B5EF4-FFF2-40B4-BE49-F238E27FC236}">
              <a16:creationId xmlns:a16="http://schemas.microsoft.com/office/drawing/2014/main" id="{00000000-0008-0000-0200-000000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585" name="Line 48">
          <a:extLst>
            <a:ext uri="{FF2B5EF4-FFF2-40B4-BE49-F238E27FC236}">
              <a16:creationId xmlns:a16="http://schemas.microsoft.com/office/drawing/2014/main" id="{00000000-0008-0000-0200-000001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586" name="Line 49">
          <a:extLst>
            <a:ext uri="{FF2B5EF4-FFF2-40B4-BE49-F238E27FC236}">
              <a16:creationId xmlns:a16="http://schemas.microsoft.com/office/drawing/2014/main" id="{00000000-0008-0000-0200-000002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587" name="Line 50">
          <a:extLst>
            <a:ext uri="{FF2B5EF4-FFF2-40B4-BE49-F238E27FC236}">
              <a16:creationId xmlns:a16="http://schemas.microsoft.com/office/drawing/2014/main" id="{00000000-0008-0000-0200-000003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588" name="Line 51">
          <a:extLst>
            <a:ext uri="{FF2B5EF4-FFF2-40B4-BE49-F238E27FC236}">
              <a16:creationId xmlns:a16="http://schemas.microsoft.com/office/drawing/2014/main" id="{00000000-0008-0000-0200-000004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589" name="Line 52">
          <a:extLst>
            <a:ext uri="{FF2B5EF4-FFF2-40B4-BE49-F238E27FC236}">
              <a16:creationId xmlns:a16="http://schemas.microsoft.com/office/drawing/2014/main" id="{00000000-0008-0000-0200-000005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590" name="Line 53">
          <a:extLst>
            <a:ext uri="{FF2B5EF4-FFF2-40B4-BE49-F238E27FC236}">
              <a16:creationId xmlns:a16="http://schemas.microsoft.com/office/drawing/2014/main" id="{00000000-0008-0000-0200-000006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591" name="Line 54">
          <a:extLst>
            <a:ext uri="{FF2B5EF4-FFF2-40B4-BE49-F238E27FC236}">
              <a16:creationId xmlns:a16="http://schemas.microsoft.com/office/drawing/2014/main" id="{00000000-0008-0000-0200-000007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592" name="Line 55">
          <a:extLst>
            <a:ext uri="{FF2B5EF4-FFF2-40B4-BE49-F238E27FC236}">
              <a16:creationId xmlns:a16="http://schemas.microsoft.com/office/drawing/2014/main" id="{00000000-0008-0000-0200-000008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593" name="Line 56">
          <a:extLst>
            <a:ext uri="{FF2B5EF4-FFF2-40B4-BE49-F238E27FC236}">
              <a16:creationId xmlns:a16="http://schemas.microsoft.com/office/drawing/2014/main" id="{00000000-0008-0000-0200-000009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594" name="Rectangle 57">
          <a:extLst>
            <a:ext uri="{FF2B5EF4-FFF2-40B4-BE49-F238E27FC236}">
              <a16:creationId xmlns:a16="http://schemas.microsoft.com/office/drawing/2014/main" id="{00000000-0008-0000-0200-00000A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595" name="Line 58">
          <a:extLst>
            <a:ext uri="{FF2B5EF4-FFF2-40B4-BE49-F238E27FC236}">
              <a16:creationId xmlns:a16="http://schemas.microsoft.com/office/drawing/2014/main" id="{00000000-0008-0000-0200-00000B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596" name="Line 59">
          <a:extLst>
            <a:ext uri="{FF2B5EF4-FFF2-40B4-BE49-F238E27FC236}">
              <a16:creationId xmlns:a16="http://schemas.microsoft.com/office/drawing/2014/main" id="{00000000-0008-0000-0200-00000C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597" name="Line 60">
          <a:extLst>
            <a:ext uri="{FF2B5EF4-FFF2-40B4-BE49-F238E27FC236}">
              <a16:creationId xmlns:a16="http://schemas.microsoft.com/office/drawing/2014/main" id="{00000000-0008-0000-0200-00000D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598" name="Line 61">
          <a:extLst>
            <a:ext uri="{FF2B5EF4-FFF2-40B4-BE49-F238E27FC236}">
              <a16:creationId xmlns:a16="http://schemas.microsoft.com/office/drawing/2014/main" id="{00000000-0008-0000-0200-00000E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599" name="Line 62">
          <a:extLst>
            <a:ext uri="{FF2B5EF4-FFF2-40B4-BE49-F238E27FC236}">
              <a16:creationId xmlns:a16="http://schemas.microsoft.com/office/drawing/2014/main" id="{00000000-0008-0000-0200-00000F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600" name="Line 63">
          <a:extLst>
            <a:ext uri="{FF2B5EF4-FFF2-40B4-BE49-F238E27FC236}">
              <a16:creationId xmlns:a16="http://schemas.microsoft.com/office/drawing/2014/main" id="{00000000-0008-0000-0200-000010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601" name="Line 64">
          <a:extLst>
            <a:ext uri="{FF2B5EF4-FFF2-40B4-BE49-F238E27FC236}">
              <a16:creationId xmlns:a16="http://schemas.microsoft.com/office/drawing/2014/main" id="{00000000-0008-0000-0200-000011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602" name="Line 65">
          <a:extLst>
            <a:ext uri="{FF2B5EF4-FFF2-40B4-BE49-F238E27FC236}">
              <a16:creationId xmlns:a16="http://schemas.microsoft.com/office/drawing/2014/main" id="{00000000-0008-0000-0200-000012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603" name="Line 66">
          <a:extLst>
            <a:ext uri="{FF2B5EF4-FFF2-40B4-BE49-F238E27FC236}">
              <a16:creationId xmlns:a16="http://schemas.microsoft.com/office/drawing/2014/main" id="{00000000-0008-0000-0200-000013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604" name="Line 67">
          <a:extLst>
            <a:ext uri="{FF2B5EF4-FFF2-40B4-BE49-F238E27FC236}">
              <a16:creationId xmlns:a16="http://schemas.microsoft.com/office/drawing/2014/main" id="{00000000-0008-0000-0200-000014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605" name="Line 68">
          <a:extLst>
            <a:ext uri="{FF2B5EF4-FFF2-40B4-BE49-F238E27FC236}">
              <a16:creationId xmlns:a16="http://schemas.microsoft.com/office/drawing/2014/main" id="{00000000-0008-0000-0200-000015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606" name="Line 1">
          <a:extLst>
            <a:ext uri="{FF2B5EF4-FFF2-40B4-BE49-F238E27FC236}">
              <a16:creationId xmlns:a16="http://schemas.microsoft.com/office/drawing/2014/main" id="{00000000-0008-0000-0200-000016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607" name="Drawing 16">
          <a:extLst>
            <a:ext uri="{FF2B5EF4-FFF2-40B4-BE49-F238E27FC236}">
              <a16:creationId xmlns:a16="http://schemas.microsoft.com/office/drawing/2014/main" id="{00000000-0008-0000-0200-000017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608" name="Line 3">
          <a:extLst>
            <a:ext uri="{FF2B5EF4-FFF2-40B4-BE49-F238E27FC236}">
              <a16:creationId xmlns:a16="http://schemas.microsoft.com/office/drawing/2014/main" id="{00000000-0008-0000-0200-000018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609" name="Line 4">
          <a:extLst>
            <a:ext uri="{FF2B5EF4-FFF2-40B4-BE49-F238E27FC236}">
              <a16:creationId xmlns:a16="http://schemas.microsoft.com/office/drawing/2014/main" id="{00000000-0008-0000-0200-000019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610" name="Line 5">
          <a:extLst>
            <a:ext uri="{FF2B5EF4-FFF2-40B4-BE49-F238E27FC236}">
              <a16:creationId xmlns:a16="http://schemas.microsoft.com/office/drawing/2014/main" id="{00000000-0008-0000-0200-00001A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611" name="Line 6">
          <a:extLst>
            <a:ext uri="{FF2B5EF4-FFF2-40B4-BE49-F238E27FC236}">
              <a16:creationId xmlns:a16="http://schemas.microsoft.com/office/drawing/2014/main" id="{00000000-0008-0000-0200-00001B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612" name="Line 7">
          <a:extLst>
            <a:ext uri="{FF2B5EF4-FFF2-40B4-BE49-F238E27FC236}">
              <a16:creationId xmlns:a16="http://schemas.microsoft.com/office/drawing/2014/main" id="{00000000-0008-0000-0200-00001C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613" name="Line 8">
          <a:extLst>
            <a:ext uri="{FF2B5EF4-FFF2-40B4-BE49-F238E27FC236}">
              <a16:creationId xmlns:a16="http://schemas.microsoft.com/office/drawing/2014/main" id="{00000000-0008-0000-0200-00001D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614" name="Line 9">
          <a:extLst>
            <a:ext uri="{FF2B5EF4-FFF2-40B4-BE49-F238E27FC236}">
              <a16:creationId xmlns:a16="http://schemas.microsoft.com/office/drawing/2014/main" id="{00000000-0008-0000-0200-00001E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615" name="Line 10">
          <a:extLst>
            <a:ext uri="{FF2B5EF4-FFF2-40B4-BE49-F238E27FC236}">
              <a16:creationId xmlns:a16="http://schemas.microsoft.com/office/drawing/2014/main" id="{00000000-0008-0000-0200-00001F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616" name="Line 11">
          <a:extLst>
            <a:ext uri="{FF2B5EF4-FFF2-40B4-BE49-F238E27FC236}">
              <a16:creationId xmlns:a16="http://schemas.microsoft.com/office/drawing/2014/main" id="{00000000-0008-0000-0200-000020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617" name="Line 12">
          <a:extLst>
            <a:ext uri="{FF2B5EF4-FFF2-40B4-BE49-F238E27FC236}">
              <a16:creationId xmlns:a16="http://schemas.microsoft.com/office/drawing/2014/main" id="{00000000-0008-0000-0200-000021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618" name="Line 13">
          <a:extLst>
            <a:ext uri="{FF2B5EF4-FFF2-40B4-BE49-F238E27FC236}">
              <a16:creationId xmlns:a16="http://schemas.microsoft.com/office/drawing/2014/main" id="{00000000-0008-0000-0200-000022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19" name="Line 14">
          <a:extLst>
            <a:ext uri="{FF2B5EF4-FFF2-40B4-BE49-F238E27FC236}">
              <a16:creationId xmlns:a16="http://schemas.microsoft.com/office/drawing/2014/main" id="{00000000-0008-0000-0200-000023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620" name="Line 15">
          <a:extLst>
            <a:ext uri="{FF2B5EF4-FFF2-40B4-BE49-F238E27FC236}">
              <a16:creationId xmlns:a16="http://schemas.microsoft.com/office/drawing/2014/main" id="{00000000-0008-0000-0200-000024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21" name="Line 16">
          <a:extLst>
            <a:ext uri="{FF2B5EF4-FFF2-40B4-BE49-F238E27FC236}">
              <a16:creationId xmlns:a16="http://schemas.microsoft.com/office/drawing/2014/main" id="{00000000-0008-0000-0200-000025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622" name="Line 17">
          <a:extLst>
            <a:ext uri="{FF2B5EF4-FFF2-40B4-BE49-F238E27FC236}">
              <a16:creationId xmlns:a16="http://schemas.microsoft.com/office/drawing/2014/main" id="{00000000-0008-0000-0200-000026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623" name="Line 18">
          <a:extLst>
            <a:ext uri="{FF2B5EF4-FFF2-40B4-BE49-F238E27FC236}">
              <a16:creationId xmlns:a16="http://schemas.microsoft.com/office/drawing/2014/main" id="{00000000-0008-0000-0200-000027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624" name="Line 19">
          <a:extLst>
            <a:ext uri="{FF2B5EF4-FFF2-40B4-BE49-F238E27FC236}">
              <a16:creationId xmlns:a16="http://schemas.microsoft.com/office/drawing/2014/main" id="{00000000-0008-0000-0200-000028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625" name="Line 20">
          <a:extLst>
            <a:ext uri="{FF2B5EF4-FFF2-40B4-BE49-F238E27FC236}">
              <a16:creationId xmlns:a16="http://schemas.microsoft.com/office/drawing/2014/main" id="{00000000-0008-0000-0200-000029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626" name="Line 21">
          <a:extLst>
            <a:ext uri="{FF2B5EF4-FFF2-40B4-BE49-F238E27FC236}">
              <a16:creationId xmlns:a16="http://schemas.microsoft.com/office/drawing/2014/main" id="{00000000-0008-0000-0200-00002A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627" name="Line 22">
          <a:extLst>
            <a:ext uri="{FF2B5EF4-FFF2-40B4-BE49-F238E27FC236}">
              <a16:creationId xmlns:a16="http://schemas.microsoft.com/office/drawing/2014/main" id="{00000000-0008-0000-0200-00002B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628" name="Line 23">
          <a:extLst>
            <a:ext uri="{FF2B5EF4-FFF2-40B4-BE49-F238E27FC236}">
              <a16:creationId xmlns:a16="http://schemas.microsoft.com/office/drawing/2014/main" id="{00000000-0008-0000-0200-00002C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629" name="Line 24">
          <a:extLst>
            <a:ext uri="{FF2B5EF4-FFF2-40B4-BE49-F238E27FC236}">
              <a16:creationId xmlns:a16="http://schemas.microsoft.com/office/drawing/2014/main" id="{00000000-0008-0000-0200-00002D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630" name="Line 25">
          <a:extLst>
            <a:ext uri="{FF2B5EF4-FFF2-40B4-BE49-F238E27FC236}">
              <a16:creationId xmlns:a16="http://schemas.microsoft.com/office/drawing/2014/main" id="{00000000-0008-0000-0200-00002E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631" name="Line 26">
          <a:extLst>
            <a:ext uri="{FF2B5EF4-FFF2-40B4-BE49-F238E27FC236}">
              <a16:creationId xmlns:a16="http://schemas.microsoft.com/office/drawing/2014/main" id="{00000000-0008-0000-0200-00002F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632" name="Line 27">
          <a:extLst>
            <a:ext uri="{FF2B5EF4-FFF2-40B4-BE49-F238E27FC236}">
              <a16:creationId xmlns:a16="http://schemas.microsoft.com/office/drawing/2014/main" id="{00000000-0008-0000-0200-000030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633" name="Line 28">
          <a:extLst>
            <a:ext uri="{FF2B5EF4-FFF2-40B4-BE49-F238E27FC236}">
              <a16:creationId xmlns:a16="http://schemas.microsoft.com/office/drawing/2014/main" id="{00000000-0008-0000-0200-000031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634" name="Line 29">
          <a:extLst>
            <a:ext uri="{FF2B5EF4-FFF2-40B4-BE49-F238E27FC236}">
              <a16:creationId xmlns:a16="http://schemas.microsoft.com/office/drawing/2014/main" id="{00000000-0008-0000-0200-000032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635" name="Line 30">
          <a:extLst>
            <a:ext uri="{FF2B5EF4-FFF2-40B4-BE49-F238E27FC236}">
              <a16:creationId xmlns:a16="http://schemas.microsoft.com/office/drawing/2014/main" id="{00000000-0008-0000-0200-000033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636" name="Line 31">
          <a:extLst>
            <a:ext uri="{FF2B5EF4-FFF2-40B4-BE49-F238E27FC236}">
              <a16:creationId xmlns:a16="http://schemas.microsoft.com/office/drawing/2014/main" id="{00000000-0008-0000-0200-0000340E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637" name="Line 32">
          <a:extLst>
            <a:ext uri="{FF2B5EF4-FFF2-40B4-BE49-F238E27FC236}">
              <a16:creationId xmlns:a16="http://schemas.microsoft.com/office/drawing/2014/main" id="{00000000-0008-0000-0200-0000350E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638" name="Line 33">
          <a:extLst>
            <a:ext uri="{FF2B5EF4-FFF2-40B4-BE49-F238E27FC236}">
              <a16:creationId xmlns:a16="http://schemas.microsoft.com/office/drawing/2014/main" id="{00000000-0008-0000-0200-0000360E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639" name="Line 34">
          <a:extLst>
            <a:ext uri="{FF2B5EF4-FFF2-40B4-BE49-F238E27FC236}">
              <a16:creationId xmlns:a16="http://schemas.microsoft.com/office/drawing/2014/main" id="{00000000-0008-0000-0200-0000370E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640" name="Line 35">
          <a:extLst>
            <a:ext uri="{FF2B5EF4-FFF2-40B4-BE49-F238E27FC236}">
              <a16:creationId xmlns:a16="http://schemas.microsoft.com/office/drawing/2014/main" id="{00000000-0008-0000-0200-0000380E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641" name="Line 36">
          <a:extLst>
            <a:ext uri="{FF2B5EF4-FFF2-40B4-BE49-F238E27FC236}">
              <a16:creationId xmlns:a16="http://schemas.microsoft.com/office/drawing/2014/main" id="{00000000-0008-0000-0200-0000390E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642" name="Line 37">
          <a:extLst>
            <a:ext uri="{FF2B5EF4-FFF2-40B4-BE49-F238E27FC236}">
              <a16:creationId xmlns:a16="http://schemas.microsoft.com/office/drawing/2014/main" id="{00000000-0008-0000-0200-00003A0E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643" name="Line 38">
          <a:extLst>
            <a:ext uri="{FF2B5EF4-FFF2-40B4-BE49-F238E27FC236}">
              <a16:creationId xmlns:a16="http://schemas.microsoft.com/office/drawing/2014/main" id="{00000000-0008-0000-0200-00003B0E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644" name="Line 39">
          <a:extLst>
            <a:ext uri="{FF2B5EF4-FFF2-40B4-BE49-F238E27FC236}">
              <a16:creationId xmlns:a16="http://schemas.microsoft.com/office/drawing/2014/main" id="{00000000-0008-0000-0200-00003C0E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645" name="Line 40">
          <a:extLst>
            <a:ext uri="{FF2B5EF4-FFF2-40B4-BE49-F238E27FC236}">
              <a16:creationId xmlns:a16="http://schemas.microsoft.com/office/drawing/2014/main" id="{00000000-0008-0000-0200-00003D0E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646" name="Line 41">
          <a:extLst>
            <a:ext uri="{FF2B5EF4-FFF2-40B4-BE49-F238E27FC236}">
              <a16:creationId xmlns:a16="http://schemas.microsoft.com/office/drawing/2014/main" id="{00000000-0008-0000-0200-00003E0E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647" name="Rectangle 42">
          <a:extLst>
            <a:ext uri="{FF2B5EF4-FFF2-40B4-BE49-F238E27FC236}">
              <a16:creationId xmlns:a16="http://schemas.microsoft.com/office/drawing/2014/main" id="{00000000-0008-0000-0200-00003F0E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648" name="Line 43">
          <a:extLst>
            <a:ext uri="{FF2B5EF4-FFF2-40B4-BE49-F238E27FC236}">
              <a16:creationId xmlns:a16="http://schemas.microsoft.com/office/drawing/2014/main" id="{00000000-0008-0000-0200-0000400E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649" name="Line 44">
          <a:extLst>
            <a:ext uri="{FF2B5EF4-FFF2-40B4-BE49-F238E27FC236}">
              <a16:creationId xmlns:a16="http://schemas.microsoft.com/office/drawing/2014/main" id="{00000000-0008-0000-0200-000041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650" name="Line 45">
          <a:extLst>
            <a:ext uri="{FF2B5EF4-FFF2-40B4-BE49-F238E27FC236}">
              <a16:creationId xmlns:a16="http://schemas.microsoft.com/office/drawing/2014/main" id="{00000000-0008-0000-0200-0000420E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651" name="Line 46">
          <a:extLst>
            <a:ext uri="{FF2B5EF4-FFF2-40B4-BE49-F238E27FC236}">
              <a16:creationId xmlns:a16="http://schemas.microsoft.com/office/drawing/2014/main" id="{00000000-0008-0000-0200-000043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652" name="Line 47">
          <a:extLst>
            <a:ext uri="{FF2B5EF4-FFF2-40B4-BE49-F238E27FC236}">
              <a16:creationId xmlns:a16="http://schemas.microsoft.com/office/drawing/2014/main" id="{00000000-0008-0000-0200-000044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653" name="Line 48">
          <a:extLst>
            <a:ext uri="{FF2B5EF4-FFF2-40B4-BE49-F238E27FC236}">
              <a16:creationId xmlns:a16="http://schemas.microsoft.com/office/drawing/2014/main" id="{00000000-0008-0000-0200-000045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654" name="Line 49">
          <a:extLst>
            <a:ext uri="{FF2B5EF4-FFF2-40B4-BE49-F238E27FC236}">
              <a16:creationId xmlns:a16="http://schemas.microsoft.com/office/drawing/2014/main" id="{00000000-0008-0000-0200-000046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655" name="Line 50">
          <a:extLst>
            <a:ext uri="{FF2B5EF4-FFF2-40B4-BE49-F238E27FC236}">
              <a16:creationId xmlns:a16="http://schemas.microsoft.com/office/drawing/2014/main" id="{00000000-0008-0000-0200-000047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656" name="Line 51">
          <a:extLst>
            <a:ext uri="{FF2B5EF4-FFF2-40B4-BE49-F238E27FC236}">
              <a16:creationId xmlns:a16="http://schemas.microsoft.com/office/drawing/2014/main" id="{00000000-0008-0000-0200-000048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657" name="Line 52">
          <a:extLst>
            <a:ext uri="{FF2B5EF4-FFF2-40B4-BE49-F238E27FC236}">
              <a16:creationId xmlns:a16="http://schemas.microsoft.com/office/drawing/2014/main" id="{00000000-0008-0000-0200-000049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658" name="Line 53">
          <a:extLst>
            <a:ext uri="{FF2B5EF4-FFF2-40B4-BE49-F238E27FC236}">
              <a16:creationId xmlns:a16="http://schemas.microsoft.com/office/drawing/2014/main" id="{00000000-0008-0000-0200-00004A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659" name="Line 54">
          <a:extLst>
            <a:ext uri="{FF2B5EF4-FFF2-40B4-BE49-F238E27FC236}">
              <a16:creationId xmlns:a16="http://schemas.microsoft.com/office/drawing/2014/main" id="{00000000-0008-0000-0200-00004B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660" name="Line 55">
          <a:extLst>
            <a:ext uri="{FF2B5EF4-FFF2-40B4-BE49-F238E27FC236}">
              <a16:creationId xmlns:a16="http://schemas.microsoft.com/office/drawing/2014/main" id="{00000000-0008-0000-0200-00004C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661" name="Line 56">
          <a:extLst>
            <a:ext uri="{FF2B5EF4-FFF2-40B4-BE49-F238E27FC236}">
              <a16:creationId xmlns:a16="http://schemas.microsoft.com/office/drawing/2014/main" id="{00000000-0008-0000-0200-00004D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662" name="Rectangle 57">
          <a:extLst>
            <a:ext uri="{FF2B5EF4-FFF2-40B4-BE49-F238E27FC236}">
              <a16:creationId xmlns:a16="http://schemas.microsoft.com/office/drawing/2014/main" id="{00000000-0008-0000-0200-00004E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663" name="Line 58">
          <a:extLst>
            <a:ext uri="{FF2B5EF4-FFF2-40B4-BE49-F238E27FC236}">
              <a16:creationId xmlns:a16="http://schemas.microsoft.com/office/drawing/2014/main" id="{00000000-0008-0000-0200-00004F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664" name="Line 59">
          <a:extLst>
            <a:ext uri="{FF2B5EF4-FFF2-40B4-BE49-F238E27FC236}">
              <a16:creationId xmlns:a16="http://schemas.microsoft.com/office/drawing/2014/main" id="{00000000-0008-0000-0200-000050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665" name="Line 60">
          <a:extLst>
            <a:ext uri="{FF2B5EF4-FFF2-40B4-BE49-F238E27FC236}">
              <a16:creationId xmlns:a16="http://schemas.microsoft.com/office/drawing/2014/main" id="{00000000-0008-0000-0200-000051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666" name="Line 61">
          <a:extLst>
            <a:ext uri="{FF2B5EF4-FFF2-40B4-BE49-F238E27FC236}">
              <a16:creationId xmlns:a16="http://schemas.microsoft.com/office/drawing/2014/main" id="{00000000-0008-0000-0200-000052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667" name="Line 62">
          <a:extLst>
            <a:ext uri="{FF2B5EF4-FFF2-40B4-BE49-F238E27FC236}">
              <a16:creationId xmlns:a16="http://schemas.microsoft.com/office/drawing/2014/main" id="{00000000-0008-0000-0200-000053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668" name="Line 63">
          <a:extLst>
            <a:ext uri="{FF2B5EF4-FFF2-40B4-BE49-F238E27FC236}">
              <a16:creationId xmlns:a16="http://schemas.microsoft.com/office/drawing/2014/main" id="{00000000-0008-0000-0200-000054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669" name="Line 64">
          <a:extLst>
            <a:ext uri="{FF2B5EF4-FFF2-40B4-BE49-F238E27FC236}">
              <a16:creationId xmlns:a16="http://schemas.microsoft.com/office/drawing/2014/main" id="{00000000-0008-0000-0200-000055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670" name="Line 65">
          <a:extLst>
            <a:ext uri="{FF2B5EF4-FFF2-40B4-BE49-F238E27FC236}">
              <a16:creationId xmlns:a16="http://schemas.microsoft.com/office/drawing/2014/main" id="{00000000-0008-0000-0200-000056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671" name="Line 66">
          <a:extLst>
            <a:ext uri="{FF2B5EF4-FFF2-40B4-BE49-F238E27FC236}">
              <a16:creationId xmlns:a16="http://schemas.microsoft.com/office/drawing/2014/main" id="{00000000-0008-0000-0200-000057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672" name="Line 67">
          <a:extLst>
            <a:ext uri="{FF2B5EF4-FFF2-40B4-BE49-F238E27FC236}">
              <a16:creationId xmlns:a16="http://schemas.microsoft.com/office/drawing/2014/main" id="{00000000-0008-0000-0200-000058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673" name="Line 68">
          <a:extLst>
            <a:ext uri="{FF2B5EF4-FFF2-40B4-BE49-F238E27FC236}">
              <a16:creationId xmlns:a16="http://schemas.microsoft.com/office/drawing/2014/main" id="{00000000-0008-0000-0200-000059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674" name="Line 1">
          <a:extLst>
            <a:ext uri="{FF2B5EF4-FFF2-40B4-BE49-F238E27FC236}">
              <a16:creationId xmlns:a16="http://schemas.microsoft.com/office/drawing/2014/main" id="{00000000-0008-0000-0200-00005A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675" name="Drawing 16">
          <a:extLst>
            <a:ext uri="{FF2B5EF4-FFF2-40B4-BE49-F238E27FC236}">
              <a16:creationId xmlns:a16="http://schemas.microsoft.com/office/drawing/2014/main" id="{00000000-0008-0000-0200-00005B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676" name="Line 3">
          <a:extLst>
            <a:ext uri="{FF2B5EF4-FFF2-40B4-BE49-F238E27FC236}">
              <a16:creationId xmlns:a16="http://schemas.microsoft.com/office/drawing/2014/main" id="{00000000-0008-0000-0200-00005C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677" name="Line 4">
          <a:extLst>
            <a:ext uri="{FF2B5EF4-FFF2-40B4-BE49-F238E27FC236}">
              <a16:creationId xmlns:a16="http://schemas.microsoft.com/office/drawing/2014/main" id="{00000000-0008-0000-0200-00005D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678" name="Line 5">
          <a:extLst>
            <a:ext uri="{FF2B5EF4-FFF2-40B4-BE49-F238E27FC236}">
              <a16:creationId xmlns:a16="http://schemas.microsoft.com/office/drawing/2014/main" id="{00000000-0008-0000-0200-00005E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679" name="Line 6">
          <a:extLst>
            <a:ext uri="{FF2B5EF4-FFF2-40B4-BE49-F238E27FC236}">
              <a16:creationId xmlns:a16="http://schemas.microsoft.com/office/drawing/2014/main" id="{00000000-0008-0000-0200-00005F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680" name="Line 7">
          <a:extLst>
            <a:ext uri="{FF2B5EF4-FFF2-40B4-BE49-F238E27FC236}">
              <a16:creationId xmlns:a16="http://schemas.microsoft.com/office/drawing/2014/main" id="{00000000-0008-0000-0200-000060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681" name="Line 8">
          <a:extLst>
            <a:ext uri="{FF2B5EF4-FFF2-40B4-BE49-F238E27FC236}">
              <a16:creationId xmlns:a16="http://schemas.microsoft.com/office/drawing/2014/main" id="{00000000-0008-0000-0200-000061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682" name="Line 9">
          <a:extLst>
            <a:ext uri="{FF2B5EF4-FFF2-40B4-BE49-F238E27FC236}">
              <a16:creationId xmlns:a16="http://schemas.microsoft.com/office/drawing/2014/main" id="{00000000-0008-0000-0200-000062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683" name="Line 10">
          <a:extLst>
            <a:ext uri="{FF2B5EF4-FFF2-40B4-BE49-F238E27FC236}">
              <a16:creationId xmlns:a16="http://schemas.microsoft.com/office/drawing/2014/main" id="{00000000-0008-0000-0200-000063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684" name="Line 11">
          <a:extLst>
            <a:ext uri="{FF2B5EF4-FFF2-40B4-BE49-F238E27FC236}">
              <a16:creationId xmlns:a16="http://schemas.microsoft.com/office/drawing/2014/main" id="{00000000-0008-0000-0200-000064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685" name="Line 12">
          <a:extLst>
            <a:ext uri="{FF2B5EF4-FFF2-40B4-BE49-F238E27FC236}">
              <a16:creationId xmlns:a16="http://schemas.microsoft.com/office/drawing/2014/main" id="{00000000-0008-0000-0200-000065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686" name="Line 13">
          <a:extLst>
            <a:ext uri="{FF2B5EF4-FFF2-40B4-BE49-F238E27FC236}">
              <a16:creationId xmlns:a16="http://schemas.microsoft.com/office/drawing/2014/main" id="{00000000-0008-0000-0200-000066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87" name="Line 14">
          <a:extLst>
            <a:ext uri="{FF2B5EF4-FFF2-40B4-BE49-F238E27FC236}">
              <a16:creationId xmlns:a16="http://schemas.microsoft.com/office/drawing/2014/main" id="{00000000-0008-0000-0200-000067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688" name="Line 15">
          <a:extLst>
            <a:ext uri="{FF2B5EF4-FFF2-40B4-BE49-F238E27FC236}">
              <a16:creationId xmlns:a16="http://schemas.microsoft.com/office/drawing/2014/main" id="{00000000-0008-0000-0200-000068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689" name="Line 16">
          <a:extLst>
            <a:ext uri="{FF2B5EF4-FFF2-40B4-BE49-F238E27FC236}">
              <a16:creationId xmlns:a16="http://schemas.microsoft.com/office/drawing/2014/main" id="{00000000-0008-0000-0200-000069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690" name="Line 17">
          <a:extLst>
            <a:ext uri="{FF2B5EF4-FFF2-40B4-BE49-F238E27FC236}">
              <a16:creationId xmlns:a16="http://schemas.microsoft.com/office/drawing/2014/main" id="{00000000-0008-0000-0200-00006A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691" name="Line 18">
          <a:extLst>
            <a:ext uri="{FF2B5EF4-FFF2-40B4-BE49-F238E27FC236}">
              <a16:creationId xmlns:a16="http://schemas.microsoft.com/office/drawing/2014/main" id="{00000000-0008-0000-0200-00006B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692" name="Line 19">
          <a:extLst>
            <a:ext uri="{FF2B5EF4-FFF2-40B4-BE49-F238E27FC236}">
              <a16:creationId xmlns:a16="http://schemas.microsoft.com/office/drawing/2014/main" id="{00000000-0008-0000-0200-00006C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693" name="Line 20">
          <a:extLst>
            <a:ext uri="{FF2B5EF4-FFF2-40B4-BE49-F238E27FC236}">
              <a16:creationId xmlns:a16="http://schemas.microsoft.com/office/drawing/2014/main" id="{00000000-0008-0000-0200-00006D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694" name="Line 21">
          <a:extLst>
            <a:ext uri="{FF2B5EF4-FFF2-40B4-BE49-F238E27FC236}">
              <a16:creationId xmlns:a16="http://schemas.microsoft.com/office/drawing/2014/main" id="{00000000-0008-0000-0200-00006E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695" name="Line 22">
          <a:extLst>
            <a:ext uri="{FF2B5EF4-FFF2-40B4-BE49-F238E27FC236}">
              <a16:creationId xmlns:a16="http://schemas.microsoft.com/office/drawing/2014/main" id="{00000000-0008-0000-0200-00006F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696" name="Line 23">
          <a:extLst>
            <a:ext uri="{FF2B5EF4-FFF2-40B4-BE49-F238E27FC236}">
              <a16:creationId xmlns:a16="http://schemas.microsoft.com/office/drawing/2014/main" id="{00000000-0008-0000-0200-000070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697" name="Line 24">
          <a:extLst>
            <a:ext uri="{FF2B5EF4-FFF2-40B4-BE49-F238E27FC236}">
              <a16:creationId xmlns:a16="http://schemas.microsoft.com/office/drawing/2014/main" id="{00000000-0008-0000-0200-000071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698" name="Line 25">
          <a:extLst>
            <a:ext uri="{FF2B5EF4-FFF2-40B4-BE49-F238E27FC236}">
              <a16:creationId xmlns:a16="http://schemas.microsoft.com/office/drawing/2014/main" id="{00000000-0008-0000-0200-000072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699" name="Line 26">
          <a:extLst>
            <a:ext uri="{FF2B5EF4-FFF2-40B4-BE49-F238E27FC236}">
              <a16:creationId xmlns:a16="http://schemas.microsoft.com/office/drawing/2014/main" id="{00000000-0008-0000-0200-000073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700" name="Line 27">
          <a:extLst>
            <a:ext uri="{FF2B5EF4-FFF2-40B4-BE49-F238E27FC236}">
              <a16:creationId xmlns:a16="http://schemas.microsoft.com/office/drawing/2014/main" id="{00000000-0008-0000-0200-000074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701" name="Line 28">
          <a:extLst>
            <a:ext uri="{FF2B5EF4-FFF2-40B4-BE49-F238E27FC236}">
              <a16:creationId xmlns:a16="http://schemas.microsoft.com/office/drawing/2014/main" id="{00000000-0008-0000-0200-000075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702" name="Line 29">
          <a:extLst>
            <a:ext uri="{FF2B5EF4-FFF2-40B4-BE49-F238E27FC236}">
              <a16:creationId xmlns:a16="http://schemas.microsoft.com/office/drawing/2014/main" id="{00000000-0008-0000-0200-000076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703" name="Line 30">
          <a:extLst>
            <a:ext uri="{FF2B5EF4-FFF2-40B4-BE49-F238E27FC236}">
              <a16:creationId xmlns:a16="http://schemas.microsoft.com/office/drawing/2014/main" id="{00000000-0008-0000-0200-000077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704" name="Line 31">
          <a:extLst>
            <a:ext uri="{FF2B5EF4-FFF2-40B4-BE49-F238E27FC236}">
              <a16:creationId xmlns:a16="http://schemas.microsoft.com/office/drawing/2014/main" id="{00000000-0008-0000-0200-0000780E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705" name="Line 32">
          <a:extLst>
            <a:ext uri="{FF2B5EF4-FFF2-40B4-BE49-F238E27FC236}">
              <a16:creationId xmlns:a16="http://schemas.microsoft.com/office/drawing/2014/main" id="{00000000-0008-0000-0200-0000790E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706" name="Line 33">
          <a:extLst>
            <a:ext uri="{FF2B5EF4-FFF2-40B4-BE49-F238E27FC236}">
              <a16:creationId xmlns:a16="http://schemas.microsoft.com/office/drawing/2014/main" id="{00000000-0008-0000-0200-00007A0E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707" name="Line 34">
          <a:extLst>
            <a:ext uri="{FF2B5EF4-FFF2-40B4-BE49-F238E27FC236}">
              <a16:creationId xmlns:a16="http://schemas.microsoft.com/office/drawing/2014/main" id="{00000000-0008-0000-0200-00007B0E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708" name="Line 35">
          <a:extLst>
            <a:ext uri="{FF2B5EF4-FFF2-40B4-BE49-F238E27FC236}">
              <a16:creationId xmlns:a16="http://schemas.microsoft.com/office/drawing/2014/main" id="{00000000-0008-0000-0200-00007C0E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09" name="Line 36">
          <a:extLst>
            <a:ext uri="{FF2B5EF4-FFF2-40B4-BE49-F238E27FC236}">
              <a16:creationId xmlns:a16="http://schemas.microsoft.com/office/drawing/2014/main" id="{00000000-0008-0000-0200-00007D0E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710" name="Line 37">
          <a:extLst>
            <a:ext uri="{FF2B5EF4-FFF2-40B4-BE49-F238E27FC236}">
              <a16:creationId xmlns:a16="http://schemas.microsoft.com/office/drawing/2014/main" id="{00000000-0008-0000-0200-00007E0E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711" name="Line 38">
          <a:extLst>
            <a:ext uri="{FF2B5EF4-FFF2-40B4-BE49-F238E27FC236}">
              <a16:creationId xmlns:a16="http://schemas.microsoft.com/office/drawing/2014/main" id="{00000000-0008-0000-0200-00007F0E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712" name="Line 39">
          <a:extLst>
            <a:ext uri="{FF2B5EF4-FFF2-40B4-BE49-F238E27FC236}">
              <a16:creationId xmlns:a16="http://schemas.microsoft.com/office/drawing/2014/main" id="{00000000-0008-0000-0200-0000800E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713" name="Line 40">
          <a:extLst>
            <a:ext uri="{FF2B5EF4-FFF2-40B4-BE49-F238E27FC236}">
              <a16:creationId xmlns:a16="http://schemas.microsoft.com/office/drawing/2014/main" id="{00000000-0008-0000-0200-0000810E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714" name="Line 41">
          <a:extLst>
            <a:ext uri="{FF2B5EF4-FFF2-40B4-BE49-F238E27FC236}">
              <a16:creationId xmlns:a16="http://schemas.microsoft.com/office/drawing/2014/main" id="{00000000-0008-0000-0200-0000820E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715" name="Rectangle 42">
          <a:extLst>
            <a:ext uri="{FF2B5EF4-FFF2-40B4-BE49-F238E27FC236}">
              <a16:creationId xmlns:a16="http://schemas.microsoft.com/office/drawing/2014/main" id="{00000000-0008-0000-0200-0000830E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16" name="Line 43">
          <a:extLst>
            <a:ext uri="{FF2B5EF4-FFF2-40B4-BE49-F238E27FC236}">
              <a16:creationId xmlns:a16="http://schemas.microsoft.com/office/drawing/2014/main" id="{00000000-0008-0000-0200-0000840E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17" name="Line 44">
          <a:extLst>
            <a:ext uri="{FF2B5EF4-FFF2-40B4-BE49-F238E27FC236}">
              <a16:creationId xmlns:a16="http://schemas.microsoft.com/office/drawing/2014/main" id="{00000000-0008-0000-0200-000085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718" name="Line 45">
          <a:extLst>
            <a:ext uri="{FF2B5EF4-FFF2-40B4-BE49-F238E27FC236}">
              <a16:creationId xmlns:a16="http://schemas.microsoft.com/office/drawing/2014/main" id="{00000000-0008-0000-0200-0000860E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719" name="Line 46">
          <a:extLst>
            <a:ext uri="{FF2B5EF4-FFF2-40B4-BE49-F238E27FC236}">
              <a16:creationId xmlns:a16="http://schemas.microsoft.com/office/drawing/2014/main" id="{00000000-0008-0000-0200-000087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720" name="Line 47">
          <a:extLst>
            <a:ext uri="{FF2B5EF4-FFF2-40B4-BE49-F238E27FC236}">
              <a16:creationId xmlns:a16="http://schemas.microsoft.com/office/drawing/2014/main" id="{00000000-0008-0000-0200-000088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721" name="Line 48">
          <a:extLst>
            <a:ext uri="{FF2B5EF4-FFF2-40B4-BE49-F238E27FC236}">
              <a16:creationId xmlns:a16="http://schemas.microsoft.com/office/drawing/2014/main" id="{00000000-0008-0000-0200-000089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722" name="Line 49">
          <a:extLst>
            <a:ext uri="{FF2B5EF4-FFF2-40B4-BE49-F238E27FC236}">
              <a16:creationId xmlns:a16="http://schemas.microsoft.com/office/drawing/2014/main" id="{00000000-0008-0000-0200-00008A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723" name="Line 50">
          <a:extLst>
            <a:ext uri="{FF2B5EF4-FFF2-40B4-BE49-F238E27FC236}">
              <a16:creationId xmlns:a16="http://schemas.microsoft.com/office/drawing/2014/main" id="{00000000-0008-0000-0200-00008B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724" name="Line 51">
          <a:extLst>
            <a:ext uri="{FF2B5EF4-FFF2-40B4-BE49-F238E27FC236}">
              <a16:creationId xmlns:a16="http://schemas.microsoft.com/office/drawing/2014/main" id="{00000000-0008-0000-0200-00008C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725" name="Line 52">
          <a:extLst>
            <a:ext uri="{FF2B5EF4-FFF2-40B4-BE49-F238E27FC236}">
              <a16:creationId xmlns:a16="http://schemas.microsoft.com/office/drawing/2014/main" id="{00000000-0008-0000-0200-00008D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726" name="Line 53">
          <a:extLst>
            <a:ext uri="{FF2B5EF4-FFF2-40B4-BE49-F238E27FC236}">
              <a16:creationId xmlns:a16="http://schemas.microsoft.com/office/drawing/2014/main" id="{00000000-0008-0000-0200-00008E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727" name="Line 54">
          <a:extLst>
            <a:ext uri="{FF2B5EF4-FFF2-40B4-BE49-F238E27FC236}">
              <a16:creationId xmlns:a16="http://schemas.microsoft.com/office/drawing/2014/main" id="{00000000-0008-0000-0200-00008F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728" name="Line 55">
          <a:extLst>
            <a:ext uri="{FF2B5EF4-FFF2-40B4-BE49-F238E27FC236}">
              <a16:creationId xmlns:a16="http://schemas.microsoft.com/office/drawing/2014/main" id="{00000000-0008-0000-0200-000090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729" name="Line 56">
          <a:extLst>
            <a:ext uri="{FF2B5EF4-FFF2-40B4-BE49-F238E27FC236}">
              <a16:creationId xmlns:a16="http://schemas.microsoft.com/office/drawing/2014/main" id="{00000000-0008-0000-0200-000091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730" name="Rectangle 57">
          <a:extLst>
            <a:ext uri="{FF2B5EF4-FFF2-40B4-BE49-F238E27FC236}">
              <a16:creationId xmlns:a16="http://schemas.microsoft.com/office/drawing/2014/main" id="{00000000-0008-0000-0200-000092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731" name="Line 58">
          <a:extLst>
            <a:ext uri="{FF2B5EF4-FFF2-40B4-BE49-F238E27FC236}">
              <a16:creationId xmlns:a16="http://schemas.microsoft.com/office/drawing/2014/main" id="{00000000-0008-0000-0200-000093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732" name="Line 59">
          <a:extLst>
            <a:ext uri="{FF2B5EF4-FFF2-40B4-BE49-F238E27FC236}">
              <a16:creationId xmlns:a16="http://schemas.microsoft.com/office/drawing/2014/main" id="{00000000-0008-0000-0200-000094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733" name="Line 60">
          <a:extLst>
            <a:ext uri="{FF2B5EF4-FFF2-40B4-BE49-F238E27FC236}">
              <a16:creationId xmlns:a16="http://schemas.microsoft.com/office/drawing/2014/main" id="{00000000-0008-0000-0200-000095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734" name="Line 61">
          <a:extLst>
            <a:ext uri="{FF2B5EF4-FFF2-40B4-BE49-F238E27FC236}">
              <a16:creationId xmlns:a16="http://schemas.microsoft.com/office/drawing/2014/main" id="{00000000-0008-0000-0200-000096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735" name="Line 62">
          <a:extLst>
            <a:ext uri="{FF2B5EF4-FFF2-40B4-BE49-F238E27FC236}">
              <a16:creationId xmlns:a16="http://schemas.microsoft.com/office/drawing/2014/main" id="{00000000-0008-0000-0200-000097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736" name="Line 63">
          <a:extLst>
            <a:ext uri="{FF2B5EF4-FFF2-40B4-BE49-F238E27FC236}">
              <a16:creationId xmlns:a16="http://schemas.microsoft.com/office/drawing/2014/main" id="{00000000-0008-0000-0200-000098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737" name="Line 64">
          <a:extLst>
            <a:ext uri="{FF2B5EF4-FFF2-40B4-BE49-F238E27FC236}">
              <a16:creationId xmlns:a16="http://schemas.microsoft.com/office/drawing/2014/main" id="{00000000-0008-0000-0200-000099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738" name="Line 65">
          <a:extLst>
            <a:ext uri="{FF2B5EF4-FFF2-40B4-BE49-F238E27FC236}">
              <a16:creationId xmlns:a16="http://schemas.microsoft.com/office/drawing/2014/main" id="{00000000-0008-0000-0200-00009A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739" name="Line 66">
          <a:extLst>
            <a:ext uri="{FF2B5EF4-FFF2-40B4-BE49-F238E27FC236}">
              <a16:creationId xmlns:a16="http://schemas.microsoft.com/office/drawing/2014/main" id="{00000000-0008-0000-0200-00009B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740" name="Line 67">
          <a:extLst>
            <a:ext uri="{FF2B5EF4-FFF2-40B4-BE49-F238E27FC236}">
              <a16:creationId xmlns:a16="http://schemas.microsoft.com/office/drawing/2014/main" id="{00000000-0008-0000-0200-00009C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741" name="Line 68">
          <a:extLst>
            <a:ext uri="{FF2B5EF4-FFF2-40B4-BE49-F238E27FC236}">
              <a16:creationId xmlns:a16="http://schemas.microsoft.com/office/drawing/2014/main" id="{00000000-0008-0000-0200-00009D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742" name="Line 1">
          <a:extLst>
            <a:ext uri="{FF2B5EF4-FFF2-40B4-BE49-F238E27FC236}">
              <a16:creationId xmlns:a16="http://schemas.microsoft.com/office/drawing/2014/main" id="{00000000-0008-0000-0200-00009E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743" name="Drawing 16">
          <a:extLst>
            <a:ext uri="{FF2B5EF4-FFF2-40B4-BE49-F238E27FC236}">
              <a16:creationId xmlns:a16="http://schemas.microsoft.com/office/drawing/2014/main" id="{00000000-0008-0000-0200-00009F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744" name="Line 3">
          <a:extLst>
            <a:ext uri="{FF2B5EF4-FFF2-40B4-BE49-F238E27FC236}">
              <a16:creationId xmlns:a16="http://schemas.microsoft.com/office/drawing/2014/main" id="{00000000-0008-0000-0200-0000A0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745" name="Line 4">
          <a:extLst>
            <a:ext uri="{FF2B5EF4-FFF2-40B4-BE49-F238E27FC236}">
              <a16:creationId xmlns:a16="http://schemas.microsoft.com/office/drawing/2014/main" id="{00000000-0008-0000-0200-0000A1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746" name="Line 5">
          <a:extLst>
            <a:ext uri="{FF2B5EF4-FFF2-40B4-BE49-F238E27FC236}">
              <a16:creationId xmlns:a16="http://schemas.microsoft.com/office/drawing/2014/main" id="{00000000-0008-0000-0200-0000A2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747" name="Line 6">
          <a:extLst>
            <a:ext uri="{FF2B5EF4-FFF2-40B4-BE49-F238E27FC236}">
              <a16:creationId xmlns:a16="http://schemas.microsoft.com/office/drawing/2014/main" id="{00000000-0008-0000-0200-0000A3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748" name="Line 7">
          <a:extLst>
            <a:ext uri="{FF2B5EF4-FFF2-40B4-BE49-F238E27FC236}">
              <a16:creationId xmlns:a16="http://schemas.microsoft.com/office/drawing/2014/main" id="{00000000-0008-0000-0200-0000A4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749" name="Line 8">
          <a:extLst>
            <a:ext uri="{FF2B5EF4-FFF2-40B4-BE49-F238E27FC236}">
              <a16:creationId xmlns:a16="http://schemas.microsoft.com/office/drawing/2014/main" id="{00000000-0008-0000-0200-0000A5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750" name="Line 9">
          <a:extLst>
            <a:ext uri="{FF2B5EF4-FFF2-40B4-BE49-F238E27FC236}">
              <a16:creationId xmlns:a16="http://schemas.microsoft.com/office/drawing/2014/main" id="{00000000-0008-0000-0200-0000A6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751" name="Line 10">
          <a:extLst>
            <a:ext uri="{FF2B5EF4-FFF2-40B4-BE49-F238E27FC236}">
              <a16:creationId xmlns:a16="http://schemas.microsoft.com/office/drawing/2014/main" id="{00000000-0008-0000-0200-0000A7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752" name="Line 11">
          <a:extLst>
            <a:ext uri="{FF2B5EF4-FFF2-40B4-BE49-F238E27FC236}">
              <a16:creationId xmlns:a16="http://schemas.microsoft.com/office/drawing/2014/main" id="{00000000-0008-0000-0200-0000A8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753" name="Line 12">
          <a:extLst>
            <a:ext uri="{FF2B5EF4-FFF2-40B4-BE49-F238E27FC236}">
              <a16:creationId xmlns:a16="http://schemas.microsoft.com/office/drawing/2014/main" id="{00000000-0008-0000-0200-0000A9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754" name="Line 13">
          <a:extLst>
            <a:ext uri="{FF2B5EF4-FFF2-40B4-BE49-F238E27FC236}">
              <a16:creationId xmlns:a16="http://schemas.microsoft.com/office/drawing/2014/main" id="{00000000-0008-0000-0200-0000AA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755" name="Line 14">
          <a:extLst>
            <a:ext uri="{FF2B5EF4-FFF2-40B4-BE49-F238E27FC236}">
              <a16:creationId xmlns:a16="http://schemas.microsoft.com/office/drawing/2014/main" id="{00000000-0008-0000-0200-0000AB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756" name="Line 15">
          <a:extLst>
            <a:ext uri="{FF2B5EF4-FFF2-40B4-BE49-F238E27FC236}">
              <a16:creationId xmlns:a16="http://schemas.microsoft.com/office/drawing/2014/main" id="{00000000-0008-0000-0200-0000AC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757" name="Line 16">
          <a:extLst>
            <a:ext uri="{FF2B5EF4-FFF2-40B4-BE49-F238E27FC236}">
              <a16:creationId xmlns:a16="http://schemas.microsoft.com/office/drawing/2014/main" id="{00000000-0008-0000-0200-0000AD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758" name="Line 17">
          <a:extLst>
            <a:ext uri="{FF2B5EF4-FFF2-40B4-BE49-F238E27FC236}">
              <a16:creationId xmlns:a16="http://schemas.microsoft.com/office/drawing/2014/main" id="{00000000-0008-0000-0200-0000AE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759" name="Line 18">
          <a:extLst>
            <a:ext uri="{FF2B5EF4-FFF2-40B4-BE49-F238E27FC236}">
              <a16:creationId xmlns:a16="http://schemas.microsoft.com/office/drawing/2014/main" id="{00000000-0008-0000-0200-0000AF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760" name="Line 19">
          <a:extLst>
            <a:ext uri="{FF2B5EF4-FFF2-40B4-BE49-F238E27FC236}">
              <a16:creationId xmlns:a16="http://schemas.microsoft.com/office/drawing/2014/main" id="{00000000-0008-0000-0200-0000B0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761" name="Line 20">
          <a:extLst>
            <a:ext uri="{FF2B5EF4-FFF2-40B4-BE49-F238E27FC236}">
              <a16:creationId xmlns:a16="http://schemas.microsoft.com/office/drawing/2014/main" id="{00000000-0008-0000-0200-0000B1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762" name="Line 21">
          <a:extLst>
            <a:ext uri="{FF2B5EF4-FFF2-40B4-BE49-F238E27FC236}">
              <a16:creationId xmlns:a16="http://schemas.microsoft.com/office/drawing/2014/main" id="{00000000-0008-0000-0200-0000B2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763" name="Line 22">
          <a:extLst>
            <a:ext uri="{FF2B5EF4-FFF2-40B4-BE49-F238E27FC236}">
              <a16:creationId xmlns:a16="http://schemas.microsoft.com/office/drawing/2014/main" id="{00000000-0008-0000-0200-0000B3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764" name="Line 23">
          <a:extLst>
            <a:ext uri="{FF2B5EF4-FFF2-40B4-BE49-F238E27FC236}">
              <a16:creationId xmlns:a16="http://schemas.microsoft.com/office/drawing/2014/main" id="{00000000-0008-0000-0200-0000B4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765" name="Line 24">
          <a:extLst>
            <a:ext uri="{FF2B5EF4-FFF2-40B4-BE49-F238E27FC236}">
              <a16:creationId xmlns:a16="http://schemas.microsoft.com/office/drawing/2014/main" id="{00000000-0008-0000-0200-0000B5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766" name="Line 25">
          <a:extLst>
            <a:ext uri="{FF2B5EF4-FFF2-40B4-BE49-F238E27FC236}">
              <a16:creationId xmlns:a16="http://schemas.microsoft.com/office/drawing/2014/main" id="{00000000-0008-0000-0200-0000B6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767" name="Line 26">
          <a:extLst>
            <a:ext uri="{FF2B5EF4-FFF2-40B4-BE49-F238E27FC236}">
              <a16:creationId xmlns:a16="http://schemas.microsoft.com/office/drawing/2014/main" id="{00000000-0008-0000-0200-0000B7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768" name="Line 27">
          <a:extLst>
            <a:ext uri="{FF2B5EF4-FFF2-40B4-BE49-F238E27FC236}">
              <a16:creationId xmlns:a16="http://schemas.microsoft.com/office/drawing/2014/main" id="{00000000-0008-0000-0200-0000B8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769" name="Line 28">
          <a:extLst>
            <a:ext uri="{FF2B5EF4-FFF2-40B4-BE49-F238E27FC236}">
              <a16:creationId xmlns:a16="http://schemas.microsoft.com/office/drawing/2014/main" id="{00000000-0008-0000-0200-0000B9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770" name="Line 29">
          <a:extLst>
            <a:ext uri="{FF2B5EF4-FFF2-40B4-BE49-F238E27FC236}">
              <a16:creationId xmlns:a16="http://schemas.microsoft.com/office/drawing/2014/main" id="{00000000-0008-0000-0200-0000BA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771" name="Line 30">
          <a:extLst>
            <a:ext uri="{FF2B5EF4-FFF2-40B4-BE49-F238E27FC236}">
              <a16:creationId xmlns:a16="http://schemas.microsoft.com/office/drawing/2014/main" id="{00000000-0008-0000-0200-0000BB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772" name="Line 31">
          <a:extLst>
            <a:ext uri="{FF2B5EF4-FFF2-40B4-BE49-F238E27FC236}">
              <a16:creationId xmlns:a16="http://schemas.microsoft.com/office/drawing/2014/main" id="{00000000-0008-0000-0200-0000BC0E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773" name="Line 32">
          <a:extLst>
            <a:ext uri="{FF2B5EF4-FFF2-40B4-BE49-F238E27FC236}">
              <a16:creationId xmlns:a16="http://schemas.microsoft.com/office/drawing/2014/main" id="{00000000-0008-0000-0200-0000BD0E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774" name="Line 33">
          <a:extLst>
            <a:ext uri="{FF2B5EF4-FFF2-40B4-BE49-F238E27FC236}">
              <a16:creationId xmlns:a16="http://schemas.microsoft.com/office/drawing/2014/main" id="{00000000-0008-0000-0200-0000BE0E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775" name="Line 34">
          <a:extLst>
            <a:ext uri="{FF2B5EF4-FFF2-40B4-BE49-F238E27FC236}">
              <a16:creationId xmlns:a16="http://schemas.microsoft.com/office/drawing/2014/main" id="{00000000-0008-0000-0200-0000BF0E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776" name="Line 35">
          <a:extLst>
            <a:ext uri="{FF2B5EF4-FFF2-40B4-BE49-F238E27FC236}">
              <a16:creationId xmlns:a16="http://schemas.microsoft.com/office/drawing/2014/main" id="{00000000-0008-0000-0200-0000C00E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777" name="Line 36">
          <a:extLst>
            <a:ext uri="{FF2B5EF4-FFF2-40B4-BE49-F238E27FC236}">
              <a16:creationId xmlns:a16="http://schemas.microsoft.com/office/drawing/2014/main" id="{00000000-0008-0000-0200-0000C10E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778" name="Line 37">
          <a:extLst>
            <a:ext uri="{FF2B5EF4-FFF2-40B4-BE49-F238E27FC236}">
              <a16:creationId xmlns:a16="http://schemas.microsoft.com/office/drawing/2014/main" id="{00000000-0008-0000-0200-0000C20E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779" name="Line 38">
          <a:extLst>
            <a:ext uri="{FF2B5EF4-FFF2-40B4-BE49-F238E27FC236}">
              <a16:creationId xmlns:a16="http://schemas.microsoft.com/office/drawing/2014/main" id="{00000000-0008-0000-0200-0000C30E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780" name="Line 39">
          <a:extLst>
            <a:ext uri="{FF2B5EF4-FFF2-40B4-BE49-F238E27FC236}">
              <a16:creationId xmlns:a16="http://schemas.microsoft.com/office/drawing/2014/main" id="{00000000-0008-0000-0200-0000C40E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781" name="Line 40">
          <a:extLst>
            <a:ext uri="{FF2B5EF4-FFF2-40B4-BE49-F238E27FC236}">
              <a16:creationId xmlns:a16="http://schemas.microsoft.com/office/drawing/2014/main" id="{00000000-0008-0000-0200-0000C50E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782" name="Line 41">
          <a:extLst>
            <a:ext uri="{FF2B5EF4-FFF2-40B4-BE49-F238E27FC236}">
              <a16:creationId xmlns:a16="http://schemas.microsoft.com/office/drawing/2014/main" id="{00000000-0008-0000-0200-0000C60E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783" name="Rectangle 42">
          <a:extLst>
            <a:ext uri="{FF2B5EF4-FFF2-40B4-BE49-F238E27FC236}">
              <a16:creationId xmlns:a16="http://schemas.microsoft.com/office/drawing/2014/main" id="{00000000-0008-0000-0200-0000C70E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84" name="Line 43">
          <a:extLst>
            <a:ext uri="{FF2B5EF4-FFF2-40B4-BE49-F238E27FC236}">
              <a16:creationId xmlns:a16="http://schemas.microsoft.com/office/drawing/2014/main" id="{00000000-0008-0000-0200-0000C80E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785" name="Line 44">
          <a:extLst>
            <a:ext uri="{FF2B5EF4-FFF2-40B4-BE49-F238E27FC236}">
              <a16:creationId xmlns:a16="http://schemas.microsoft.com/office/drawing/2014/main" id="{00000000-0008-0000-0200-0000C9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786" name="Line 45">
          <a:extLst>
            <a:ext uri="{FF2B5EF4-FFF2-40B4-BE49-F238E27FC236}">
              <a16:creationId xmlns:a16="http://schemas.microsoft.com/office/drawing/2014/main" id="{00000000-0008-0000-0200-0000CA0E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787" name="Line 46">
          <a:extLst>
            <a:ext uri="{FF2B5EF4-FFF2-40B4-BE49-F238E27FC236}">
              <a16:creationId xmlns:a16="http://schemas.microsoft.com/office/drawing/2014/main" id="{00000000-0008-0000-0200-0000CB0E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788" name="Line 47">
          <a:extLst>
            <a:ext uri="{FF2B5EF4-FFF2-40B4-BE49-F238E27FC236}">
              <a16:creationId xmlns:a16="http://schemas.microsoft.com/office/drawing/2014/main" id="{00000000-0008-0000-0200-0000CC0E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789" name="Line 48">
          <a:extLst>
            <a:ext uri="{FF2B5EF4-FFF2-40B4-BE49-F238E27FC236}">
              <a16:creationId xmlns:a16="http://schemas.microsoft.com/office/drawing/2014/main" id="{00000000-0008-0000-0200-0000CD0E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790" name="Line 49">
          <a:extLst>
            <a:ext uri="{FF2B5EF4-FFF2-40B4-BE49-F238E27FC236}">
              <a16:creationId xmlns:a16="http://schemas.microsoft.com/office/drawing/2014/main" id="{00000000-0008-0000-0200-0000CE0E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791" name="Line 50">
          <a:extLst>
            <a:ext uri="{FF2B5EF4-FFF2-40B4-BE49-F238E27FC236}">
              <a16:creationId xmlns:a16="http://schemas.microsoft.com/office/drawing/2014/main" id="{00000000-0008-0000-0200-0000CF0E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792" name="Line 51">
          <a:extLst>
            <a:ext uri="{FF2B5EF4-FFF2-40B4-BE49-F238E27FC236}">
              <a16:creationId xmlns:a16="http://schemas.microsoft.com/office/drawing/2014/main" id="{00000000-0008-0000-0200-0000D00E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793" name="Line 52">
          <a:extLst>
            <a:ext uri="{FF2B5EF4-FFF2-40B4-BE49-F238E27FC236}">
              <a16:creationId xmlns:a16="http://schemas.microsoft.com/office/drawing/2014/main" id="{00000000-0008-0000-0200-0000D10E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794" name="Line 53">
          <a:extLst>
            <a:ext uri="{FF2B5EF4-FFF2-40B4-BE49-F238E27FC236}">
              <a16:creationId xmlns:a16="http://schemas.microsoft.com/office/drawing/2014/main" id="{00000000-0008-0000-0200-0000D20E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795" name="Line 54">
          <a:extLst>
            <a:ext uri="{FF2B5EF4-FFF2-40B4-BE49-F238E27FC236}">
              <a16:creationId xmlns:a16="http://schemas.microsoft.com/office/drawing/2014/main" id="{00000000-0008-0000-0200-0000D30E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796" name="Line 55">
          <a:extLst>
            <a:ext uri="{FF2B5EF4-FFF2-40B4-BE49-F238E27FC236}">
              <a16:creationId xmlns:a16="http://schemas.microsoft.com/office/drawing/2014/main" id="{00000000-0008-0000-0200-0000D40E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797" name="Line 56">
          <a:extLst>
            <a:ext uri="{FF2B5EF4-FFF2-40B4-BE49-F238E27FC236}">
              <a16:creationId xmlns:a16="http://schemas.microsoft.com/office/drawing/2014/main" id="{00000000-0008-0000-0200-0000D50E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798" name="Rectangle 57">
          <a:extLst>
            <a:ext uri="{FF2B5EF4-FFF2-40B4-BE49-F238E27FC236}">
              <a16:creationId xmlns:a16="http://schemas.microsoft.com/office/drawing/2014/main" id="{00000000-0008-0000-0200-0000D60E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799" name="Line 58">
          <a:extLst>
            <a:ext uri="{FF2B5EF4-FFF2-40B4-BE49-F238E27FC236}">
              <a16:creationId xmlns:a16="http://schemas.microsoft.com/office/drawing/2014/main" id="{00000000-0008-0000-0200-0000D70E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800" name="Line 59">
          <a:extLst>
            <a:ext uri="{FF2B5EF4-FFF2-40B4-BE49-F238E27FC236}">
              <a16:creationId xmlns:a16="http://schemas.microsoft.com/office/drawing/2014/main" id="{00000000-0008-0000-0200-0000D80E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801" name="Line 60">
          <a:extLst>
            <a:ext uri="{FF2B5EF4-FFF2-40B4-BE49-F238E27FC236}">
              <a16:creationId xmlns:a16="http://schemas.microsoft.com/office/drawing/2014/main" id="{00000000-0008-0000-0200-0000D90E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802" name="Line 61">
          <a:extLst>
            <a:ext uri="{FF2B5EF4-FFF2-40B4-BE49-F238E27FC236}">
              <a16:creationId xmlns:a16="http://schemas.microsoft.com/office/drawing/2014/main" id="{00000000-0008-0000-0200-0000DA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803" name="Line 62">
          <a:extLst>
            <a:ext uri="{FF2B5EF4-FFF2-40B4-BE49-F238E27FC236}">
              <a16:creationId xmlns:a16="http://schemas.microsoft.com/office/drawing/2014/main" id="{00000000-0008-0000-0200-0000DB0E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804" name="Line 63">
          <a:extLst>
            <a:ext uri="{FF2B5EF4-FFF2-40B4-BE49-F238E27FC236}">
              <a16:creationId xmlns:a16="http://schemas.microsoft.com/office/drawing/2014/main" id="{00000000-0008-0000-0200-0000DC0E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805" name="Line 64">
          <a:extLst>
            <a:ext uri="{FF2B5EF4-FFF2-40B4-BE49-F238E27FC236}">
              <a16:creationId xmlns:a16="http://schemas.microsoft.com/office/drawing/2014/main" id="{00000000-0008-0000-0200-0000DD0E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806" name="Line 65">
          <a:extLst>
            <a:ext uri="{FF2B5EF4-FFF2-40B4-BE49-F238E27FC236}">
              <a16:creationId xmlns:a16="http://schemas.microsoft.com/office/drawing/2014/main" id="{00000000-0008-0000-0200-0000DE0E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807" name="Line 66">
          <a:extLst>
            <a:ext uri="{FF2B5EF4-FFF2-40B4-BE49-F238E27FC236}">
              <a16:creationId xmlns:a16="http://schemas.microsoft.com/office/drawing/2014/main" id="{00000000-0008-0000-0200-0000DF0E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808" name="Line 67">
          <a:extLst>
            <a:ext uri="{FF2B5EF4-FFF2-40B4-BE49-F238E27FC236}">
              <a16:creationId xmlns:a16="http://schemas.microsoft.com/office/drawing/2014/main" id="{00000000-0008-0000-0200-0000E00E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809" name="Line 68">
          <a:extLst>
            <a:ext uri="{FF2B5EF4-FFF2-40B4-BE49-F238E27FC236}">
              <a16:creationId xmlns:a16="http://schemas.microsoft.com/office/drawing/2014/main" id="{00000000-0008-0000-0200-0000E10E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810" name="Line 1">
          <a:extLst>
            <a:ext uri="{FF2B5EF4-FFF2-40B4-BE49-F238E27FC236}">
              <a16:creationId xmlns:a16="http://schemas.microsoft.com/office/drawing/2014/main" id="{00000000-0008-0000-0200-0000E20E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811" name="Drawing 16">
          <a:extLst>
            <a:ext uri="{FF2B5EF4-FFF2-40B4-BE49-F238E27FC236}">
              <a16:creationId xmlns:a16="http://schemas.microsoft.com/office/drawing/2014/main" id="{00000000-0008-0000-0200-0000E30E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812" name="Line 3">
          <a:extLst>
            <a:ext uri="{FF2B5EF4-FFF2-40B4-BE49-F238E27FC236}">
              <a16:creationId xmlns:a16="http://schemas.microsoft.com/office/drawing/2014/main" id="{00000000-0008-0000-0200-0000E40E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813" name="Line 4">
          <a:extLst>
            <a:ext uri="{FF2B5EF4-FFF2-40B4-BE49-F238E27FC236}">
              <a16:creationId xmlns:a16="http://schemas.microsoft.com/office/drawing/2014/main" id="{00000000-0008-0000-0200-0000E50E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814" name="Line 5">
          <a:extLst>
            <a:ext uri="{FF2B5EF4-FFF2-40B4-BE49-F238E27FC236}">
              <a16:creationId xmlns:a16="http://schemas.microsoft.com/office/drawing/2014/main" id="{00000000-0008-0000-0200-0000E60E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815" name="Line 6">
          <a:extLst>
            <a:ext uri="{FF2B5EF4-FFF2-40B4-BE49-F238E27FC236}">
              <a16:creationId xmlns:a16="http://schemas.microsoft.com/office/drawing/2014/main" id="{00000000-0008-0000-0200-0000E70E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816" name="Line 7">
          <a:extLst>
            <a:ext uri="{FF2B5EF4-FFF2-40B4-BE49-F238E27FC236}">
              <a16:creationId xmlns:a16="http://schemas.microsoft.com/office/drawing/2014/main" id="{00000000-0008-0000-0200-0000E80E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817" name="Line 8">
          <a:extLst>
            <a:ext uri="{FF2B5EF4-FFF2-40B4-BE49-F238E27FC236}">
              <a16:creationId xmlns:a16="http://schemas.microsoft.com/office/drawing/2014/main" id="{00000000-0008-0000-0200-0000E90E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818" name="Line 9">
          <a:extLst>
            <a:ext uri="{FF2B5EF4-FFF2-40B4-BE49-F238E27FC236}">
              <a16:creationId xmlns:a16="http://schemas.microsoft.com/office/drawing/2014/main" id="{00000000-0008-0000-0200-0000EA0E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819" name="Line 10">
          <a:extLst>
            <a:ext uri="{FF2B5EF4-FFF2-40B4-BE49-F238E27FC236}">
              <a16:creationId xmlns:a16="http://schemas.microsoft.com/office/drawing/2014/main" id="{00000000-0008-0000-0200-0000EB0E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820" name="Line 11">
          <a:extLst>
            <a:ext uri="{FF2B5EF4-FFF2-40B4-BE49-F238E27FC236}">
              <a16:creationId xmlns:a16="http://schemas.microsoft.com/office/drawing/2014/main" id="{00000000-0008-0000-0200-0000EC0E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821" name="Line 12">
          <a:extLst>
            <a:ext uri="{FF2B5EF4-FFF2-40B4-BE49-F238E27FC236}">
              <a16:creationId xmlns:a16="http://schemas.microsoft.com/office/drawing/2014/main" id="{00000000-0008-0000-0200-0000ED0E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822" name="Line 13">
          <a:extLst>
            <a:ext uri="{FF2B5EF4-FFF2-40B4-BE49-F238E27FC236}">
              <a16:creationId xmlns:a16="http://schemas.microsoft.com/office/drawing/2014/main" id="{00000000-0008-0000-0200-0000EE0E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23" name="Line 14">
          <a:extLst>
            <a:ext uri="{FF2B5EF4-FFF2-40B4-BE49-F238E27FC236}">
              <a16:creationId xmlns:a16="http://schemas.microsoft.com/office/drawing/2014/main" id="{00000000-0008-0000-0200-0000EF0E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824" name="Line 15">
          <a:extLst>
            <a:ext uri="{FF2B5EF4-FFF2-40B4-BE49-F238E27FC236}">
              <a16:creationId xmlns:a16="http://schemas.microsoft.com/office/drawing/2014/main" id="{00000000-0008-0000-0200-0000F00E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25" name="Line 16">
          <a:extLst>
            <a:ext uri="{FF2B5EF4-FFF2-40B4-BE49-F238E27FC236}">
              <a16:creationId xmlns:a16="http://schemas.microsoft.com/office/drawing/2014/main" id="{00000000-0008-0000-0200-0000F10E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826" name="Line 17">
          <a:extLst>
            <a:ext uri="{FF2B5EF4-FFF2-40B4-BE49-F238E27FC236}">
              <a16:creationId xmlns:a16="http://schemas.microsoft.com/office/drawing/2014/main" id="{00000000-0008-0000-0200-0000F20E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827" name="Line 18">
          <a:extLst>
            <a:ext uri="{FF2B5EF4-FFF2-40B4-BE49-F238E27FC236}">
              <a16:creationId xmlns:a16="http://schemas.microsoft.com/office/drawing/2014/main" id="{00000000-0008-0000-0200-0000F30E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828" name="Line 19">
          <a:extLst>
            <a:ext uri="{FF2B5EF4-FFF2-40B4-BE49-F238E27FC236}">
              <a16:creationId xmlns:a16="http://schemas.microsoft.com/office/drawing/2014/main" id="{00000000-0008-0000-0200-0000F40E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829" name="Line 20">
          <a:extLst>
            <a:ext uri="{FF2B5EF4-FFF2-40B4-BE49-F238E27FC236}">
              <a16:creationId xmlns:a16="http://schemas.microsoft.com/office/drawing/2014/main" id="{00000000-0008-0000-0200-0000F50E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830" name="Line 21">
          <a:extLst>
            <a:ext uri="{FF2B5EF4-FFF2-40B4-BE49-F238E27FC236}">
              <a16:creationId xmlns:a16="http://schemas.microsoft.com/office/drawing/2014/main" id="{00000000-0008-0000-0200-0000F60E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831" name="Line 22">
          <a:extLst>
            <a:ext uri="{FF2B5EF4-FFF2-40B4-BE49-F238E27FC236}">
              <a16:creationId xmlns:a16="http://schemas.microsoft.com/office/drawing/2014/main" id="{00000000-0008-0000-0200-0000F70E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832" name="Line 23">
          <a:extLst>
            <a:ext uri="{FF2B5EF4-FFF2-40B4-BE49-F238E27FC236}">
              <a16:creationId xmlns:a16="http://schemas.microsoft.com/office/drawing/2014/main" id="{00000000-0008-0000-0200-0000F80E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833" name="Line 24">
          <a:extLst>
            <a:ext uri="{FF2B5EF4-FFF2-40B4-BE49-F238E27FC236}">
              <a16:creationId xmlns:a16="http://schemas.microsoft.com/office/drawing/2014/main" id="{00000000-0008-0000-0200-0000F90E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834" name="Line 25">
          <a:extLst>
            <a:ext uri="{FF2B5EF4-FFF2-40B4-BE49-F238E27FC236}">
              <a16:creationId xmlns:a16="http://schemas.microsoft.com/office/drawing/2014/main" id="{00000000-0008-0000-0200-0000FA0E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835" name="Line 26">
          <a:extLst>
            <a:ext uri="{FF2B5EF4-FFF2-40B4-BE49-F238E27FC236}">
              <a16:creationId xmlns:a16="http://schemas.microsoft.com/office/drawing/2014/main" id="{00000000-0008-0000-0200-0000FB0E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836" name="Line 27">
          <a:extLst>
            <a:ext uri="{FF2B5EF4-FFF2-40B4-BE49-F238E27FC236}">
              <a16:creationId xmlns:a16="http://schemas.microsoft.com/office/drawing/2014/main" id="{00000000-0008-0000-0200-0000FC0E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837" name="Line 28">
          <a:extLst>
            <a:ext uri="{FF2B5EF4-FFF2-40B4-BE49-F238E27FC236}">
              <a16:creationId xmlns:a16="http://schemas.microsoft.com/office/drawing/2014/main" id="{00000000-0008-0000-0200-0000FD0E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838" name="Line 29">
          <a:extLst>
            <a:ext uri="{FF2B5EF4-FFF2-40B4-BE49-F238E27FC236}">
              <a16:creationId xmlns:a16="http://schemas.microsoft.com/office/drawing/2014/main" id="{00000000-0008-0000-0200-0000FE0E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839" name="Line 30">
          <a:extLst>
            <a:ext uri="{FF2B5EF4-FFF2-40B4-BE49-F238E27FC236}">
              <a16:creationId xmlns:a16="http://schemas.microsoft.com/office/drawing/2014/main" id="{00000000-0008-0000-0200-0000FF0E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840" name="Line 31">
          <a:extLst>
            <a:ext uri="{FF2B5EF4-FFF2-40B4-BE49-F238E27FC236}">
              <a16:creationId xmlns:a16="http://schemas.microsoft.com/office/drawing/2014/main" id="{00000000-0008-0000-0200-000000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841" name="Line 32">
          <a:extLst>
            <a:ext uri="{FF2B5EF4-FFF2-40B4-BE49-F238E27FC236}">
              <a16:creationId xmlns:a16="http://schemas.microsoft.com/office/drawing/2014/main" id="{00000000-0008-0000-0200-000001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842" name="Line 33">
          <a:extLst>
            <a:ext uri="{FF2B5EF4-FFF2-40B4-BE49-F238E27FC236}">
              <a16:creationId xmlns:a16="http://schemas.microsoft.com/office/drawing/2014/main" id="{00000000-0008-0000-0200-000002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843" name="Line 34">
          <a:extLst>
            <a:ext uri="{FF2B5EF4-FFF2-40B4-BE49-F238E27FC236}">
              <a16:creationId xmlns:a16="http://schemas.microsoft.com/office/drawing/2014/main" id="{00000000-0008-0000-0200-000003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844" name="Line 35">
          <a:extLst>
            <a:ext uri="{FF2B5EF4-FFF2-40B4-BE49-F238E27FC236}">
              <a16:creationId xmlns:a16="http://schemas.microsoft.com/office/drawing/2014/main" id="{00000000-0008-0000-0200-000004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845" name="Line 36">
          <a:extLst>
            <a:ext uri="{FF2B5EF4-FFF2-40B4-BE49-F238E27FC236}">
              <a16:creationId xmlns:a16="http://schemas.microsoft.com/office/drawing/2014/main" id="{00000000-0008-0000-0200-000005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846" name="Line 37">
          <a:extLst>
            <a:ext uri="{FF2B5EF4-FFF2-40B4-BE49-F238E27FC236}">
              <a16:creationId xmlns:a16="http://schemas.microsoft.com/office/drawing/2014/main" id="{00000000-0008-0000-0200-000006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847" name="Line 38">
          <a:extLst>
            <a:ext uri="{FF2B5EF4-FFF2-40B4-BE49-F238E27FC236}">
              <a16:creationId xmlns:a16="http://schemas.microsoft.com/office/drawing/2014/main" id="{00000000-0008-0000-0200-000007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848" name="Line 39">
          <a:extLst>
            <a:ext uri="{FF2B5EF4-FFF2-40B4-BE49-F238E27FC236}">
              <a16:creationId xmlns:a16="http://schemas.microsoft.com/office/drawing/2014/main" id="{00000000-0008-0000-0200-000008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849" name="Line 40">
          <a:extLst>
            <a:ext uri="{FF2B5EF4-FFF2-40B4-BE49-F238E27FC236}">
              <a16:creationId xmlns:a16="http://schemas.microsoft.com/office/drawing/2014/main" id="{00000000-0008-0000-0200-000009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850" name="Line 41">
          <a:extLst>
            <a:ext uri="{FF2B5EF4-FFF2-40B4-BE49-F238E27FC236}">
              <a16:creationId xmlns:a16="http://schemas.microsoft.com/office/drawing/2014/main" id="{00000000-0008-0000-0200-00000A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851" name="Rectangle 1674">
          <a:extLst>
            <a:ext uri="{FF2B5EF4-FFF2-40B4-BE49-F238E27FC236}">
              <a16:creationId xmlns:a16="http://schemas.microsoft.com/office/drawing/2014/main" id="{00000000-0008-0000-0200-00000B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52" name="Line 43">
          <a:extLst>
            <a:ext uri="{FF2B5EF4-FFF2-40B4-BE49-F238E27FC236}">
              <a16:creationId xmlns:a16="http://schemas.microsoft.com/office/drawing/2014/main" id="{00000000-0008-0000-0200-00000C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853" name="Line 44">
          <a:extLst>
            <a:ext uri="{FF2B5EF4-FFF2-40B4-BE49-F238E27FC236}">
              <a16:creationId xmlns:a16="http://schemas.microsoft.com/office/drawing/2014/main" id="{00000000-0008-0000-0200-00000D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854" name="Line 45">
          <a:extLst>
            <a:ext uri="{FF2B5EF4-FFF2-40B4-BE49-F238E27FC236}">
              <a16:creationId xmlns:a16="http://schemas.microsoft.com/office/drawing/2014/main" id="{00000000-0008-0000-0200-00000E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855" name="Line 46">
          <a:extLst>
            <a:ext uri="{FF2B5EF4-FFF2-40B4-BE49-F238E27FC236}">
              <a16:creationId xmlns:a16="http://schemas.microsoft.com/office/drawing/2014/main" id="{00000000-0008-0000-0200-00000F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856" name="Line 47">
          <a:extLst>
            <a:ext uri="{FF2B5EF4-FFF2-40B4-BE49-F238E27FC236}">
              <a16:creationId xmlns:a16="http://schemas.microsoft.com/office/drawing/2014/main" id="{00000000-0008-0000-0200-000010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857" name="Line 48">
          <a:extLst>
            <a:ext uri="{FF2B5EF4-FFF2-40B4-BE49-F238E27FC236}">
              <a16:creationId xmlns:a16="http://schemas.microsoft.com/office/drawing/2014/main" id="{00000000-0008-0000-0200-000011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858" name="Line 49">
          <a:extLst>
            <a:ext uri="{FF2B5EF4-FFF2-40B4-BE49-F238E27FC236}">
              <a16:creationId xmlns:a16="http://schemas.microsoft.com/office/drawing/2014/main" id="{00000000-0008-0000-0200-000012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859" name="Line 50">
          <a:extLst>
            <a:ext uri="{FF2B5EF4-FFF2-40B4-BE49-F238E27FC236}">
              <a16:creationId xmlns:a16="http://schemas.microsoft.com/office/drawing/2014/main" id="{00000000-0008-0000-0200-000013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860" name="Line 51">
          <a:extLst>
            <a:ext uri="{FF2B5EF4-FFF2-40B4-BE49-F238E27FC236}">
              <a16:creationId xmlns:a16="http://schemas.microsoft.com/office/drawing/2014/main" id="{00000000-0008-0000-0200-000014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861" name="Line 52">
          <a:extLst>
            <a:ext uri="{FF2B5EF4-FFF2-40B4-BE49-F238E27FC236}">
              <a16:creationId xmlns:a16="http://schemas.microsoft.com/office/drawing/2014/main" id="{00000000-0008-0000-0200-000015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862" name="Line 53">
          <a:extLst>
            <a:ext uri="{FF2B5EF4-FFF2-40B4-BE49-F238E27FC236}">
              <a16:creationId xmlns:a16="http://schemas.microsoft.com/office/drawing/2014/main" id="{00000000-0008-0000-0200-000016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863" name="Line 54">
          <a:extLst>
            <a:ext uri="{FF2B5EF4-FFF2-40B4-BE49-F238E27FC236}">
              <a16:creationId xmlns:a16="http://schemas.microsoft.com/office/drawing/2014/main" id="{00000000-0008-0000-0200-000017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864" name="Line 55">
          <a:extLst>
            <a:ext uri="{FF2B5EF4-FFF2-40B4-BE49-F238E27FC236}">
              <a16:creationId xmlns:a16="http://schemas.microsoft.com/office/drawing/2014/main" id="{00000000-0008-0000-0200-000018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865" name="Line 56">
          <a:extLst>
            <a:ext uri="{FF2B5EF4-FFF2-40B4-BE49-F238E27FC236}">
              <a16:creationId xmlns:a16="http://schemas.microsoft.com/office/drawing/2014/main" id="{00000000-0008-0000-0200-000019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866" name="Rectangle 1689">
          <a:extLst>
            <a:ext uri="{FF2B5EF4-FFF2-40B4-BE49-F238E27FC236}">
              <a16:creationId xmlns:a16="http://schemas.microsoft.com/office/drawing/2014/main" id="{00000000-0008-0000-0200-00001A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867" name="Line 58">
          <a:extLst>
            <a:ext uri="{FF2B5EF4-FFF2-40B4-BE49-F238E27FC236}">
              <a16:creationId xmlns:a16="http://schemas.microsoft.com/office/drawing/2014/main" id="{00000000-0008-0000-0200-00001B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868" name="Line 59">
          <a:extLst>
            <a:ext uri="{FF2B5EF4-FFF2-40B4-BE49-F238E27FC236}">
              <a16:creationId xmlns:a16="http://schemas.microsoft.com/office/drawing/2014/main" id="{00000000-0008-0000-0200-00001C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869" name="Line 60">
          <a:extLst>
            <a:ext uri="{FF2B5EF4-FFF2-40B4-BE49-F238E27FC236}">
              <a16:creationId xmlns:a16="http://schemas.microsoft.com/office/drawing/2014/main" id="{00000000-0008-0000-0200-00001D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870" name="Line 61">
          <a:extLst>
            <a:ext uri="{FF2B5EF4-FFF2-40B4-BE49-F238E27FC236}">
              <a16:creationId xmlns:a16="http://schemas.microsoft.com/office/drawing/2014/main" id="{00000000-0008-0000-0200-00001E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871" name="Line 62">
          <a:extLst>
            <a:ext uri="{FF2B5EF4-FFF2-40B4-BE49-F238E27FC236}">
              <a16:creationId xmlns:a16="http://schemas.microsoft.com/office/drawing/2014/main" id="{00000000-0008-0000-0200-00001F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872" name="Line 63">
          <a:extLst>
            <a:ext uri="{FF2B5EF4-FFF2-40B4-BE49-F238E27FC236}">
              <a16:creationId xmlns:a16="http://schemas.microsoft.com/office/drawing/2014/main" id="{00000000-0008-0000-0200-000020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873" name="Line 64">
          <a:extLst>
            <a:ext uri="{FF2B5EF4-FFF2-40B4-BE49-F238E27FC236}">
              <a16:creationId xmlns:a16="http://schemas.microsoft.com/office/drawing/2014/main" id="{00000000-0008-0000-0200-000021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874" name="Line 65">
          <a:extLst>
            <a:ext uri="{FF2B5EF4-FFF2-40B4-BE49-F238E27FC236}">
              <a16:creationId xmlns:a16="http://schemas.microsoft.com/office/drawing/2014/main" id="{00000000-0008-0000-0200-000022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875" name="Line 66">
          <a:extLst>
            <a:ext uri="{FF2B5EF4-FFF2-40B4-BE49-F238E27FC236}">
              <a16:creationId xmlns:a16="http://schemas.microsoft.com/office/drawing/2014/main" id="{00000000-0008-0000-0200-000023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876" name="Line 67">
          <a:extLst>
            <a:ext uri="{FF2B5EF4-FFF2-40B4-BE49-F238E27FC236}">
              <a16:creationId xmlns:a16="http://schemas.microsoft.com/office/drawing/2014/main" id="{00000000-0008-0000-0200-000024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877" name="Line 68">
          <a:extLst>
            <a:ext uri="{FF2B5EF4-FFF2-40B4-BE49-F238E27FC236}">
              <a16:creationId xmlns:a16="http://schemas.microsoft.com/office/drawing/2014/main" id="{00000000-0008-0000-0200-000025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878" name="Line 1">
          <a:extLst>
            <a:ext uri="{FF2B5EF4-FFF2-40B4-BE49-F238E27FC236}">
              <a16:creationId xmlns:a16="http://schemas.microsoft.com/office/drawing/2014/main" id="{00000000-0008-0000-0200-000026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879" name="Drawing 16">
          <a:extLst>
            <a:ext uri="{FF2B5EF4-FFF2-40B4-BE49-F238E27FC236}">
              <a16:creationId xmlns:a16="http://schemas.microsoft.com/office/drawing/2014/main" id="{00000000-0008-0000-0200-000027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880" name="Line 3">
          <a:extLst>
            <a:ext uri="{FF2B5EF4-FFF2-40B4-BE49-F238E27FC236}">
              <a16:creationId xmlns:a16="http://schemas.microsoft.com/office/drawing/2014/main" id="{00000000-0008-0000-0200-000028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881" name="Line 4">
          <a:extLst>
            <a:ext uri="{FF2B5EF4-FFF2-40B4-BE49-F238E27FC236}">
              <a16:creationId xmlns:a16="http://schemas.microsoft.com/office/drawing/2014/main" id="{00000000-0008-0000-0200-000029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882" name="Line 5">
          <a:extLst>
            <a:ext uri="{FF2B5EF4-FFF2-40B4-BE49-F238E27FC236}">
              <a16:creationId xmlns:a16="http://schemas.microsoft.com/office/drawing/2014/main" id="{00000000-0008-0000-0200-00002A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883" name="Line 6">
          <a:extLst>
            <a:ext uri="{FF2B5EF4-FFF2-40B4-BE49-F238E27FC236}">
              <a16:creationId xmlns:a16="http://schemas.microsoft.com/office/drawing/2014/main" id="{00000000-0008-0000-0200-00002B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884" name="Line 7">
          <a:extLst>
            <a:ext uri="{FF2B5EF4-FFF2-40B4-BE49-F238E27FC236}">
              <a16:creationId xmlns:a16="http://schemas.microsoft.com/office/drawing/2014/main" id="{00000000-0008-0000-0200-00002C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885" name="Line 8">
          <a:extLst>
            <a:ext uri="{FF2B5EF4-FFF2-40B4-BE49-F238E27FC236}">
              <a16:creationId xmlns:a16="http://schemas.microsoft.com/office/drawing/2014/main" id="{00000000-0008-0000-0200-00002D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886" name="Line 9">
          <a:extLst>
            <a:ext uri="{FF2B5EF4-FFF2-40B4-BE49-F238E27FC236}">
              <a16:creationId xmlns:a16="http://schemas.microsoft.com/office/drawing/2014/main" id="{00000000-0008-0000-0200-00002E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887" name="Line 10">
          <a:extLst>
            <a:ext uri="{FF2B5EF4-FFF2-40B4-BE49-F238E27FC236}">
              <a16:creationId xmlns:a16="http://schemas.microsoft.com/office/drawing/2014/main" id="{00000000-0008-0000-0200-00002F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888" name="Line 11">
          <a:extLst>
            <a:ext uri="{FF2B5EF4-FFF2-40B4-BE49-F238E27FC236}">
              <a16:creationId xmlns:a16="http://schemas.microsoft.com/office/drawing/2014/main" id="{00000000-0008-0000-0200-000030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889" name="Line 12">
          <a:extLst>
            <a:ext uri="{FF2B5EF4-FFF2-40B4-BE49-F238E27FC236}">
              <a16:creationId xmlns:a16="http://schemas.microsoft.com/office/drawing/2014/main" id="{00000000-0008-0000-0200-000031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890" name="Line 13">
          <a:extLst>
            <a:ext uri="{FF2B5EF4-FFF2-40B4-BE49-F238E27FC236}">
              <a16:creationId xmlns:a16="http://schemas.microsoft.com/office/drawing/2014/main" id="{00000000-0008-0000-0200-000032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91" name="Line 14">
          <a:extLst>
            <a:ext uri="{FF2B5EF4-FFF2-40B4-BE49-F238E27FC236}">
              <a16:creationId xmlns:a16="http://schemas.microsoft.com/office/drawing/2014/main" id="{00000000-0008-0000-0200-000033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892" name="Line 15">
          <a:extLst>
            <a:ext uri="{FF2B5EF4-FFF2-40B4-BE49-F238E27FC236}">
              <a16:creationId xmlns:a16="http://schemas.microsoft.com/office/drawing/2014/main" id="{00000000-0008-0000-0200-0000340F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893" name="Line 16">
          <a:extLst>
            <a:ext uri="{FF2B5EF4-FFF2-40B4-BE49-F238E27FC236}">
              <a16:creationId xmlns:a16="http://schemas.microsoft.com/office/drawing/2014/main" id="{00000000-0008-0000-0200-0000350F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894" name="Line 17">
          <a:extLst>
            <a:ext uri="{FF2B5EF4-FFF2-40B4-BE49-F238E27FC236}">
              <a16:creationId xmlns:a16="http://schemas.microsoft.com/office/drawing/2014/main" id="{00000000-0008-0000-0200-0000360F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895" name="Line 18">
          <a:extLst>
            <a:ext uri="{FF2B5EF4-FFF2-40B4-BE49-F238E27FC236}">
              <a16:creationId xmlns:a16="http://schemas.microsoft.com/office/drawing/2014/main" id="{00000000-0008-0000-0200-0000370F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896" name="Line 19">
          <a:extLst>
            <a:ext uri="{FF2B5EF4-FFF2-40B4-BE49-F238E27FC236}">
              <a16:creationId xmlns:a16="http://schemas.microsoft.com/office/drawing/2014/main" id="{00000000-0008-0000-0200-0000380F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897" name="Line 20">
          <a:extLst>
            <a:ext uri="{FF2B5EF4-FFF2-40B4-BE49-F238E27FC236}">
              <a16:creationId xmlns:a16="http://schemas.microsoft.com/office/drawing/2014/main" id="{00000000-0008-0000-0200-0000390F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898" name="Line 21">
          <a:extLst>
            <a:ext uri="{FF2B5EF4-FFF2-40B4-BE49-F238E27FC236}">
              <a16:creationId xmlns:a16="http://schemas.microsoft.com/office/drawing/2014/main" id="{00000000-0008-0000-0200-00003A0F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899" name="Line 22">
          <a:extLst>
            <a:ext uri="{FF2B5EF4-FFF2-40B4-BE49-F238E27FC236}">
              <a16:creationId xmlns:a16="http://schemas.microsoft.com/office/drawing/2014/main" id="{00000000-0008-0000-0200-00003B0F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900" name="Line 23">
          <a:extLst>
            <a:ext uri="{FF2B5EF4-FFF2-40B4-BE49-F238E27FC236}">
              <a16:creationId xmlns:a16="http://schemas.microsoft.com/office/drawing/2014/main" id="{00000000-0008-0000-0200-00003C0F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901" name="Line 24">
          <a:extLst>
            <a:ext uri="{FF2B5EF4-FFF2-40B4-BE49-F238E27FC236}">
              <a16:creationId xmlns:a16="http://schemas.microsoft.com/office/drawing/2014/main" id="{00000000-0008-0000-0200-00003D0F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902" name="Line 25">
          <a:extLst>
            <a:ext uri="{FF2B5EF4-FFF2-40B4-BE49-F238E27FC236}">
              <a16:creationId xmlns:a16="http://schemas.microsoft.com/office/drawing/2014/main" id="{00000000-0008-0000-0200-00003E0F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903" name="Line 26">
          <a:extLst>
            <a:ext uri="{FF2B5EF4-FFF2-40B4-BE49-F238E27FC236}">
              <a16:creationId xmlns:a16="http://schemas.microsoft.com/office/drawing/2014/main" id="{00000000-0008-0000-0200-00003F0F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904" name="Line 27">
          <a:extLst>
            <a:ext uri="{FF2B5EF4-FFF2-40B4-BE49-F238E27FC236}">
              <a16:creationId xmlns:a16="http://schemas.microsoft.com/office/drawing/2014/main" id="{00000000-0008-0000-0200-0000400F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905" name="Line 28">
          <a:extLst>
            <a:ext uri="{FF2B5EF4-FFF2-40B4-BE49-F238E27FC236}">
              <a16:creationId xmlns:a16="http://schemas.microsoft.com/office/drawing/2014/main" id="{00000000-0008-0000-0200-0000410F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906" name="Line 29">
          <a:extLst>
            <a:ext uri="{FF2B5EF4-FFF2-40B4-BE49-F238E27FC236}">
              <a16:creationId xmlns:a16="http://schemas.microsoft.com/office/drawing/2014/main" id="{00000000-0008-0000-0200-0000420F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907" name="Line 30">
          <a:extLst>
            <a:ext uri="{FF2B5EF4-FFF2-40B4-BE49-F238E27FC236}">
              <a16:creationId xmlns:a16="http://schemas.microsoft.com/office/drawing/2014/main" id="{00000000-0008-0000-0200-0000430F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908" name="Line 31">
          <a:extLst>
            <a:ext uri="{FF2B5EF4-FFF2-40B4-BE49-F238E27FC236}">
              <a16:creationId xmlns:a16="http://schemas.microsoft.com/office/drawing/2014/main" id="{00000000-0008-0000-0200-000044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909" name="Line 32">
          <a:extLst>
            <a:ext uri="{FF2B5EF4-FFF2-40B4-BE49-F238E27FC236}">
              <a16:creationId xmlns:a16="http://schemas.microsoft.com/office/drawing/2014/main" id="{00000000-0008-0000-0200-000045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910" name="Line 33">
          <a:extLst>
            <a:ext uri="{FF2B5EF4-FFF2-40B4-BE49-F238E27FC236}">
              <a16:creationId xmlns:a16="http://schemas.microsoft.com/office/drawing/2014/main" id="{00000000-0008-0000-0200-000046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911" name="Line 34">
          <a:extLst>
            <a:ext uri="{FF2B5EF4-FFF2-40B4-BE49-F238E27FC236}">
              <a16:creationId xmlns:a16="http://schemas.microsoft.com/office/drawing/2014/main" id="{00000000-0008-0000-0200-000047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912" name="Line 35">
          <a:extLst>
            <a:ext uri="{FF2B5EF4-FFF2-40B4-BE49-F238E27FC236}">
              <a16:creationId xmlns:a16="http://schemas.microsoft.com/office/drawing/2014/main" id="{00000000-0008-0000-0200-000048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913" name="Line 36">
          <a:extLst>
            <a:ext uri="{FF2B5EF4-FFF2-40B4-BE49-F238E27FC236}">
              <a16:creationId xmlns:a16="http://schemas.microsoft.com/office/drawing/2014/main" id="{00000000-0008-0000-0200-000049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914" name="Line 37">
          <a:extLst>
            <a:ext uri="{FF2B5EF4-FFF2-40B4-BE49-F238E27FC236}">
              <a16:creationId xmlns:a16="http://schemas.microsoft.com/office/drawing/2014/main" id="{00000000-0008-0000-0200-00004A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915" name="Line 38">
          <a:extLst>
            <a:ext uri="{FF2B5EF4-FFF2-40B4-BE49-F238E27FC236}">
              <a16:creationId xmlns:a16="http://schemas.microsoft.com/office/drawing/2014/main" id="{00000000-0008-0000-0200-00004B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916" name="Line 39">
          <a:extLst>
            <a:ext uri="{FF2B5EF4-FFF2-40B4-BE49-F238E27FC236}">
              <a16:creationId xmlns:a16="http://schemas.microsoft.com/office/drawing/2014/main" id="{00000000-0008-0000-0200-00004C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917" name="Line 40">
          <a:extLst>
            <a:ext uri="{FF2B5EF4-FFF2-40B4-BE49-F238E27FC236}">
              <a16:creationId xmlns:a16="http://schemas.microsoft.com/office/drawing/2014/main" id="{00000000-0008-0000-0200-00004D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918" name="Line 41">
          <a:extLst>
            <a:ext uri="{FF2B5EF4-FFF2-40B4-BE49-F238E27FC236}">
              <a16:creationId xmlns:a16="http://schemas.microsoft.com/office/drawing/2014/main" id="{00000000-0008-0000-0200-00004E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919" name="Rectangle 42">
          <a:extLst>
            <a:ext uri="{FF2B5EF4-FFF2-40B4-BE49-F238E27FC236}">
              <a16:creationId xmlns:a16="http://schemas.microsoft.com/office/drawing/2014/main" id="{00000000-0008-0000-0200-00004F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20" name="Line 43">
          <a:extLst>
            <a:ext uri="{FF2B5EF4-FFF2-40B4-BE49-F238E27FC236}">
              <a16:creationId xmlns:a16="http://schemas.microsoft.com/office/drawing/2014/main" id="{00000000-0008-0000-0200-000050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21" name="Line 44">
          <a:extLst>
            <a:ext uri="{FF2B5EF4-FFF2-40B4-BE49-F238E27FC236}">
              <a16:creationId xmlns:a16="http://schemas.microsoft.com/office/drawing/2014/main" id="{00000000-0008-0000-0200-000051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922" name="Line 45">
          <a:extLst>
            <a:ext uri="{FF2B5EF4-FFF2-40B4-BE49-F238E27FC236}">
              <a16:creationId xmlns:a16="http://schemas.microsoft.com/office/drawing/2014/main" id="{00000000-0008-0000-0200-000052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923" name="Line 46">
          <a:extLst>
            <a:ext uri="{FF2B5EF4-FFF2-40B4-BE49-F238E27FC236}">
              <a16:creationId xmlns:a16="http://schemas.microsoft.com/office/drawing/2014/main" id="{00000000-0008-0000-0200-000053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924" name="Line 47">
          <a:extLst>
            <a:ext uri="{FF2B5EF4-FFF2-40B4-BE49-F238E27FC236}">
              <a16:creationId xmlns:a16="http://schemas.microsoft.com/office/drawing/2014/main" id="{00000000-0008-0000-0200-000054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925" name="Line 48">
          <a:extLst>
            <a:ext uri="{FF2B5EF4-FFF2-40B4-BE49-F238E27FC236}">
              <a16:creationId xmlns:a16="http://schemas.microsoft.com/office/drawing/2014/main" id="{00000000-0008-0000-0200-000055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926" name="Line 49">
          <a:extLst>
            <a:ext uri="{FF2B5EF4-FFF2-40B4-BE49-F238E27FC236}">
              <a16:creationId xmlns:a16="http://schemas.microsoft.com/office/drawing/2014/main" id="{00000000-0008-0000-0200-000056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927" name="Line 50">
          <a:extLst>
            <a:ext uri="{FF2B5EF4-FFF2-40B4-BE49-F238E27FC236}">
              <a16:creationId xmlns:a16="http://schemas.microsoft.com/office/drawing/2014/main" id="{00000000-0008-0000-0200-000057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928" name="Line 51">
          <a:extLst>
            <a:ext uri="{FF2B5EF4-FFF2-40B4-BE49-F238E27FC236}">
              <a16:creationId xmlns:a16="http://schemas.microsoft.com/office/drawing/2014/main" id="{00000000-0008-0000-0200-000058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929" name="Line 52">
          <a:extLst>
            <a:ext uri="{FF2B5EF4-FFF2-40B4-BE49-F238E27FC236}">
              <a16:creationId xmlns:a16="http://schemas.microsoft.com/office/drawing/2014/main" id="{00000000-0008-0000-0200-000059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930" name="Line 53">
          <a:extLst>
            <a:ext uri="{FF2B5EF4-FFF2-40B4-BE49-F238E27FC236}">
              <a16:creationId xmlns:a16="http://schemas.microsoft.com/office/drawing/2014/main" id="{00000000-0008-0000-0200-00005A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931" name="Line 54">
          <a:extLst>
            <a:ext uri="{FF2B5EF4-FFF2-40B4-BE49-F238E27FC236}">
              <a16:creationId xmlns:a16="http://schemas.microsoft.com/office/drawing/2014/main" id="{00000000-0008-0000-0200-00005B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3932" name="Line 55">
          <a:extLst>
            <a:ext uri="{FF2B5EF4-FFF2-40B4-BE49-F238E27FC236}">
              <a16:creationId xmlns:a16="http://schemas.microsoft.com/office/drawing/2014/main" id="{00000000-0008-0000-0200-00005C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3933" name="Line 56">
          <a:extLst>
            <a:ext uri="{FF2B5EF4-FFF2-40B4-BE49-F238E27FC236}">
              <a16:creationId xmlns:a16="http://schemas.microsoft.com/office/drawing/2014/main" id="{00000000-0008-0000-0200-00005D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3934" name="Rectangle 57">
          <a:extLst>
            <a:ext uri="{FF2B5EF4-FFF2-40B4-BE49-F238E27FC236}">
              <a16:creationId xmlns:a16="http://schemas.microsoft.com/office/drawing/2014/main" id="{00000000-0008-0000-0200-00005E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3935" name="Line 58">
          <a:extLst>
            <a:ext uri="{FF2B5EF4-FFF2-40B4-BE49-F238E27FC236}">
              <a16:creationId xmlns:a16="http://schemas.microsoft.com/office/drawing/2014/main" id="{00000000-0008-0000-0200-00005F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3936" name="Line 59">
          <a:extLst>
            <a:ext uri="{FF2B5EF4-FFF2-40B4-BE49-F238E27FC236}">
              <a16:creationId xmlns:a16="http://schemas.microsoft.com/office/drawing/2014/main" id="{00000000-0008-0000-0200-000060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3937" name="Line 60">
          <a:extLst>
            <a:ext uri="{FF2B5EF4-FFF2-40B4-BE49-F238E27FC236}">
              <a16:creationId xmlns:a16="http://schemas.microsoft.com/office/drawing/2014/main" id="{00000000-0008-0000-0200-000061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3938" name="Line 61">
          <a:extLst>
            <a:ext uri="{FF2B5EF4-FFF2-40B4-BE49-F238E27FC236}">
              <a16:creationId xmlns:a16="http://schemas.microsoft.com/office/drawing/2014/main" id="{00000000-0008-0000-0200-000062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3939" name="Line 62">
          <a:extLst>
            <a:ext uri="{FF2B5EF4-FFF2-40B4-BE49-F238E27FC236}">
              <a16:creationId xmlns:a16="http://schemas.microsoft.com/office/drawing/2014/main" id="{00000000-0008-0000-0200-000063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3940" name="Line 63">
          <a:extLst>
            <a:ext uri="{FF2B5EF4-FFF2-40B4-BE49-F238E27FC236}">
              <a16:creationId xmlns:a16="http://schemas.microsoft.com/office/drawing/2014/main" id="{00000000-0008-0000-0200-000064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3941" name="Line 64">
          <a:extLst>
            <a:ext uri="{FF2B5EF4-FFF2-40B4-BE49-F238E27FC236}">
              <a16:creationId xmlns:a16="http://schemas.microsoft.com/office/drawing/2014/main" id="{00000000-0008-0000-0200-000065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3942" name="Line 65">
          <a:extLst>
            <a:ext uri="{FF2B5EF4-FFF2-40B4-BE49-F238E27FC236}">
              <a16:creationId xmlns:a16="http://schemas.microsoft.com/office/drawing/2014/main" id="{00000000-0008-0000-0200-000066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3943" name="Line 66">
          <a:extLst>
            <a:ext uri="{FF2B5EF4-FFF2-40B4-BE49-F238E27FC236}">
              <a16:creationId xmlns:a16="http://schemas.microsoft.com/office/drawing/2014/main" id="{00000000-0008-0000-0200-000067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3944" name="Line 67">
          <a:extLst>
            <a:ext uri="{FF2B5EF4-FFF2-40B4-BE49-F238E27FC236}">
              <a16:creationId xmlns:a16="http://schemas.microsoft.com/office/drawing/2014/main" id="{00000000-0008-0000-0200-000068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3945" name="Line 68">
          <a:extLst>
            <a:ext uri="{FF2B5EF4-FFF2-40B4-BE49-F238E27FC236}">
              <a16:creationId xmlns:a16="http://schemas.microsoft.com/office/drawing/2014/main" id="{00000000-0008-0000-0200-000069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946" name="Line 1">
          <a:extLst>
            <a:ext uri="{FF2B5EF4-FFF2-40B4-BE49-F238E27FC236}">
              <a16:creationId xmlns:a16="http://schemas.microsoft.com/office/drawing/2014/main" id="{00000000-0008-0000-0200-00006A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3947" name="Drawing 16">
          <a:extLst>
            <a:ext uri="{FF2B5EF4-FFF2-40B4-BE49-F238E27FC236}">
              <a16:creationId xmlns:a16="http://schemas.microsoft.com/office/drawing/2014/main" id="{00000000-0008-0000-0200-00006B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3948" name="Line 3">
          <a:extLst>
            <a:ext uri="{FF2B5EF4-FFF2-40B4-BE49-F238E27FC236}">
              <a16:creationId xmlns:a16="http://schemas.microsoft.com/office/drawing/2014/main" id="{00000000-0008-0000-0200-00006C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3949" name="Line 4">
          <a:extLst>
            <a:ext uri="{FF2B5EF4-FFF2-40B4-BE49-F238E27FC236}">
              <a16:creationId xmlns:a16="http://schemas.microsoft.com/office/drawing/2014/main" id="{00000000-0008-0000-0200-00006D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3950" name="Line 5">
          <a:extLst>
            <a:ext uri="{FF2B5EF4-FFF2-40B4-BE49-F238E27FC236}">
              <a16:creationId xmlns:a16="http://schemas.microsoft.com/office/drawing/2014/main" id="{00000000-0008-0000-0200-00006E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3951" name="Line 6">
          <a:extLst>
            <a:ext uri="{FF2B5EF4-FFF2-40B4-BE49-F238E27FC236}">
              <a16:creationId xmlns:a16="http://schemas.microsoft.com/office/drawing/2014/main" id="{00000000-0008-0000-0200-00006F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3952" name="Line 7">
          <a:extLst>
            <a:ext uri="{FF2B5EF4-FFF2-40B4-BE49-F238E27FC236}">
              <a16:creationId xmlns:a16="http://schemas.microsoft.com/office/drawing/2014/main" id="{00000000-0008-0000-0200-000070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3953" name="Line 8">
          <a:extLst>
            <a:ext uri="{FF2B5EF4-FFF2-40B4-BE49-F238E27FC236}">
              <a16:creationId xmlns:a16="http://schemas.microsoft.com/office/drawing/2014/main" id="{00000000-0008-0000-0200-000071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3954" name="Line 9">
          <a:extLst>
            <a:ext uri="{FF2B5EF4-FFF2-40B4-BE49-F238E27FC236}">
              <a16:creationId xmlns:a16="http://schemas.microsoft.com/office/drawing/2014/main" id="{00000000-0008-0000-0200-000072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3955" name="Line 10">
          <a:extLst>
            <a:ext uri="{FF2B5EF4-FFF2-40B4-BE49-F238E27FC236}">
              <a16:creationId xmlns:a16="http://schemas.microsoft.com/office/drawing/2014/main" id="{00000000-0008-0000-0200-000073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3956" name="Line 11">
          <a:extLst>
            <a:ext uri="{FF2B5EF4-FFF2-40B4-BE49-F238E27FC236}">
              <a16:creationId xmlns:a16="http://schemas.microsoft.com/office/drawing/2014/main" id="{00000000-0008-0000-0200-000074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3957" name="Line 12">
          <a:extLst>
            <a:ext uri="{FF2B5EF4-FFF2-40B4-BE49-F238E27FC236}">
              <a16:creationId xmlns:a16="http://schemas.microsoft.com/office/drawing/2014/main" id="{00000000-0008-0000-0200-000075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3958" name="Line 13">
          <a:extLst>
            <a:ext uri="{FF2B5EF4-FFF2-40B4-BE49-F238E27FC236}">
              <a16:creationId xmlns:a16="http://schemas.microsoft.com/office/drawing/2014/main" id="{00000000-0008-0000-0200-000076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959" name="Line 14">
          <a:extLst>
            <a:ext uri="{FF2B5EF4-FFF2-40B4-BE49-F238E27FC236}">
              <a16:creationId xmlns:a16="http://schemas.microsoft.com/office/drawing/2014/main" id="{00000000-0008-0000-0200-000077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3960" name="Line 15">
          <a:extLst>
            <a:ext uri="{FF2B5EF4-FFF2-40B4-BE49-F238E27FC236}">
              <a16:creationId xmlns:a16="http://schemas.microsoft.com/office/drawing/2014/main" id="{00000000-0008-0000-0200-0000780F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3961" name="Line 16">
          <a:extLst>
            <a:ext uri="{FF2B5EF4-FFF2-40B4-BE49-F238E27FC236}">
              <a16:creationId xmlns:a16="http://schemas.microsoft.com/office/drawing/2014/main" id="{00000000-0008-0000-0200-0000790F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3962" name="Line 17">
          <a:extLst>
            <a:ext uri="{FF2B5EF4-FFF2-40B4-BE49-F238E27FC236}">
              <a16:creationId xmlns:a16="http://schemas.microsoft.com/office/drawing/2014/main" id="{00000000-0008-0000-0200-00007A0F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3963" name="Line 18">
          <a:extLst>
            <a:ext uri="{FF2B5EF4-FFF2-40B4-BE49-F238E27FC236}">
              <a16:creationId xmlns:a16="http://schemas.microsoft.com/office/drawing/2014/main" id="{00000000-0008-0000-0200-00007B0F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3964" name="Line 19">
          <a:extLst>
            <a:ext uri="{FF2B5EF4-FFF2-40B4-BE49-F238E27FC236}">
              <a16:creationId xmlns:a16="http://schemas.microsoft.com/office/drawing/2014/main" id="{00000000-0008-0000-0200-00007C0F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3965" name="Line 20">
          <a:extLst>
            <a:ext uri="{FF2B5EF4-FFF2-40B4-BE49-F238E27FC236}">
              <a16:creationId xmlns:a16="http://schemas.microsoft.com/office/drawing/2014/main" id="{00000000-0008-0000-0200-00007D0F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3966" name="Line 21">
          <a:extLst>
            <a:ext uri="{FF2B5EF4-FFF2-40B4-BE49-F238E27FC236}">
              <a16:creationId xmlns:a16="http://schemas.microsoft.com/office/drawing/2014/main" id="{00000000-0008-0000-0200-00007E0F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3967" name="Line 22">
          <a:extLst>
            <a:ext uri="{FF2B5EF4-FFF2-40B4-BE49-F238E27FC236}">
              <a16:creationId xmlns:a16="http://schemas.microsoft.com/office/drawing/2014/main" id="{00000000-0008-0000-0200-00007F0F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3968" name="Line 23">
          <a:extLst>
            <a:ext uri="{FF2B5EF4-FFF2-40B4-BE49-F238E27FC236}">
              <a16:creationId xmlns:a16="http://schemas.microsoft.com/office/drawing/2014/main" id="{00000000-0008-0000-0200-0000800F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3969" name="Line 24">
          <a:extLst>
            <a:ext uri="{FF2B5EF4-FFF2-40B4-BE49-F238E27FC236}">
              <a16:creationId xmlns:a16="http://schemas.microsoft.com/office/drawing/2014/main" id="{00000000-0008-0000-0200-0000810F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3970" name="Line 25">
          <a:extLst>
            <a:ext uri="{FF2B5EF4-FFF2-40B4-BE49-F238E27FC236}">
              <a16:creationId xmlns:a16="http://schemas.microsoft.com/office/drawing/2014/main" id="{00000000-0008-0000-0200-0000820F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3971" name="Line 26">
          <a:extLst>
            <a:ext uri="{FF2B5EF4-FFF2-40B4-BE49-F238E27FC236}">
              <a16:creationId xmlns:a16="http://schemas.microsoft.com/office/drawing/2014/main" id="{00000000-0008-0000-0200-0000830F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3972" name="Line 27">
          <a:extLst>
            <a:ext uri="{FF2B5EF4-FFF2-40B4-BE49-F238E27FC236}">
              <a16:creationId xmlns:a16="http://schemas.microsoft.com/office/drawing/2014/main" id="{00000000-0008-0000-0200-0000840F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3973" name="Line 28">
          <a:extLst>
            <a:ext uri="{FF2B5EF4-FFF2-40B4-BE49-F238E27FC236}">
              <a16:creationId xmlns:a16="http://schemas.microsoft.com/office/drawing/2014/main" id="{00000000-0008-0000-0200-0000850F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3974" name="Line 29">
          <a:extLst>
            <a:ext uri="{FF2B5EF4-FFF2-40B4-BE49-F238E27FC236}">
              <a16:creationId xmlns:a16="http://schemas.microsoft.com/office/drawing/2014/main" id="{00000000-0008-0000-0200-0000860F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3975" name="Line 30">
          <a:extLst>
            <a:ext uri="{FF2B5EF4-FFF2-40B4-BE49-F238E27FC236}">
              <a16:creationId xmlns:a16="http://schemas.microsoft.com/office/drawing/2014/main" id="{00000000-0008-0000-0200-0000870F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3976" name="Line 31">
          <a:extLst>
            <a:ext uri="{FF2B5EF4-FFF2-40B4-BE49-F238E27FC236}">
              <a16:creationId xmlns:a16="http://schemas.microsoft.com/office/drawing/2014/main" id="{00000000-0008-0000-0200-000088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3977" name="Line 32">
          <a:extLst>
            <a:ext uri="{FF2B5EF4-FFF2-40B4-BE49-F238E27FC236}">
              <a16:creationId xmlns:a16="http://schemas.microsoft.com/office/drawing/2014/main" id="{00000000-0008-0000-0200-000089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3978" name="Line 33">
          <a:extLst>
            <a:ext uri="{FF2B5EF4-FFF2-40B4-BE49-F238E27FC236}">
              <a16:creationId xmlns:a16="http://schemas.microsoft.com/office/drawing/2014/main" id="{00000000-0008-0000-0200-00008A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3979" name="Line 34">
          <a:extLst>
            <a:ext uri="{FF2B5EF4-FFF2-40B4-BE49-F238E27FC236}">
              <a16:creationId xmlns:a16="http://schemas.microsoft.com/office/drawing/2014/main" id="{00000000-0008-0000-0200-00008B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3980" name="Line 35">
          <a:extLst>
            <a:ext uri="{FF2B5EF4-FFF2-40B4-BE49-F238E27FC236}">
              <a16:creationId xmlns:a16="http://schemas.microsoft.com/office/drawing/2014/main" id="{00000000-0008-0000-0200-00008C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3981" name="Line 36">
          <a:extLst>
            <a:ext uri="{FF2B5EF4-FFF2-40B4-BE49-F238E27FC236}">
              <a16:creationId xmlns:a16="http://schemas.microsoft.com/office/drawing/2014/main" id="{00000000-0008-0000-0200-00008D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3982" name="Line 37">
          <a:extLst>
            <a:ext uri="{FF2B5EF4-FFF2-40B4-BE49-F238E27FC236}">
              <a16:creationId xmlns:a16="http://schemas.microsoft.com/office/drawing/2014/main" id="{00000000-0008-0000-0200-00008E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3983" name="Line 38">
          <a:extLst>
            <a:ext uri="{FF2B5EF4-FFF2-40B4-BE49-F238E27FC236}">
              <a16:creationId xmlns:a16="http://schemas.microsoft.com/office/drawing/2014/main" id="{00000000-0008-0000-0200-00008F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3984" name="Line 39">
          <a:extLst>
            <a:ext uri="{FF2B5EF4-FFF2-40B4-BE49-F238E27FC236}">
              <a16:creationId xmlns:a16="http://schemas.microsoft.com/office/drawing/2014/main" id="{00000000-0008-0000-0200-000090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3985" name="Line 40">
          <a:extLst>
            <a:ext uri="{FF2B5EF4-FFF2-40B4-BE49-F238E27FC236}">
              <a16:creationId xmlns:a16="http://schemas.microsoft.com/office/drawing/2014/main" id="{00000000-0008-0000-0200-000091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3986" name="Line 41">
          <a:extLst>
            <a:ext uri="{FF2B5EF4-FFF2-40B4-BE49-F238E27FC236}">
              <a16:creationId xmlns:a16="http://schemas.microsoft.com/office/drawing/2014/main" id="{00000000-0008-0000-0200-000092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3987" name="Rectangle 42">
          <a:extLst>
            <a:ext uri="{FF2B5EF4-FFF2-40B4-BE49-F238E27FC236}">
              <a16:creationId xmlns:a16="http://schemas.microsoft.com/office/drawing/2014/main" id="{00000000-0008-0000-0200-000093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88" name="Line 43">
          <a:extLst>
            <a:ext uri="{FF2B5EF4-FFF2-40B4-BE49-F238E27FC236}">
              <a16:creationId xmlns:a16="http://schemas.microsoft.com/office/drawing/2014/main" id="{00000000-0008-0000-0200-000094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3989" name="Line 44">
          <a:extLst>
            <a:ext uri="{FF2B5EF4-FFF2-40B4-BE49-F238E27FC236}">
              <a16:creationId xmlns:a16="http://schemas.microsoft.com/office/drawing/2014/main" id="{00000000-0008-0000-0200-000095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3990" name="Line 45">
          <a:extLst>
            <a:ext uri="{FF2B5EF4-FFF2-40B4-BE49-F238E27FC236}">
              <a16:creationId xmlns:a16="http://schemas.microsoft.com/office/drawing/2014/main" id="{00000000-0008-0000-0200-000096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3991" name="Line 46">
          <a:extLst>
            <a:ext uri="{FF2B5EF4-FFF2-40B4-BE49-F238E27FC236}">
              <a16:creationId xmlns:a16="http://schemas.microsoft.com/office/drawing/2014/main" id="{00000000-0008-0000-0200-000097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3992" name="Line 47">
          <a:extLst>
            <a:ext uri="{FF2B5EF4-FFF2-40B4-BE49-F238E27FC236}">
              <a16:creationId xmlns:a16="http://schemas.microsoft.com/office/drawing/2014/main" id="{00000000-0008-0000-0200-000098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3993" name="Line 48">
          <a:extLst>
            <a:ext uri="{FF2B5EF4-FFF2-40B4-BE49-F238E27FC236}">
              <a16:creationId xmlns:a16="http://schemas.microsoft.com/office/drawing/2014/main" id="{00000000-0008-0000-0200-000099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3994" name="Line 49">
          <a:extLst>
            <a:ext uri="{FF2B5EF4-FFF2-40B4-BE49-F238E27FC236}">
              <a16:creationId xmlns:a16="http://schemas.microsoft.com/office/drawing/2014/main" id="{00000000-0008-0000-0200-00009A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3995" name="Line 50">
          <a:extLst>
            <a:ext uri="{FF2B5EF4-FFF2-40B4-BE49-F238E27FC236}">
              <a16:creationId xmlns:a16="http://schemas.microsoft.com/office/drawing/2014/main" id="{00000000-0008-0000-0200-00009B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3996" name="Line 51">
          <a:extLst>
            <a:ext uri="{FF2B5EF4-FFF2-40B4-BE49-F238E27FC236}">
              <a16:creationId xmlns:a16="http://schemas.microsoft.com/office/drawing/2014/main" id="{00000000-0008-0000-0200-00009C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3997" name="Line 52">
          <a:extLst>
            <a:ext uri="{FF2B5EF4-FFF2-40B4-BE49-F238E27FC236}">
              <a16:creationId xmlns:a16="http://schemas.microsoft.com/office/drawing/2014/main" id="{00000000-0008-0000-0200-00009D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3998" name="Line 53">
          <a:extLst>
            <a:ext uri="{FF2B5EF4-FFF2-40B4-BE49-F238E27FC236}">
              <a16:creationId xmlns:a16="http://schemas.microsoft.com/office/drawing/2014/main" id="{00000000-0008-0000-0200-00009E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3999" name="Line 54">
          <a:extLst>
            <a:ext uri="{FF2B5EF4-FFF2-40B4-BE49-F238E27FC236}">
              <a16:creationId xmlns:a16="http://schemas.microsoft.com/office/drawing/2014/main" id="{00000000-0008-0000-0200-00009F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000" name="Line 55">
          <a:extLst>
            <a:ext uri="{FF2B5EF4-FFF2-40B4-BE49-F238E27FC236}">
              <a16:creationId xmlns:a16="http://schemas.microsoft.com/office/drawing/2014/main" id="{00000000-0008-0000-0200-0000A0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001" name="Line 56">
          <a:extLst>
            <a:ext uri="{FF2B5EF4-FFF2-40B4-BE49-F238E27FC236}">
              <a16:creationId xmlns:a16="http://schemas.microsoft.com/office/drawing/2014/main" id="{00000000-0008-0000-0200-0000A1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002" name="Rectangle 57">
          <a:extLst>
            <a:ext uri="{FF2B5EF4-FFF2-40B4-BE49-F238E27FC236}">
              <a16:creationId xmlns:a16="http://schemas.microsoft.com/office/drawing/2014/main" id="{00000000-0008-0000-0200-0000A2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003" name="Line 58">
          <a:extLst>
            <a:ext uri="{FF2B5EF4-FFF2-40B4-BE49-F238E27FC236}">
              <a16:creationId xmlns:a16="http://schemas.microsoft.com/office/drawing/2014/main" id="{00000000-0008-0000-0200-0000A3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004" name="Line 59">
          <a:extLst>
            <a:ext uri="{FF2B5EF4-FFF2-40B4-BE49-F238E27FC236}">
              <a16:creationId xmlns:a16="http://schemas.microsoft.com/office/drawing/2014/main" id="{00000000-0008-0000-0200-0000A4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005" name="Line 60">
          <a:extLst>
            <a:ext uri="{FF2B5EF4-FFF2-40B4-BE49-F238E27FC236}">
              <a16:creationId xmlns:a16="http://schemas.microsoft.com/office/drawing/2014/main" id="{00000000-0008-0000-0200-0000A5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006" name="Line 61">
          <a:extLst>
            <a:ext uri="{FF2B5EF4-FFF2-40B4-BE49-F238E27FC236}">
              <a16:creationId xmlns:a16="http://schemas.microsoft.com/office/drawing/2014/main" id="{00000000-0008-0000-0200-0000A6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007" name="Line 62">
          <a:extLst>
            <a:ext uri="{FF2B5EF4-FFF2-40B4-BE49-F238E27FC236}">
              <a16:creationId xmlns:a16="http://schemas.microsoft.com/office/drawing/2014/main" id="{00000000-0008-0000-0200-0000A7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008" name="Line 63">
          <a:extLst>
            <a:ext uri="{FF2B5EF4-FFF2-40B4-BE49-F238E27FC236}">
              <a16:creationId xmlns:a16="http://schemas.microsoft.com/office/drawing/2014/main" id="{00000000-0008-0000-0200-0000A8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009" name="Line 64">
          <a:extLst>
            <a:ext uri="{FF2B5EF4-FFF2-40B4-BE49-F238E27FC236}">
              <a16:creationId xmlns:a16="http://schemas.microsoft.com/office/drawing/2014/main" id="{00000000-0008-0000-0200-0000A9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010" name="Line 65">
          <a:extLst>
            <a:ext uri="{FF2B5EF4-FFF2-40B4-BE49-F238E27FC236}">
              <a16:creationId xmlns:a16="http://schemas.microsoft.com/office/drawing/2014/main" id="{00000000-0008-0000-0200-0000AA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011" name="Line 66">
          <a:extLst>
            <a:ext uri="{FF2B5EF4-FFF2-40B4-BE49-F238E27FC236}">
              <a16:creationId xmlns:a16="http://schemas.microsoft.com/office/drawing/2014/main" id="{00000000-0008-0000-0200-0000AB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012" name="Line 67">
          <a:extLst>
            <a:ext uri="{FF2B5EF4-FFF2-40B4-BE49-F238E27FC236}">
              <a16:creationId xmlns:a16="http://schemas.microsoft.com/office/drawing/2014/main" id="{00000000-0008-0000-0200-0000AC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013" name="Line 68">
          <a:extLst>
            <a:ext uri="{FF2B5EF4-FFF2-40B4-BE49-F238E27FC236}">
              <a16:creationId xmlns:a16="http://schemas.microsoft.com/office/drawing/2014/main" id="{00000000-0008-0000-0200-0000AD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014" name="Line 1">
          <a:extLst>
            <a:ext uri="{FF2B5EF4-FFF2-40B4-BE49-F238E27FC236}">
              <a16:creationId xmlns:a16="http://schemas.microsoft.com/office/drawing/2014/main" id="{00000000-0008-0000-0200-0000AE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015" name="Drawing 16">
          <a:extLst>
            <a:ext uri="{FF2B5EF4-FFF2-40B4-BE49-F238E27FC236}">
              <a16:creationId xmlns:a16="http://schemas.microsoft.com/office/drawing/2014/main" id="{00000000-0008-0000-0200-0000AF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016" name="Line 3">
          <a:extLst>
            <a:ext uri="{FF2B5EF4-FFF2-40B4-BE49-F238E27FC236}">
              <a16:creationId xmlns:a16="http://schemas.microsoft.com/office/drawing/2014/main" id="{00000000-0008-0000-0200-0000B0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017" name="Line 4">
          <a:extLst>
            <a:ext uri="{FF2B5EF4-FFF2-40B4-BE49-F238E27FC236}">
              <a16:creationId xmlns:a16="http://schemas.microsoft.com/office/drawing/2014/main" id="{00000000-0008-0000-0200-0000B1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018" name="Line 5">
          <a:extLst>
            <a:ext uri="{FF2B5EF4-FFF2-40B4-BE49-F238E27FC236}">
              <a16:creationId xmlns:a16="http://schemas.microsoft.com/office/drawing/2014/main" id="{00000000-0008-0000-0200-0000B2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019" name="Line 6">
          <a:extLst>
            <a:ext uri="{FF2B5EF4-FFF2-40B4-BE49-F238E27FC236}">
              <a16:creationId xmlns:a16="http://schemas.microsoft.com/office/drawing/2014/main" id="{00000000-0008-0000-0200-0000B3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020" name="Line 7">
          <a:extLst>
            <a:ext uri="{FF2B5EF4-FFF2-40B4-BE49-F238E27FC236}">
              <a16:creationId xmlns:a16="http://schemas.microsoft.com/office/drawing/2014/main" id="{00000000-0008-0000-0200-0000B4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021" name="Line 8">
          <a:extLst>
            <a:ext uri="{FF2B5EF4-FFF2-40B4-BE49-F238E27FC236}">
              <a16:creationId xmlns:a16="http://schemas.microsoft.com/office/drawing/2014/main" id="{00000000-0008-0000-0200-0000B5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022" name="Line 9">
          <a:extLst>
            <a:ext uri="{FF2B5EF4-FFF2-40B4-BE49-F238E27FC236}">
              <a16:creationId xmlns:a16="http://schemas.microsoft.com/office/drawing/2014/main" id="{00000000-0008-0000-0200-0000B6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023" name="Line 10">
          <a:extLst>
            <a:ext uri="{FF2B5EF4-FFF2-40B4-BE49-F238E27FC236}">
              <a16:creationId xmlns:a16="http://schemas.microsoft.com/office/drawing/2014/main" id="{00000000-0008-0000-0200-0000B7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024" name="Line 11">
          <a:extLst>
            <a:ext uri="{FF2B5EF4-FFF2-40B4-BE49-F238E27FC236}">
              <a16:creationId xmlns:a16="http://schemas.microsoft.com/office/drawing/2014/main" id="{00000000-0008-0000-0200-0000B8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025" name="Line 12">
          <a:extLst>
            <a:ext uri="{FF2B5EF4-FFF2-40B4-BE49-F238E27FC236}">
              <a16:creationId xmlns:a16="http://schemas.microsoft.com/office/drawing/2014/main" id="{00000000-0008-0000-0200-0000B9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026" name="Line 13">
          <a:extLst>
            <a:ext uri="{FF2B5EF4-FFF2-40B4-BE49-F238E27FC236}">
              <a16:creationId xmlns:a16="http://schemas.microsoft.com/office/drawing/2014/main" id="{00000000-0008-0000-0200-0000BA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27" name="Line 14">
          <a:extLst>
            <a:ext uri="{FF2B5EF4-FFF2-40B4-BE49-F238E27FC236}">
              <a16:creationId xmlns:a16="http://schemas.microsoft.com/office/drawing/2014/main" id="{00000000-0008-0000-0200-0000BB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028" name="Line 15">
          <a:extLst>
            <a:ext uri="{FF2B5EF4-FFF2-40B4-BE49-F238E27FC236}">
              <a16:creationId xmlns:a16="http://schemas.microsoft.com/office/drawing/2014/main" id="{00000000-0008-0000-0200-0000BC0F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29" name="Line 16">
          <a:extLst>
            <a:ext uri="{FF2B5EF4-FFF2-40B4-BE49-F238E27FC236}">
              <a16:creationId xmlns:a16="http://schemas.microsoft.com/office/drawing/2014/main" id="{00000000-0008-0000-0200-0000BD0F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030" name="Line 17">
          <a:extLst>
            <a:ext uri="{FF2B5EF4-FFF2-40B4-BE49-F238E27FC236}">
              <a16:creationId xmlns:a16="http://schemas.microsoft.com/office/drawing/2014/main" id="{00000000-0008-0000-0200-0000BE0F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031" name="Line 18">
          <a:extLst>
            <a:ext uri="{FF2B5EF4-FFF2-40B4-BE49-F238E27FC236}">
              <a16:creationId xmlns:a16="http://schemas.microsoft.com/office/drawing/2014/main" id="{00000000-0008-0000-0200-0000BF0F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032" name="Line 19">
          <a:extLst>
            <a:ext uri="{FF2B5EF4-FFF2-40B4-BE49-F238E27FC236}">
              <a16:creationId xmlns:a16="http://schemas.microsoft.com/office/drawing/2014/main" id="{00000000-0008-0000-0200-0000C00F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033" name="Line 20">
          <a:extLst>
            <a:ext uri="{FF2B5EF4-FFF2-40B4-BE49-F238E27FC236}">
              <a16:creationId xmlns:a16="http://schemas.microsoft.com/office/drawing/2014/main" id="{00000000-0008-0000-0200-0000C10F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034" name="Line 21">
          <a:extLst>
            <a:ext uri="{FF2B5EF4-FFF2-40B4-BE49-F238E27FC236}">
              <a16:creationId xmlns:a16="http://schemas.microsoft.com/office/drawing/2014/main" id="{00000000-0008-0000-0200-0000C20F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035" name="Line 22">
          <a:extLst>
            <a:ext uri="{FF2B5EF4-FFF2-40B4-BE49-F238E27FC236}">
              <a16:creationId xmlns:a16="http://schemas.microsoft.com/office/drawing/2014/main" id="{00000000-0008-0000-0200-0000C30F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036" name="Line 23">
          <a:extLst>
            <a:ext uri="{FF2B5EF4-FFF2-40B4-BE49-F238E27FC236}">
              <a16:creationId xmlns:a16="http://schemas.microsoft.com/office/drawing/2014/main" id="{00000000-0008-0000-0200-0000C40F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037" name="Line 24">
          <a:extLst>
            <a:ext uri="{FF2B5EF4-FFF2-40B4-BE49-F238E27FC236}">
              <a16:creationId xmlns:a16="http://schemas.microsoft.com/office/drawing/2014/main" id="{00000000-0008-0000-0200-0000C50F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038" name="Line 25">
          <a:extLst>
            <a:ext uri="{FF2B5EF4-FFF2-40B4-BE49-F238E27FC236}">
              <a16:creationId xmlns:a16="http://schemas.microsoft.com/office/drawing/2014/main" id="{00000000-0008-0000-0200-0000C60F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039" name="Line 26">
          <a:extLst>
            <a:ext uri="{FF2B5EF4-FFF2-40B4-BE49-F238E27FC236}">
              <a16:creationId xmlns:a16="http://schemas.microsoft.com/office/drawing/2014/main" id="{00000000-0008-0000-0200-0000C70F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040" name="Line 27">
          <a:extLst>
            <a:ext uri="{FF2B5EF4-FFF2-40B4-BE49-F238E27FC236}">
              <a16:creationId xmlns:a16="http://schemas.microsoft.com/office/drawing/2014/main" id="{00000000-0008-0000-0200-0000C80F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041" name="Line 28">
          <a:extLst>
            <a:ext uri="{FF2B5EF4-FFF2-40B4-BE49-F238E27FC236}">
              <a16:creationId xmlns:a16="http://schemas.microsoft.com/office/drawing/2014/main" id="{00000000-0008-0000-0200-0000C90F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042" name="Line 29">
          <a:extLst>
            <a:ext uri="{FF2B5EF4-FFF2-40B4-BE49-F238E27FC236}">
              <a16:creationId xmlns:a16="http://schemas.microsoft.com/office/drawing/2014/main" id="{00000000-0008-0000-0200-0000CA0F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043" name="Line 30">
          <a:extLst>
            <a:ext uri="{FF2B5EF4-FFF2-40B4-BE49-F238E27FC236}">
              <a16:creationId xmlns:a16="http://schemas.microsoft.com/office/drawing/2014/main" id="{00000000-0008-0000-0200-0000CB0F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044" name="Line 31">
          <a:extLst>
            <a:ext uri="{FF2B5EF4-FFF2-40B4-BE49-F238E27FC236}">
              <a16:creationId xmlns:a16="http://schemas.microsoft.com/office/drawing/2014/main" id="{00000000-0008-0000-0200-0000CC0F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045" name="Line 32">
          <a:extLst>
            <a:ext uri="{FF2B5EF4-FFF2-40B4-BE49-F238E27FC236}">
              <a16:creationId xmlns:a16="http://schemas.microsoft.com/office/drawing/2014/main" id="{00000000-0008-0000-0200-0000CD0F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046" name="Line 33">
          <a:extLst>
            <a:ext uri="{FF2B5EF4-FFF2-40B4-BE49-F238E27FC236}">
              <a16:creationId xmlns:a16="http://schemas.microsoft.com/office/drawing/2014/main" id="{00000000-0008-0000-0200-0000CE0F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047" name="Line 34">
          <a:extLst>
            <a:ext uri="{FF2B5EF4-FFF2-40B4-BE49-F238E27FC236}">
              <a16:creationId xmlns:a16="http://schemas.microsoft.com/office/drawing/2014/main" id="{00000000-0008-0000-0200-0000CF0F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048" name="Line 35">
          <a:extLst>
            <a:ext uri="{FF2B5EF4-FFF2-40B4-BE49-F238E27FC236}">
              <a16:creationId xmlns:a16="http://schemas.microsoft.com/office/drawing/2014/main" id="{00000000-0008-0000-0200-0000D00F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049" name="Line 36">
          <a:extLst>
            <a:ext uri="{FF2B5EF4-FFF2-40B4-BE49-F238E27FC236}">
              <a16:creationId xmlns:a16="http://schemas.microsoft.com/office/drawing/2014/main" id="{00000000-0008-0000-0200-0000D10F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050" name="Line 37">
          <a:extLst>
            <a:ext uri="{FF2B5EF4-FFF2-40B4-BE49-F238E27FC236}">
              <a16:creationId xmlns:a16="http://schemas.microsoft.com/office/drawing/2014/main" id="{00000000-0008-0000-0200-0000D20F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051" name="Line 38">
          <a:extLst>
            <a:ext uri="{FF2B5EF4-FFF2-40B4-BE49-F238E27FC236}">
              <a16:creationId xmlns:a16="http://schemas.microsoft.com/office/drawing/2014/main" id="{00000000-0008-0000-0200-0000D30F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052" name="Line 39">
          <a:extLst>
            <a:ext uri="{FF2B5EF4-FFF2-40B4-BE49-F238E27FC236}">
              <a16:creationId xmlns:a16="http://schemas.microsoft.com/office/drawing/2014/main" id="{00000000-0008-0000-0200-0000D40F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053" name="Line 40">
          <a:extLst>
            <a:ext uri="{FF2B5EF4-FFF2-40B4-BE49-F238E27FC236}">
              <a16:creationId xmlns:a16="http://schemas.microsoft.com/office/drawing/2014/main" id="{00000000-0008-0000-0200-0000D50F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054" name="Line 41">
          <a:extLst>
            <a:ext uri="{FF2B5EF4-FFF2-40B4-BE49-F238E27FC236}">
              <a16:creationId xmlns:a16="http://schemas.microsoft.com/office/drawing/2014/main" id="{00000000-0008-0000-0200-0000D60F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055" name="Rectangle 42">
          <a:extLst>
            <a:ext uri="{FF2B5EF4-FFF2-40B4-BE49-F238E27FC236}">
              <a16:creationId xmlns:a16="http://schemas.microsoft.com/office/drawing/2014/main" id="{00000000-0008-0000-0200-0000D70F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056" name="Line 43">
          <a:extLst>
            <a:ext uri="{FF2B5EF4-FFF2-40B4-BE49-F238E27FC236}">
              <a16:creationId xmlns:a16="http://schemas.microsoft.com/office/drawing/2014/main" id="{00000000-0008-0000-0200-0000D80F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057" name="Line 44">
          <a:extLst>
            <a:ext uri="{FF2B5EF4-FFF2-40B4-BE49-F238E27FC236}">
              <a16:creationId xmlns:a16="http://schemas.microsoft.com/office/drawing/2014/main" id="{00000000-0008-0000-0200-0000D9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058" name="Line 45">
          <a:extLst>
            <a:ext uri="{FF2B5EF4-FFF2-40B4-BE49-F238E27FC236}">
              <a16:creationId xmlns:a16="http://schemas.microsoft.com/office/drawing/2014/main" id="{00000000-0008-0000-0200-0000DA0F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059" name="Line 46">
          <a:extLst>
            <a:ext uri="{FF2B5EF4-FFF2-40B4-BE49-F238E27FC236}">
              <a16:creationId xmlns:a16="http://schemas.microsoft.com/office/drawing/2014/main" id="{00000000-0008-0000-0200-0000DB0F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060" name="Line 47">
          <a:extLst>
            <a:ext uri="{FF2B5EF4-FFF2-40B4-BE49-F238E27FC236}">
              <a16:creationId xmlns:a16="http://schemas.microsoft.com/office/drawing/2014/main" id="{00000000-0008-0000-0200-0000DC0F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061" name="Line 48">
          <a:extLst>
            <a:ext uri="{FF2B5EF4-FFF2-40B4-BE49-F238E27FC236}">
              <a16:creationId xmlns:a16="http://schemas.microsoft.com/office/drawing/2014/main" id="{00000000-0008-0000-0200-0000DD0F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062" name="Line 49">
          <a:extLst>
            <a:ext uri="{FF2B5EF4-FFF2-40B4-BE49-F238E27FC236}">
              <a16:creationId xmlns:a16="http://schemas.microsoft.com/office/drawing/2014/main" id="{00000000-0008-0000-0200-0000DE0F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063" name="Line 50">
          <a:extLst>
            <a:ext uri="{FF2B5EF4-FFF2-40B4-BE49-F238E27FC236}">
              <a16:creationId xmlns:a16="http://schemas.microsoft.com/office/drawing/2014/main" id="{00000000-0008-0000-0200-0000DF0F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064" name="Line 51">
          <a:extLst>
            <a:ext uri="{FF2B5EF4-FFF2-40B4-BE49-F238E27FC236}">
              <a16:creationId xmlns:a16="http://schemas.microsoft.com/office/drawing/2014/main" id="{00000000-0008-0000-0200-0000E00F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065" name="Line 52">
          <a:extLst>
            <a:ext uri="{FF2B5EF4-FFF2-40B4-BE49-F238E27FC236}">
              <a16:creationId xmlns:a16="http://schemas.microsoft.com/office/drawing/2014/main" id="{00000000-0008-0000-0200-0000E10F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066" name="Line 53">
          <a:extLst>
            <a:ext uri="{FF2B5EF4-FFF2-40B4-BE49-F238E27FC236}">
              <a16:creationId xmlns:a16="http://schemas.microsoft.com/office/drawing/2014/main" id="{00000000-0008-0000-0200-0000E20F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067" name="Line 54">
          <a:extLst>
            <a:ext uri="{FF2B5EF4-FFF2-40B4-BE49-F238E27FC236}">
              <a16:creationId xmlns:a16="http://schemas.microsoft.com/office/drawing/2014/main" id="{00000000-0008-0000-0200-0000E30F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068" name="Line 55">
          <a:extLst>
            <a:ext uri="{FF2B5EF4-FFF2-40B4-BE49-F238E27FC236}">
              <a16:creationId xmlns:a16="http://schemas.microsoft.com/office/drawing/2014/main" id="{00000000-0008-0000-0200-0000E40F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069" name="Line 56">
          <a:extLst>
            <a:ext uri="{FF2B5EF4-FFF2-40B4-BE49-F238E27FC236}">
              <a16:creationId xmlns:a16="http://schemas.microsoft.com/office/drawing/2014/main" id="{00000000-0008-0000-0200-0000E50F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070" name="Rectangle 57">
          <a:extLst>
            <a:ext uri="{FF2B5EF4-FFF2-40B4-BE49-F238E27FC236}">
              <a16:creationId xmlns:a16="http://schemas.microsoft.com/office/drawing/2014/main" id="{00000000-0008-0000-0200-0000E60F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071" name="Line 58">
          <a:extLst>
            <a:ext uri="{FF2B5EF4-FFF2-40B4-BE49-F238E27FC236}">
              <a16:creationId xmlns:a16="http://schemas.microsoft.com/office/drawing/2014/main" id="{00000000-0008-0000-0200-0000E70F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072" name="Line 59">
          <a:extLst>
            <a:ext uri="{FF2B5EF4-FFF2-40B4-BE49-F238E27FC236}">
              <a16:creationId xmlns:a16="http://schemas.microsoft.com/office/drawing/2014/main" id="{00000000-0008-0000-0200-0000E80F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073" name="Line 60">
          <a:extLst>
            <a:ext uri="{FF2B5EF4-FFF2-40B4-BE49-F238E27FC236}">
              <a16:creationId xmlns:a16="http://schemas.microsoft.com/office/drawing/2014/main" id="{00000000-0008-0000-0200-0000E90F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074" name="Line 61">
          <a:extLst>
            <a:ext uri="{FF2B5EF4-FFF2-40B4-BE49-F238E27FC236}">
              <a16:creationId xmlns:a16="http://schemas.microsoft.com/office/drawing/2014/main" id="{00000000-0008-0000-0200-0000EA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075" name="Line 62">
          <a:extLst>
            <a:ext uri="{FF2B5EF4-FFF2-40B4-BE49-F238E27FC236}">
              <a16:creationId xmlns:a16="http://schemas.microsoft.com/office/drawing/2014/main" id="{00000000-0008-0000-0200-0000EB0F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076" name="Line 63">
          <a:extLst>
            <a:ext uri="{FF2B5EF4-FFF2-40B4-BE49-F238E27FC236}">
              <a16:creationId xmlns:a16="http://schemas.microsoft.com/office/drawing/2014/main" id="{00000000-0008-0000-0200-0000EC0F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077" name="Line 64">
          <a:extLst>
            <a:ext uri="{FF2B5EF4-FFF2-40B4-BE49-F238E27FC236}">
              <a16:creationId xmlns:a16="http://schemas.microsoft.com/office/drawing/2014/main" id="{00000000-0008-0000-0200-0000ED0F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078" name="Line 65">
          <a:extLst>
            <a:ext uri="{FF2B5EF4-FFF2-40B4-BE49-F238E27FC236}">
              <a16:creationId xmlns:a16="http://schemas.microsoft.com/office/drawing/2014/main" id="{00000000-0008-0000-0200-0000EE0F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079" name="Line 66">
          <a:extLst>
            <a:ext uri="{FF2B5EF4-FFF2-40B4-BE49-F238E27FC236}">
              <a16:creationId xmlns:a16="http://schemas.microsoft.com/office/drawing/2014/main" id="{00000000-0008-0000-0200-0000EF0F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080" name="Line 67">
          <a:extLst>
            <a:ext uri="{FF2B5EF4-FFF2-40B4-BE49-F238E27FC236}">
              <a16:creationId xmlns:a16="http://schemas.microsoft.com/office/drawing/2014/main" id="{00000000-0008-0000-0200-0000F00F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081" name="Line 68">
          <a:extLst>
            <a:ext uri="{FF2B5EF4-FFF2-40B4-BE49-F238E27FC236}">
              <a16:creationId xmlns:a16="http://schemas.microsoft.com/office/drawing/2014/main" id="{00000000-0008-0000-0200-0000F10F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082" name="Line 1">
          <a:extLst>
            <a:ext uri="{FF2B5EF4-FFF2-40B4-BE49-F238E27FC236}">
              <a16:creationId xmlns:a16="http://schemas.microsoft.com/office/drawing/2014/main" id="{00000000-0008-0000-0200-0000F20F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083" name="Drawing 16">
          <a:extLst>
            <a:ext uri="{FF2B5EF4-FFF2-40B4-BE49-F238E27FC236}">
              <a16:creationId xmlns:a16="http://schemas.microsoft.com/office/drawing/2014/main" id="{00000000-0008-0000-0200-0000F30F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084" name="Line 3">
          <a:extLst>
            <a:ext uri="{FF2B5EF4-FFF2-40B4-BE49-F238E27FC236}">
              <a16:creationId xmlns:a16="http://schemas.microsoft.com/office/drawing/2014/main" id="{00000000-0008-0000-0200-0000F40F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085" name="Line 4">
          <a:extLst>
            <a:ext uri="{FF2B5EF4-FFF2-40B4-BE49-F238E27FC236}">
              <a16:creationId xmlns:a16="http://schemas.microsoft.com/office/drawing/2014/main" id="{00000000-0008-0000-0200-0000F50F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086" name="Line 5">
          <a:extLst>
            <a:ext uri="{FF2B5EF4-FFF2-40B4-BE49-F238E27FC236}">
              <a16:creationId xmlns:a16="http://schemas.microsoft.com/office/drawing/2014/main" id="{00000000-0008-0000-0200-0000F60F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087" name="Line 6">
          <a:extLst>
            <a:ext uri="{FF2B5EF4-FFF2-40B4-BE49-F238E27FC236}">
              <a16:creationId xmlns:a16="http://schemas.microsoft.com/office/drawing/2014/main" id="{00000000-0008-0000-0200-0000F70F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088" name="Line 7">
          <a:extLst>
            <a:ext uri="{FF2B5EF4-FFF2-40B4-BE49-F238E27FC236}">
              <a16:creationId xmlns:a16="http://schemas.microsoft.com/office/drawing/2014/main" id="{00000000-0008-0000-0200-0000F80F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089" name="Line 8">
          <a:extLst>
            <a:ext uri="{FF2B5EF4-FFF2-40B4-BE49-F238E27FC236}">
              <a16:creationId xmlns:a16="http://schemas.microsoft.com/office/drawing/2014/main" id="{00000000-0008-0000-0200-0000F90F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090" name="Line 9">
          <a:extLst>
            <a:ext uri="{FF2B5EF4-FFF2-40B4-BE49-F238E27FC236}">
              <a16:creationId xmlns:a16="http://schemas.microsoft.com/office/drawing/2014/main" id="{00000000-0008-0000-0200-0000FA0F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091" name="Line 10">
          <a:extLst>
            <a:ext uri="{FF2B5EF4-FFF2-40B4-BE49-F238E27FC236}">
              <a16:creationId xmlns:a16="http://schemas.microsoft.com/office/drawing/2014/main" id="{00000000-0008-0000-0200-0000FB0F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092" name="Line 11">
          <a:extLst>
            <a:ext uri="{FF2B5EF4-FFF2-40B4-BE49-F238E27FC236}">
              <a16:creationId xmlns:a16="http://schemas.microsoft.com/office/drawing/2014/main" id="{00000000-0008-0000-0200-0000FC0F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093" name="Line 12">
          <a:extLst>
            <a:ext uri="{FF2B5EF4-FFF2-40B4-BE49-F238E27FC236}">
              <a16:creationId xmlns:a16="http://schemas.microsoft.com/office/drawing/2014/main" id="{00000000-0008-0000-0200-0000FD0F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094" name="Line 13">
          <a:extLst>
            <a:ext uri="{FF2B5EF4-FFF2-40B4-BE49-F238E27FC236}">
              <a16:creationId xmlns:a16="http://schemas.microsoft.com/office/drawing/2014/main" id="{00000000-0008-0000-0200-0000FE0F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95" name="Line 14">
          <a:extLst>
            <a:ext uri="{FF2B5EF4-FFF2-40B4-BE49-F238E27FC236}">
              <a16:creationId xmlns:a16="http://schemas.microsoft.com/office/drawing/2014/main" id="{00000000-0008-0000-0200-0000FF0F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096" name="Line 15">
          <a:extLst>
            <a:ext uri="{FF2B5EF4-FFF2-40B4-BE49-F238E27FC236}">
              <a16:creationId xmlns:a16="http://schemas.microsoft.com/office/drawing/2014/main" id="{00000000-0008-0000-0200-000000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097" name="Line 16">
          <a:extLst>
            <a:ext uri="{FF2B5EF4-FFF2-40B4-BE49-F238E27FC236}">
              <a16:creationId xmlns:a16="http://schemas.microsoft.com/office/drawing/2014/main" id="{00000000-0008-0000-0200-000001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098" name="Line 17">
          <a:extLst>
            <a:ext uri="{FF2B5EF4-FFF2-40B4-BE49-F238E27FC236}">
              <a16:creationId xmlns:a16="http://schemas.microsoft.com/office/drawing/2014/main" id="{00000000-0008-0000-0200-000002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099" name="Line 18">
          <a:extLst>
            <a:ext uri="{FF2B5EF4-FFF2-40B4-BE49-F238E27FC236}">
              <a16:creationId xmlns:a16="http://schemas.microsoft.com/office/drawing/2014/main" id="{00000000-0008-0000-0200-000003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100" name="Line 19">
          <a:extLst>
            <a:ext uri="{FF2B5EF4-FFF2-40B4-BE49-F238E27FC236}">
              <a16:creationId xmlns:a16="http://schemas.microsoft.com/office/drawing/2014/main" id="{00000000-0008-0000-0200-000004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101" name="Line 20">
          <a:extLst>
            <a:ext uri="{FF2B5EF4-FFF2-40B4-BE49-F238E27FC236}">
              <a16:creationId xmlns:a16="http://schemas.microsoft.com/office/drawing/2014/main" id="{00000000-0008-0000-0200-000005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102" name="Line 21">
          <a:extLst>
            <a:ext uri="{FF2B5EF4-FFF2-40B4-BE49-F238E27FC236}">
              <a16:creationId xmlns:a16="http://schemas.microsoft.com/office/drawing/2014/main" id="{00000000-0008-0000-0200-000006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103" name="Line 22">
          <a:extLst>
            <a:ext uri="{FF2B5EF4-FFF2-40B4-BE49-F238E27FC236}">
              <a16:creationId xmlns:a16="http://schemas.microsoft.com/office/drawing/2014/main" id="{00000000-0008-0000-0200-000007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104" name="Line 23">
          <a:extLst>
            <a:ext uri="{FF2B5EF4-FFF2-40B4-BE49-F238E27FC236}">
              <a16:creationId xmlns:a16="http://schemas.microsoft.com/office/drawing/2014/main" id="{00000000-0008-0000-0200-000008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105" name="Line 24">
          <a:extLst>
            <a:ext uri="{FF2B5EF4-FFF2-40B4-BE49-F238E27FC236}">
              <a16:creationId xmlns:a16="http://schemas.microsoft.com/office/drawing/2014/main" id="{00000000-0008-0000-0200-000009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106" name="Line 25">
          <a:extLst>
            <a:ext uri="{FF2B5EF4-FFF2-40B4-BE49-F238E27FC236}">
              <a16:creationId xmlns:a16="http://schemas.microsoft.com/office/drawing/2014/main" id="{00000000-0008-0000-0200-00000A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107" name="Line 26">
          <a:extLst>
            <a:ext uri="{FF2B5EF4-FFF2-40B4-BE49-F238E27FC236}">
              <a16:creationId xmlns:a16="http://schemas.microsoft.com/office/drawing/2014/main" id="{00000000-0008-0000-0200-00000B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108" name="Line 27">
          <a:extLst>
            <a:ext uri="{FF2B5EF4-FFF2-40B4-BE49-F238E27FC236}">
              <a16:creationId xmlns:a16="http://schemas.microsoft.com/office/drawing/2014/main" id="{00000000-0008-0000-0200-00000C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109" name="Line 28">
          <a:extLst>
            <a:ext uri="{FF2B5EF4-FFF2-40B4-BE49-F238E27FC236}">
              <a16:creationId xmlns:a16="http://schemas.microsoft.com/office/drawing/2014/main" id="{00000000-0008-0000-0200-00000D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110" name="Line 29">
          <a:extLst>
            <a:ext uri="{FF2B5EF4-FFF2-40B4-BE49-F238E27FC236}">
              <a16:creationId xmlns:a16="http://schemas.microsoft.com/office/drawing/2014/main" id="{00000000-0008-0000-0200-00000E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111" name="Line 30">
          <a:extLst>
            <a:ext uri="{FF2B5EF4-FFF2-40B4-BE49-F238E27FC236}">
              <a16:creationId xmlns:a16="http://schemas.microsoft.com/office/drawing/2014/main" id="{00000000-0008-0000-0200-00000F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112" name="Line 31">
          <a:extLst>
            <a:ext uri="{FF2B5EF4-FFF2-40B4-BE49-F238E27FC236}">
              <a16:creationId xmlns:a16="http://schemas.microsoft.com/office/drawing/2014/main" id="{00000000-0008-0000-0200-000010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113" name="Line 32">
          <a:extLst>
            <a:ext uri="{FF2B5EF4-FFF2-40B4-BE49-F238E27FC236}">
              <a16:creationId xmlns:a16="http://schemas.microsoft.com/office/drawing/2014/main" id="{00000000-0008-0000-0200-000011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114" name="Line 33">
          <a:extLst>
            <a:ext uri="{FF2B5EF4-FFF2-40B4-BE49-F238E27FC236}">
              <a16:creationId xmlns:a16="http://schemas.microsoft.com/office/drawing/2014/main" id="{00000000-0008-0000-0200-000012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115" name="Line 34">
          <a:extLst>
            <a:ext uri="{FF2B5EF4-FFF2-40B4-BE49-F238E27FC236}">
              <a16:creationId xmlns:a16="http://schemas.microsoft.com/office/drawing/2014/main" id="{00000000-0008-0000-0200-000013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116" name="Line 35">
          <a:extLst>
            <a:ext uri="{FF2B5EF4-FFF2-40B4-BE49-F238E27FC236}">
              <a16:creationId xmlns:a16="http://schemas.microsoft.com/office/drawing/2014/main" id="{00000000-0008-0000-0200-000014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117" name="Line 36">
          <a:extLst>
            <a:ext uri="{FF2B5EF4-FFF2-40B4-BE49-F238E27FC236}">
              <a16:creationId xmlns:a16="http://schemas.microsoft.com/office/drawing/2014/main" id="{00000000-0008-0000-0200-000015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118" name="Line 37">
          <a:extLst>
            <a:ext uri="{FF2B5EF4-FFF2-40B4-BE49-F238E27FC236}">
              <a16:creationId xmlns:a16="http://schemas.microsoft.com/office/drawing/2014/main" id="{00000000-0008-0000-0200-000016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119" name="Line 38">
          <a:extLst>
            <a:ext uri="{FF2B5EF4-FFF2-40B4-BE49-F238E27FC236}">
              <a16:creationId xmlns:a16="http://schemas.microsoft.com/office/drawing/2014/main" id="{00000000-0008-0000-0200-000017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120" name="Line 39">
          <a:extLst>
            <a:ext uri="{FF2B5EF4-FFF2-40B4-BE49-F238E27FC236}">
              <a16:creationId xmlns:a16="http://schemas.microsoft.com/office/drawing/2014/main" id="{00000000-0008-0000-0200-000018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121" name="Line 40">
          <a:extLst>
            <a:ext uri="{FF2B5EF4-FFF2-40B4-BE49-F238E27FC236}">
              <a16:creationId xmlns:a16="http://schemas.microsoft.com/office/drawing/2014/main" id="{00000000-0008-0000-0200-000019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122" name="Line 41">
          <a:extLst>
            <a:ext uri="{FF2B5EF4-FFF2-40B4-BE49-F238E27FC236}">
              <a16:creationId xmlns:a16="http://schemas.microsoft.com/office/drawing/2014/main" id="{00000000-0008-0000-0200-00001A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123" name="Rectangle 42">
          <a:extLst>
            <a:ext uri="{FF2B5EF4-FFF2-40B4-BE49-F238E27FC236}">
              <a16:creationId xmlns:a16="http://schemas.microsoft.com/office/drawing/2014/main" id="{00000000-0008-0000-0200-00001B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24" name="Line 43">
          <a:extLst>
            <a:ext uri="{FF2B5EF4-FFF2-40B4-BE49-F238E27FC236}">
              <a16:creationId xmlns:a16="http://schemas.microsoft.com/office/drawing/2014/main" id="{00000000-0008-0000-0200-00001C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25" name="Line 44">
          <a:extLst>
            <a:ext uri="{FF2B5EF4-FFF2-40B4-BE49-F238E27FC236}">
              <a16:creationId xmlns:a16="http://schemas.microsoft.com/office/drawing/2014/main" id="{00000000-0008-0000-0200-00001D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126" name="Line 45">
          <a:extLst>
            <a:ext uri="{FF2B5EF4-FFF2-40B4-BE49-F238E27FC236}">
              <a16:creationId xmlns:a16="http://schemas.microsoft.com/office/drawing/2014/main" id="{00000000-0008-0000-0200-00001E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127" name="Line 46">
          <a:extLst>
            <a:ext uri="{FF2B5EF4-FFF2-40B4-BE49-F238E27FC236}">
              <a16:creationId xmlns:a16="http://schemas.microsoft.com/office/drawing/2014/main" id="{00000000-0008-0000-0200-00001F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128" name="Line 47">
          <a:extLst>
            <a:ext uri="{FF2B5EF4-FFF2-40B4-BE49-F238E27FC236}">
              <a16:creationId xmlns:a16="http://schemas.microsoft.com/office/drawing/2014/main" id="{00000000-0008-0000-0200-000020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129" name="Line 48">
          <a:extLst>
            <a:ext uri="{FF2B5EF4-FFF2-40B4-BE49-F238E27FC236}">
              <a16:creationId xmlns:a16="http://schemas.microsoft.com/office/drawing/2014/main" id="{00000000-0008-0000-0200-000021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130" name="Line 49">
          <a:extLst>
            <a:ext uri="{FF2B5EF4-FFF2-40B4-BE49-F238E27FC236}">
              <a16:creationId xmlns:a16="http://schemas.microsoft.com/office/drawing/2014/main" id="{00000000-0008-0000-0200-000022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131" name="Line 50">
          <a:extLst>
            <a:ext uri="{FF2B5EF4-FFF2-40B4-BE49-F238E27FC236}">
              <a16:creationId xmlns:a16="http://schemas.microsoft.com/office/drawing/2014/main" id="{00000000-0008-0000-0200-000023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132" name="Line 51">
          <a:extLst>
            <a:ext uri="{FF2B5EF4-FFF2-40B4-BE49-F238E27FC236}">
              <a16:creationId xmlns:a16="http://schemas.microsoft.com/office/drawing/2014/main" id="{00000000-0008-0000-0200-000024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133" name="Line 52">
          <a:extLst>
            <a:ext uri="{FF2B5EF4-FFF2-40B4-BE49-F238E27FC236}">
              <a16:creationId xmlns:a16="http://schemas.microsoft.com/office/drawing/2014/main" id="{00000000-0008-0000-0200-000025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134" name="Line 53">
          <a:extLst>
            <a:ext uri="{FF2B5EF4-FFF2-40B4-BE49-F238E27FC236}">
              <a16:creationId xmlns:a16="http://schemas.microsoft.com/office/drawing/2014/main" id="{00000000-0008-0000-0200-000026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135" name="Line 54">
          <a:extLst>
            <a:ext uri="{FF2B5EF4-FFF2-40B4-BE49-F238E27FC236}">
              <a16:creationId xmlns:a16="http://schemas.microsoft.com/office/drawing/2014/main" id="{00000000-0008-0000-0200-000027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136" name="Line 55">
          <a:extLst>
            <a:ext uri="{FF2B5EF4-FFF2-40B4-BE49-F238E27FC236}">
              <a16:creationId xmlns:a16="http://schemas.microsoft.com/office/drawing/2014/main" id="{00000000-0008-0000-0200-000028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137" name="Line 56">
          <a:extLst>
            <a:ext uri="{FF2B5EF4-FFF2-40B4-BE49-F238E27FC236}">
              <a16:creationId xmlns:a16="http://schemas.microsoft.com/office/drawing/2014/main" id="{00000000-0008-0000-0200-000029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138" name="Rectangle 57">
          <a:extLst>
            <a:ext uri="{FF2B5EF4-FFF2-40B4-BE49-F238E27FC236}">
              <a16:creationId xmlns:a16="http://schemas.microsoft.com/office/drawing/2014/main" id="{00000000-0008-0000-0200-00002A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139" name="Line 58">
          <a:extLst>
            <a:ext uri="{FF2B5EF4-FFF2-40B4-BE49-F238E27FC236}">
              <a16:creationId xmlns:a16="http://schemas.microsoft.com/office/drawing/2014/main" id="{00000000-0008-0000-0200-00002B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140" name="Line 59">
          <a:extLst>
            <a:ext uri="{FF2B5EF4-FFF2-40B4-BE49-F238E27FC236}">
              <a16:creationId xmlns:a16="http://schemas.microsoft.com/office/drawing/2014/main" id="{00000000-0008-0000-0200-00002C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141" name="Line 60">
          <a:extLst>
            <a:ext uri="{FF2B5EF4-FFF2-40B4-BE49-F238E27FC236}">
              <a16:creationId xmlns:a16="http://schemas.microsoft.com/office/drawing/2014/main" id="{00000000-0008-0000-0200-00002D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142" name="Line 61">
          <a:extLst>
            <a:ext uri="{FF2B5EF4-FFF2-40B4-BE49-F238E27FC236}">
              <a16:creationId xmlns:a16="http://schemas.microsoft.com/office/drawing/2014/main" id="{00000000-0008-0000-0200-00002E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143" name="Line 62">
          <a:extLst>
            <a:ext uri="{FF2B5EF4-FFF2-40B4-BE49-F238E27FC236}">
              <a16:creationId xmlns:a16="http://schemas.microsoft.com/office/drawing/2014/main" id="{00000000-0008-0000-0200-00002F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144" name="Line 63">
          <a:extLst>
            <a:ext uri="{FF2B5EF4-FFF2-40B4-BE49-F238E27FC236}">
              <a16:creationId xmlns:a16="http://schemas.microsoft.com/office/drawing/2014/main" id="{00000000-0008-0000-0200-000030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145" name="Line 64">
          <a:extLst>
            <a:ext uri="{FF2B5EF4-FFF2-40B4-BE49-F238E27FC236}">
              <a16:creationId xmlns:a16="http://schemas.microsoft.com/office/drawing/2014/main" id="{00000000-0008-0000-0200-000031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146" name="Line 65">
          <a:extLst>
            <a:ext uri="{FF2B5EF4-FFF2-40B4-BE49-F238E27FC236}">
              <a16:creationId xmlns:a16="http://schemas.microsoft.com/office/drawing/2014/main" id="{00000000-0008-0000-0200-000032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147" name="Line 66">
          <a:extLst>
            <a:ext uri="{FF2B5EF4-FFF2-40B4-BE49-F238E27FC236}">
              <a16:creationId xmlns:a16="http://schemas.microsoft.com/office/drawing/2014/main" id="{00000000-0008-0000-0200-000033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148" name="Line 67">
          <a:extLst>
            <a:ext uri="{FF2B5EF4-FFF2-40B4-BE49-F238E27FC236}">
              <a16:creationId xmlns:a16="http://schemas.microsoft.com/office/drawing/2014/main" id="{00000000-0008-0000-0200-0000341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149" name="Line 68">
          <a:extLst>
            <a:ext uri="{FF2B5EF4-FFF2-40B4-BE49-F238E27FC236}">
              <a16:creationId xmlns:a16="http://schemas.microsoft.com/office/drawing/2014/main" id="{00000000-0008-0000-0200-0000351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150" name="Line 1">
          <a:extLst>
            <a:ext uri="{FF2B5EF4-FFF2-40B4-BE49-F238E27FC236}">
              <a16:creationId xmlns:a16="http://schemas.microsoft.com/office/drawing/2014/main" id="{00000000-0008-0000-0200-0000361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151" name="Drawing 16">
          <a:extLst>
            <a:ext uri="{FF2B5EF4-FFF2-40B4-BE49-F238E27FC236}">
              <a16:creationId xmlns:a16="http://schemas.microsoft.com/office/drawing/2014/main" id="{00000000-0008-0000-0200-0000371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152" name="Line 3">
          <a:extLst>
            <a:ext uri="{FF2B5EF4-FFF2-40B4-BE49-F238E27FC236}">
              <a16:creationId xmlns:a16="http://schemas.microsoft.com/office/drawing/2014/main" id="{00000000-0008-0000-0200-0000381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153" name="Line 4">
          <a:extLst>
            <a:ext uri="{FF2B5EF4-FFF2-40B4-BE49-F238E27FC236}">
              <a16:creationId xmlns:a16="http://schemas.microsoft.com/office/drawing/2014/main" id="{00000000-0008-0000-0200-0000391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154" name="Line 5">
          <a:extLst>
            <a:ext uri="{FF2B5EF4-FFF2-40B4-BE49-F238E27FC236}">
              <a16:creationId xmlns:a16="http://schemas.microsoft.com/office/drawing/2014/main" id="{00000000-0008-0000-0200-00003A1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155" name="Line 6">
          <a:extLst>
            <a:ext uri="{FF2B5EF4-FFF2-40B4-BE49-F238E27FC236}">
              <a16:creationId xmlns:a16="http://schemas.microsoft.com/office/drawing/2014/main" id="{00000000-0008-0000-0200-00003B1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156" name="Line 7">
          <a:extLst>
            <a:ext uri="{FF2B5EF4-FFF2-40B4-BE49-F238E27FC236}">
              <a16:creationId xmlns:a16="http://schemas.microsoft.com/office/drawing/2014/main" id="{00000000-0008-0000-0200-00003C1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157" name="Line 8">
          <a:extLst>
            <a:ext uri="{FF2B5EF4-FFF2-40B4-BE49-F238E27FC236}">
              <a16:creationId xmlns:a16="http://schemas.microsoft.com/office/drawing/2014/main" id="{00000000-0008-0000-0200-00003D1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158" name="Line 9">
          <a:extLst>
            <a:ext uri="{FF2B5EF4-FFF2-40B4-BE49-F238E27FC236}">
              <a16:creationId xmlns:a16="http://schemas.microsoft.com/office/drawing/2014/main" id="{00000000-0008-0000-0200-00003E1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159" name="Line 10">
          <a:extLst>
            <a:ext uri="{FF2B5EF4-FFF2-40B4-BE49-F238E27FC236}">
              <a16:creationId xmlns:a16="http://schemas.microsoft.com/office/drawing/2014/main" id="{00000000-0008-0000-0200-00003F1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160" name="Line 11">
          <a:extLst>
            <a:ext uri="{FF2B5EF4-FFF2-40B4-BE49-F238E27FC236}">
              <a16:creationId xmlns:a16="http://schemas.microsoft.com/office/drawing/2014/main" id="{00000000-0008-0000-0200-0000401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161" name="Line 12">
          <a:extLst>
            <a:ext uri="{FF2B5EF4-FFF2-40B4-BE49-F238E27FC236}">
              <a16:creationId xmlns:a16="http://schemas.microsoft.com/office/drawing/2014/main" id="{00000000-0008-0000-0200-0000411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162" name="Line 13">
          <a:extLst>
            <a:ext uri="{FF2B5EF4-FFF2-40B4-BE49-F238E27FC236}">
              <a16:creationId xmlns:a16="http://schemas.microsoft.com/office/drawing/2014/main" id="{00000000-0008-0000-0200-0000421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163" name="Line 14">
          <a:extLst>
            <a:ext uri="{FF2B5EF4-FFF2-40B4-BE49-F238E27FC236}">
              <a16:creationId xmlns:a16="http://schemas.microsoft.com/office/drawing/2014/main" id="{00000000-0008-0000-0200-0000431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164" name="Line 15">
          <a:extLst>
            <a:ext uri="{FF2B5EF4-FFF2-40B4-BE49-F238E27FC236}">
              <a16:creationId xmlns:a16="http://schemas.microsoft.com/office/drawing/2014/main" id="{00000000-0008-0000-0200-000044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165" name="Line 16">
          <a:extLst>
            <a:ext uri="{FF2B5EF4-FFF2-40B4-BE49-F238E27FC236}">
              <a16:creationId xmlns:a16="http://schemas.microsoft.com/office/drawing/2014/main" id="{00000000-0008-0000-0200-000045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166" name="Line 17">
          <a:extLst>
            <a:ext uri="{FF2B5EF4-FFF2-40B4-BE49-F238E27FC236}">
              <a16:creationId xmlns:a16="http://schemas.microsoft.com/office/drawing/2014/main" id="{00000000-0008-0000-0200-000046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167" name="Line 18">
          <a:extLst>
            <a:ext uri="{FF2B5EF4-FFF2-40B4-BE49-F238E27FC236}">
              <a16:creationId xmlns:a16="http://schemas.microsoft.com/office/drawing/2014/main" id="{00000000-0008-0000-0200-000047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168" name="Line 19">
          <a:extLst>
            <a:ext uri="{FF2B5EF4-FFF2-40B4-BE49-F238E27FC236}">
              <a16:creationId xmlns:a16="http://schemas.microsoft.com/office/drawing/2014/main" id="{00000000-0008-0000-0200-000048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169" name="Line 20">
          <a:extLst>
            <a:ext uri="{FF2B5EF4-FFF2-40B4-BE49-F238E27FC236}">
              <a16:creationId xmlns:a16="http://schemas.microsoft.com/office/drawing/2014/main" id="{00000000-0008-0000-0200-000049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170" name="Line 21">
          <a:extLst>
            <a:ext uri="{FF2B5EF4-FFF2-40B4-BE49-F238E27FC236}">
              <a16:creationId xmlns:a16="http://schemas.microsoft.com/office/drawing/2014/main" id="{00000000-0008-0000-0200-00004A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171" name="Line 22">
          <a:extLst>
            <a:ext uri="{FF2B5EF4-FFF2-40B4-BE49-F238E27FC236}">
              <a16:creationId xmlns:a16="http://schemas.microsoft.com/office/drawing/2014/main" id="{00000000-0008-0000-0200-00004B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172" name="Line 23">
          <a:extLst>
            <a:ext uri="{FF2B5EF4-FFF2-40B4-BE49-F238E27FC236}">
              <a16:creationId xmlns:a16="http://schemas.microsoft.com/office/drawing/2014/main" id="{00000000-0008-0000-0200-00004C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173" name="Line 24">
          <a:extLst>
            <a:ext uri="{FF2B5EF4-FFF2-40B4-BE49-F238E27FC236}">
              <a16:creationId xmlns:a16="http://schemas.microsoft.com/office/drawing/2014/main" id="{00000000-0008-0000-0200-00004D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174" name="Line 25">
          <a:extLst>
            <a:ext uri="{FF2B5EF4-FFF2-40B4-BE49-F238E27FC236}">
              <a16:creationId xmlns:a16="http://schemas.microsoft.com/office/drawing/2014/main" id="{00000000-0008-0000-0200-00004E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175" name="Line 26">
          <a:extLst>
            <a:ext uri="{FF2B5EF4-FFF2-40B4-BE49-F238E27FC236}">
              <a16:creationId xmlns:a16="http://schemas.microsoft.com/office/drawing/2014/main" id="{00000000-0008-0000-0200-00004F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176" name="Line 27">
          <a:extLst>
            <a:ext uri="{FF2B5EF4-FFF2-40B4-BE49-F238E27FC236}">
              <a16:creationId xmlns:a16="http://schemas.microsoft.com/office/drawing/2014/main" id="{00000000-0008-0000-0200-000050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177" name="Line 28">
          <a:extLst>
            <a:ext uri="{FF2B5EF4-FFF2-40B4-BE49-F238E27FC236}">
              <a16:creationId xmlns:a16="http://schemas.microsoft.com/office/drawing/2014/main" id="{00000000-0008-0000-0200-000051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178" name="Line 29">
          <a:extLst>
            <a:ext uri="{FF2B5EF4-FFF2-40B4-BE49-F238E27FC236}">
              <a16:creationId xmlns:a16="http://schemas.microsoft.com/office/drawing/2014/main" id="{00000000-0008-0000-0200-000052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179" name="Line 30">
          <a:extLst>
            <a:ext uri="{FF2B5EF4-FFF2-40B4-BE49-F238E27FC236}">
              <a16:creationId xmlns:a16="http://schemas.microsoft.com/office/drawing/2014/main" id="{00000000-0008-0000-0200-000053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180" name="Line 31">
          <a:extLst>
            <a:ext uri="{FF2B5EF4-FFF2-40B4-BE49-F238E27FC236}">
              <a16:creationId xmlns:a16="http://schemas.microsoft.com/office/drawing/2014/main" id="{00000000-0008-0000-0200-000054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181" name="Line 32">
          <a:extLst>
            <a:ext uri="{FF2B5EF4-FFF2-40B4-BE49-F238E27FC236}">
              <a16:creationId xmlns:a16="http://schemas.microsoft.com/office/drawing/2014/main" id="{00000000-0008-0000-0200-000055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182" name="Line 33">
          <a:extLst>
            <a:ext uri="{FF2B5EF4-FFF2-40B4-BE49-F238E27FC236}">
              <a16:creationId xmlns:a16="http://schemas.microsoft.com/office/drawing/2014/main" id="{00000000-0008-0000-0200-000056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183" name="Line 34">
          <a:extLst>
            <a:ext uri="{FF2B5EF4-FFF2-40B4-BE49-F238E27FC236}">
              <a16:creationId xmlns:a16="http://schemas.microsoft.com/office/drawing/2014/main" id="{00000000-0008-0000-0200-000057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184" name="Line 35">
          <a:extLst>
            <a:ext uri="{FF2B5EF4-FFF2-40B4-BE49-F238E27FC236}">
              <a16:creationId xmlns:a16="http://schemas.microsoft.com/office/drawing/2014/main" id="{00000000-0008-0000-0200-000058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185" name="Line 36">
          <a:extLst>
            <a:ext uri="{FF2B5EF4-FFF2-40B4-BE49-F238E27FC236}">
              <a16:creationId xmlns:a16="http://schemas.microsoft.com/office/drawing/2014/main" id="{00000000-0008-0000-0200-000059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186" name="Line 37">
          <a:extLst>
            <a:ext uri="{FF2B5EF4-FFF2-40B4-BE49-F238E27FC236}">
              <a16:creationId xmlns:a16="http://schemas.microsoft.com/office/drawing/2014/main" id="{00000000-0008-0000-0200-00005A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187" name="Line 38">
          <a:extLst>
            <a:ext uri="{FF2B5EF4-FFF2-40B4-BE49-F238E27FC236}">
              <a16:creationId xmlns:a16="http://schemas.microsoft.com/office/drawing/2014/main" id="{00000000-0008-0000-0200-00005B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188" name="Line 39">
          <a:extLst>
            <a:ext uri="{FF2B5EF4-FFF2-40B4-BE49-F238E27FC236}">
              <a16:creationId xmlns:a16="http://schemas.microsoft.com/office/drawing/2014/main" id="{00000000-0008-0000-0200-00005C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189" name="Line 40">
          <a:extLst>
            <a:ext uri="{FF2B5EF4-FFF2-40B4-BE49-F238E27FC236}">
              <a16:creationId xmlns:a16="http://schemas.microsoft.com/office/drawing/2014/main" id="{00000000-0008-0000-0200-00005D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190" name="Line 41">
          <a:extLst>
            <a:ext uri="{FF2B5EF4-FFF2-40B4-BE49-F238E27FC236}">
              <a16:creationId xmlns:a16="http://schemas.microsoft.com/office/drawing/2014/main" id="{00000000-0008-0000-0200-00005E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191" name="Rectangle 42">
          <a:extLst>
            <a:ext uri="{FF2B5EF4-FFF2-40B4-BE49-F238E27FC236}">
              <a16:creationId xmlns:a16="http://schemas.microsoft.com/office/drawing/2014/main" id="{00000000-0008-0000-0200-00005F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92" name="Line 43">
          <a:extLst>
            <a:ext uri="{FF2B5EF4-FFF2-40B4-BE49-F238E27FC236}">
              <a16:creationId xmlns:a16="http://schemas.microsoft.com/office/drawing/2014/main" id="{00000000-0008-0000-0200-000060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193" name="Line 44">
          <a:extLst>
            <a:ext uri="{FF2B5EF4-FFF2-40B4-BE49-F238E27FC236}">
              <a16:creationId xmlns:a16="http://schemas.microsoft.com/office/drawing/2014/main" id="{00000000-0008-0000-0200-000061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194" name="Line 45">
          <a:extLst>
            <a:ext uri="{FF2B5EF4-FFF2-40B4-BE49-F238E27FC236}">
              <a16:creationId xmlns:a16="http://schemas.microsoft.com/office/drawing/2014/main" id="{00000000-0008-0000-0200-000062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195" name="Line 46">
          <a:extLst>
            <a:ext uri="{FF2B5EF4-FFF2-40B4-BE49-F238E27FC236}">
              <a16:creationId xmlns:a16="http://schemas.microsoft.com/office/drawing/2014/main" id="{00000000-0008-0000-0200-000063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196" name="Line 47">
          <a:extLst>
            <a:ext uri="{FF2B5EF4-FFF2-40B4-BE49-F238E27FC236}">
              <a16:creationId xmlns:a16="http://schemas.microsoft.com/office/drawing/2014/main" id="{00000000-0008-0000-0200-000064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197" name="Line 48">
          <a:extLst>
            <a:ext uri="{FF2B5EF4-FFF2-40B4-BE49-F238E27FC236}">
              <a16:creationId xmlns:a16="http://schemas.microsoft.com/office/drawing/2014/main" id="{00000000-0008-0000-0200-000065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198" name="Line 49">
          <a:extLst>
            <a:ext uri="{FF2B5EF4-FFF2-40B4-BE49-F238E27FC236}">
              <a16:creationId xmlns:a16="http://schemas.microsoft.com/office/drawing/2014/main" id="{00000000-0008-0000-0200-000066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199" name="Line 50">
          <a:extLst>
            <a:ext uri="{FF2B5EF4-FFF2-40B4-BE49-F238E27FC236}">
              <a16:creationId xmlns:a16="http://schemas.microsoft.com/office/drawing/2014/main" id="{00000000-0008-0000-0200-000067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200" name="Line 51">
          <a:extLst>
            <a:ext uri="{FF2B5EF4-FFF2-40B4-BE49-F238E27FC236}">
              <a16:creationId xmlns:a16="http://schemas.microsoft.com/office/drawing/2014/main" id="{00000000-0008-0000-0200-000068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201" name="Line 52">
          <a:extLst>
            <a:ext uri="{FF2B5EF4-FFF2-40B4-BE49-F238E27FC236}">
              <a16:creationId xmlns:a16="http://schemas.microsoft.com/office/drawing/2014/main" id="{00000000-0008-0000-0200-000069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202" name="Line 53">
          <a:extLst>
            <a:ext uri="{FF2B5EF4-FFF2-40B4-BE49-F238E27FC236}">
              <a16:creationId xmlns:a16="http://schemas.microsoft.com/office/drawing/2014/main" id="{00000000-0008-0000-0200-00006A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203" name="Line 54">
          <a:extLst>
            <a:ext uri="{FF2B5EF4-FFF2-40B4-BE49-F238E27FC236}">
              <a16:creationId xmlns:a16="http://schemas.microsoft.com/office/drawing/2014/main" id="{00000000-0008-0000-0200-00006B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204" name="Line 55">
          <a:extLst>
            <a:ext uri="{FF2B5EF4-FFF2-40B4-BE49-F238E27FC236}">
              <a16:creationId xmlns:a16="http://schemas.microsoft.com/office/drawing/2014/main" id="{00000000-0008-0000-0200-00006C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205" name="Line 56">
          <a:extLst>
            <a:ext uri="{FF2B5EF4-FFF2-40B4-BE49-F238E27FC236}">
              <a16:creationId xmlns:a16="http://schemas.microsoft.com/office/drawing/2014/main" id="{00000000-0008-0000-0200-00006D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206" name="Rectangle 57">
          <a:extLst>
            <a:ext uri="{FF2B5EF4-FFF2-40B4-BE49-F238E27FC236}">
              <a16:creationId xmlns:a16="http://schemas.microsoft.com/office/drawing/2014/main" id="{00000000-0008-0000-0200-00006E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207" name="Line 58">
          <a:extLst>
            <a:ext uri="{FF2B5EF4-FFF2-40B4-BE49-F238E27FC236}">
              <a16:creationId xmlns:a16="http://schemas.microsoft.com/office/drawing/2014/main" id="{00000000-0008-0000-0200-00006F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208" name="Line 59">
          <a:extLst>
            <a:ext uri="{FF2B5EF4-FFF2-40B4-BE49-F238E27FC236}">
              <a16:creationId xmlns:a16="http://schemas.microsoft.com/office/drawing/2014/main" id="{00000000-0008-0000-0200-000070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209" name="Line 60">
          <a:extLst>
            <a:ext uri="{FF2B5EF4-FFF2-40B4-BE49-F238E27FC236}">
              <a16:creationId xmlns:a16="http://schemas.microsoft.com/office/drawing/2014/main" id="{00000000-0008-0000-0200-000071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210" name="Line 61">
          <a:extLst>
            <a:ext uri="{FF2B5EF4-FFF2-40B4-BE49-F238E27FC236}">
              <a16:creationId xmlns:a16="http://schemas.microsoft.com/office/drawing/2014/main" id="{00000000-0008-0000-0200-000072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211" name="Line 62">
          <a:extLst>
            <a:ext uri="{FF2B5EF4-FFF2-40B4-BE49-F238E27FC236}">
              <a16:creationId xmlns:a16="http://schemas.microsoft.com/office/drawing/2014/main" id="{00000000-0008-0000-0200-000073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212" name="Line 63">
          <a:extLst>
            <a:ext uri="{FF2B5EF4-FFF2-40B4-BE49-F238E27FC236}">
              <a16:creationId xmlns:a16="http://schemas.microsoft.com/office/drawing/2014/main" id="{00000000-0008-0000-0200-000074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213" name="Line 64">
          <a:extLst>
            <a:ext uri="{FF2B5EF4-FFF2-40B4-BE49-F238E27FC236}">
              <a16:creationId xmlns:a16="http://schemas.microsoft.com/office/drawing/2014/main" id="{00000000-0008-0000-0200-000075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214" name="Line 65">
          <a:extLst>
            <a:ext uri="{FF2B5EF4-FFF2-40B4-BE49-F238E27FC236}">
              <a16:creationId xmlns:a16="http://schemas.microsoft.com/office/drawing/2014/main" id="{00000000-0008-0000-0200-000076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215" name="Line 66">
          <a:extLst>
            <a:ext uri="{FF2B5EF4-FFF2-40B4-BE49-F238E27FC236}">
              <a16:creationId xmlns:a16="http://schemas.microsoft.com/office/drawing/2014/main" id="{00000000-0008-0000-0200-000077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216" name="Line 67">
          <a:extLst>
            <a:ext uri="{FF2B5EF4-FFF2-40B4-BE49-F238E27FC236}">
              <a16:creationId xmlns:a16="http://schemas.microsoft.com/office/drawing/2014/main" id="{00000000-0008-0000-0200-0000781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217" name="Line 68">
          <a:extLst>
            <a:ext uri="{FF2B5EF4-FFF2-40B4-BE49-F238E27FC236}">
              <a16:creationId xmlns:a16="http://schemas.microsoft.com/office/drawing/2014/main" id="{00000000-0008-0000-0200-0000791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218" name="Line 1">
          <a:extLst>
            <a:ext uri="{FF2B5EF4-FFF2-40B4-BE49-F238E27FC236}">
              <a16:creationId xmlns:a16="http://schemas.microsoft.com/office/drawing/2014/main" id="{00000000-0008-0000-0200-00007A1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219" name="Drawing 16">
          <a:extLst>
            <a:ext uri="{FF2B5EF4-FFF2-40B4-BE49-F238E27FC236}">
              <a16:creationId xmlns:a16="http://schemas.microsoft.com/office/drawing/2014/main" id="{00000000-0008-0000-0200-00007B1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220" name="Line 3">
          <a:extLst>
            <a:ext uri="{FF2B5EF4-FFF2-40B4-BE49-F238E27FC236}">
              <a16:creationId xmlns:a16="http://schemas.microsoft.com/office/drawing/2014/main" id="{00000000-0008-0000-0200-00007C1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221" name="Line 4">
          <a:extLst>
            <a:ext uri="{FF2B5EF4-FFF2-40B4-BE49-F238E27FC236}">
              <a16:creationId xmlns:a16="http://schemas.microsoft.com/office/drawing/2014/main" id="{00000000-0008-0000-0200-00007D1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222" name="Line 5">
          <a:extLst>
            <a:ext uri="{FF2B5EF4-FFF2-40B4-BE49-F238E27FC236}">
              <a16:creationId xmlns:a16="http://schemas.microsoft.com/office/drawing/2014/main" id="{00000000-0008-0000-0200-00007E1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223" name="Line 6">
          <a:extLst>
            <a:ext uri="{FF2B5EF4-FFF2-40B4-BE49-F238E27FC236}">
              <a16:creationId xmlns:a16="http://schemas.microsoft.com/office/drawing/2014/main" id="{00000000-0008-0000-0200-00007F1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224" name="Line 7">
          <a:extLst>
            <a:ext uri="{FF2B5EF4-FFF2-40B4-BE49-F238E27FC236}">
              <a16:creationId xmlns:a16="http://schemas.microsoft.com/office/drawing/2014/main" id="{00000000-0008-0000-0200-0000801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225" name="Line 8">
          <a:extLst>
            <a:ext uri="{FF2B5EF4-FFF2-40B4-BE49-F238E27FC236}">
              <a16:creationId xmlns:a16="http://schemas.microsoft.com/office/drawing/2014/main" id="{00000000-0008-0000-0200-0000811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226" name="Line 9">
          <a:extLst>
            <a:ext uri="{FF2B5EF4-FFF2-40B4-BE49-F238E27FC236}">
              <a16:creationId xmlns:a16="http://schemas.microsoft.com/office/drawing/2014/main" id="{00000000-0008-0000-0200-0000821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227" name="Line 10">
          <a:extLst>
            <a:ext uri="{FF2B5EF4-FFF2-40B4-BE49-F238E27FC236}">
              <a16:creationId xmlns:a16="http://schemas.microsoft.com/office/drawing/2014/main" id="{00000000-0008-0000-0200-0000831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228" name="Line 11">
          <a:extLst>
            <a:ext uri="{FF2B5EF4-FFF2-40B4-BE49-F238E27FC236}">
              <a16:creationId xmlns:a16="http://schemas.microsoft.com/office/drawing/2014/main" id="{00000000-0008-0000-0200-0000841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229" name="Line 12">
          <a:extLst>
            <a:ext uri="{FF2B5EF4-FFF2-40B4-BE49-F238E27FC236}">
              <a16:creationId xmlns:a16="http://schemas.microsoft.com/office/drawing/2014/main" id="{00000000-0008-0000-0200-0000851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230" name="Line 13">
          <a:extLst>
            <a:ext uri="{FF2B5EF4-FFF2-40B4-BE49-F238E27FC236}">
              <a16:creationId xmlns:a16="http://schemas.microsoft.com/office/drawing/2014/main" id="{00000000-0008-0000-0200-0000861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31" name="Line 14">
          <a:extLst>
            <a:ext uri="{FF2B5EF4-FFF2-40B4-BE49-F238E27FC236}">
              <a16:creationId xmlns:a16="http://schemas.microsoft.com/office/drawing/2014/main" id="{00000000-0008-0000-0200-0000871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232" name="Line 15">
          <a:extLst>
            <a:ext uri="{FF2B5EF4-FFF2-40B4-BE49-F238E27FC236}">
              <a16:creationId xmlns:a16="http://schemas.microsoft.com/office/drawing/2014/main" id="{00000000-0008-0000-0200-000088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33" name="Line 16">
          <a:extLst>
            <a:ext uri="{FF2B5EF4-FFF2-40B4-BE49-F238E27FC236}">
              <a16:creationId xmlns:a16="http://schemas.microsoft.com/office/drawing/2014/main" id="{00000000-0008-0000-0200-000089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234" name="Line 17">
          <a:extLst>
            <a:ext uri="{FF2B5EF4-FFF2-40B4-BE49-F238E27FC236}">
              <a16:creationId xmlns:a16="http://schemas.microsoft.com/office/drawing/2014/main" id="{00000000-0008-0000-0200-00008A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235" name="Line 18">
          <a:extLst>
            <a:ext uri="{FF2B5EF4-FFF2-40B4-BE49-F238E27FC236}">
              <a16:creationId xmlns:a16="http://schemas.microsoft.com/office/drawing/2014/main" id="{00000000-0008-0000-0200-00008B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236" name="Line 19">
          <a:extLst>
            <a:ext uri="{FF2B5EF4-FFF2-40B4-BE49-F238E27FC236}">
              <a16:creationId xmlns:a16="http://schemas.microsoft.com/office/drawing/2014/main" id="{00000000-0008-0000-0200-00008C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237" name="Line 20">
          <a:extLst>
            <a:ext uri="{FF2B5EF4-FFF2-40B4-BE49-F238E27FC236}">
              <a16:creationId xmlns:a16="http://schemas.microsoft.com/office/drawing/2014/main" id="{00000000-0008-0000-0200-00008D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238" name="Line 21">
          <a:extLst>
            <a:ext uri="{FF2B5EF4-FFF2-40B4-BE49-F238E27FC236}">
              <a16:creationId xmlns:a16="http://schemas.microsoft.com/office/drawing/2014/main" id="{00000000-0008-0000-0200-00008E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239" name="Line 22">
          <a:extLst>
            <a:ext uri="{FF2B5EF4-FFF2-40B4-BE49-F238E27FC236}">
              <a16:creationId xmlns:a16="http://schemas.microsoft.com/office/drawing/2014/main" id="{00000000-0008-0000-0200-00008F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240" name="Line 23">
          <a:extLst>
            <a:ext uri="{FF2B5EF4-FFF2-40B4-BE49-F238E27FC236}">
              <a16:creationId xmlns:a16="http://schemas.microsoft.com/office/drawing/2014/main" id="{00000000-0008-0000-0200-000090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241" name="Line 24">
          <a:extLst>
            <a:ext uri="{FF2B5EF4-FFF2-40B4-BE49-F238E27FC236}">
              <a16:creationId xmlns:a16="http://schemas.microsoft.com/office/drawing/2014/main" id="{00000000-0008-0000-0200-000091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242" name="Line 25">
          <a:extLst>
            <a:ext uri="{FF2B5EF4-FFF2-40B4-BE49-F238E27FC236}">
              <a16:creationId xmlns:a16="http://schemas.microsoft.com/office/drawing/2014/main" id="{00000000-0008-0000-0200-000092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243" name="Line 26">
          <a:extLst>
            <a:ext uri="{FF2B5EF4-FFF2-40B4-BE49-F238E27FC236}">
              <a16:creationId xmlns:a16="http://schemas.microsoft.com/office/drawing/2014/main" id="{00000000-0008-0000-0200-000093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244" name="Line 27">
          <a:extLst>
            <a:ext uri="{FF2B5EF4-FFF2-40B4-BE49-F238E27FC236}">
              <a16:creationId xmlns:a16="http://schemas.microsoft.com/office/drawing/2014/main" id="{00000000-0008-0000-0200-000094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245" name="Line 28">
          <a:extLst>
            <a:ext uri="{FF2B5EF4-FFF2-40B4-BE49-F238E27FC236}">
              <a16:creationId xmlns:a16="http://schemas.microsoft.com/office/drawing/2014/main" id="{00000000-0008-0000-0200-000095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246" name="Line 29">
          <a:extLst>
            <a:ext uri="{FF2B5EF4-FFF2-40B4-BE49-F238E27FC236}">
              <a16:creationId xmlns:a16="http://schemas.microsoft.com/office/drawing/2014/main" id="{00000000-0008-0000-0200-000096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247" name="Line 30">
          <a:extLst>
            <a:ext uri="{FF2B5EF4-FFF2-40B4-BE49-F238E27FC236}">
              <a16:creationId xmlns:a16="http://schemas.microsoft.com/office/drawing/2014/main" id="{00000000-0008-0000-0200-000097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248" name="Line 31">
          <a:extLst>
            <a:ext uri="{FF2B5EF4-FFF2-40B4-BE49-F238E27FC236}">
              <a16:creationId xmlns:a16="http://schemas.microsoft.com/office/drawing/2014/main" id="{00000000-0008-0000-0200-000098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249" name="Line 32">
          <a:extLst>
            <a:ext uri="{FF2B5EF4-FFF2-40B4-BE49-F238E27FC236}">
              <a16:creationId xmlns:a16="http://schemas.microsoft.com/office/drawing/2014/main" id="{00000000-0008-0000-0200-000099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250" name="Line 33">
          <a:extLst>
            <a:ext uri="{FF2B5EF4-FFF2-40B4-BE49-F238E27FC236}">
              <a16:creationId xmlns:a16="http://schemas.microsoft.com/office/drawing/2014/main" id="{00000000-0008-0000-0200-00009A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251" name="Line 34">
          <a:extLst>
            <a:ext uri="{FF2B5EF4-FFF2-40B4-BE49-F238E27FC236}">
              <a16:creationId xmlns:a16="http://schemas.microsoft.com/office/drawing/2014/main" id="{00000000-0008-0000-0200-00009B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252" name="Line 35">
          <a:extLst>
            <a:ext uri="{FF2B5EF4-FFF2-40B4-BE49-F238E27FC236}">
              <a16:creationId xmlns:a16="http://schemas.microsoft.com/office/drawing/2014/main" id="{00000000-0008-0000-0200-00009C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253" name="Line 36">
          <a:extLst>
            <a:ext uri="{FF2B5EF4-FFF2-40B4-BE49-F238E27FC236}">
              <a16:creationId xmlns:a16="http://schemas.microsoft.com/office/drawing/2014/main" id="{00000000-0008-0000-0200-00009D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254" name="Line 37">
          <a:extLst>
            <a:ext uri="{FF2B5EF4-FFF2-40B4-BE49-F238E27FC236}">
              <a16:creationId xmlns:a16="http://schemas.microsoft.com/office/drawing/2014/main" id="{00000000-0008-0000-0200-00009E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255" name="Line 38">
          <a:extLst>
            <a:ext uri="{FF2B5EF4-FFF2-40B4-BE49-F238E27FC236}">
              <a16:creationId xmlns:a16="http://schemas.microsoft.com/office/drawing/2014/main" id="{00000000-0008-0000-0200-00009F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256" name="Line 39">
          <a:extLst>
            <a:ext uri="{FF2B5EF4-FFF2-40B4-BE49-F238E27FC236}">
              <a16:creationId xmlns:a16="http://schemas.microsoft.com/office/drawing/2014/main" id="{00000000-0008-0000-0200-0000A0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257" name="Line 40">
          <a:extLst>
            <a:ext uri="{FF2B5EF4-FFF2-40B4-BE49-F238E27FC236}">
              <a16:creationId xmlns:a16="http://schemas.microsoft.com/office/drawing/2014/main" id="{00000000-0008-0000-0200-0000A1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258" name="Line 41">
          <a:extLst>
            <a:ext uri="{FF2B5EF4-FFF2-40B4-BE49-F238E27FC236}">
              <a16:creationId xmlns:a16="http://schemas.microsoft.com/office/drawing/2014/main" id="{00000000-0008-0000-0200-0000A2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259" name="Rectangle 42">
          <a:extLst>
            <a:ext uri="{FF2B5EF4-FFF2-40B4-BE49-F238E27FC236}">
              <a16:creationId xmlns:a16="http://schemas.microsoft.com/office/drawing/2014/main" id="{00000000-0008-0000-0200-0000A3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260" name="Line 43">
          <a:extLst>
            <a:ext uri="{FF2B5EF4-FFF2-40B4-BE49-F238E27FC236}">
              <a16:creationId xmlns:a16="http://schemas.microsoft.com/office/drawing/2014/main" id="{00000000-0008-0000-0200-0000A4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261" name="Line 44">
          <a:extLst>
            <a:ext uri="{FF2B5EF4-FFF2-40B4-BE49-F238E27FC236}">
              <a16:creationId xmlns:a16="http://schemas.microsoft.com/office/drawing/2014/main" id="{00000000-0008-0000-0200-0000A5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262" name="Line 45">
          <a:extLst>
            <a:ext uri="{FF2B5EF4-FFF2-40B4-BE49-F238E27FC236}">
              <a16:creationId xmlns:a16="http://schemas.microsoft.com/office/drawing/2014/main" id="{00000000-0008-0000-0200-0000A6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263" name="Line 46">
          <a:extLst>
            <a:ext uri="{FF2B5EF4-FFF2-40B4-BE49-F238E27FC236}">
              <a16:creationId xmlns:a16="http://schemas.microsoft.com/office/drawing/2014/main" id="{00000000-0008-0000-0200-0000A7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264" name="Line 47">
          <a:extLst>
            <a:ext uri="{FF2B5EF4-FFF2-40B4-BE49-F238E27FC236}">
              <a16:creationId xmlns:a16="http://schemas.microsoft.com/office/drawing/2014/main" id="{00000000-0008-0000-0200-0000A8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265" name="Line 48">
          <a:extLst>
            <a:ext uri="{FF2B5EF4-FFF2-40B4-BE49-F238E27FC236}">
              <a16:creationId xmlns:a16="http://schemas.microsoft.com/office/drawing/2014/main" id="{00000000-0008-0000-0200-0000A9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266" name="Line 49">
          <a:extLst>
            <a:ext uri="{FF2B5EF4-FFF2-40B4-BE49-F238E27FC236}">
              <a16:creationId xmlns:a16="http://schemas.microsoft.com/office/drawing/2014/main" id="{00000000-0008-0000-0200-0000AA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267" name="Line 50">
          <a:extLst>
            <a:ext uri="{FF2B5EF4-FFF2-40B4-BE49-F238E27FC236}">
              <a16:creationId xmlns:a16="http://schemas.microsoft.com/office/drawing/2014/main" id="{00000000-0008-0000-0200-0000AB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268" name="Line 51">
          <a:extLst>
            <a:ext uri="{FF2B5EF4-FFF2-40B4-BE49-F238E27FC236}">
              <a16:creationId xmlns:a16="http://schemas.microsoft.com/office/drawing/2014/main" id="{00000000-0008-0000-0200-0000AC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269" name="Line 52">
          <a:extLst>
            <a:ext uri="{FF2B5EF4-FFF2-40B4-BE49-F238E27FC236}">
              <a16:creationId xmlns:a16="http://schemas.microsoft.com/office/drawing/2014/main" id="{00000000-0008-0000-0200-0000AD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270" name="Line 53">
          <a:extLst>
            <a:ext uri="{FF2B5EF4-FFF2-40B4-BE49-F238E27FC236}">
              <a16:creationId xmlns:a16="http://schemas.microsoft.com/office/drawing/2014/main" id="{00000000-0008-0000-0200-0000AE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271" name="Line 54">
          <a:extLst>
            <a:ext uri="{FF2B5EF4-FFF2-40B4-BE49-F238E27FC236}">
              <a16:creationId xmlns:a16="http://schemas.microsoft.com/office/drawing/2014/main" id="{00000000-0008-0000-0200-0000AF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272" name="Line 55">
          <a:extLst>
            <a:ext uri="{FF2B5EF4-FFF2-40B4-BE49-F238E27FC236}">
              <a16:creationId xmlns:a16="http://schemas.microsoft.com/office/drawing/2014/main" id="{00000000-0008-0000-0200-0000B0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273" name="Line 56">
          <a:extLst>
            <a:ext uri="{FF2B5EF4-FFF2-40B4-BE49-F238E27FC236}">
              <a16:creationId xmlns:a16="http://schemas.microsoft.com/office/drawing/2014/main" id="{00000000-0008-0000-0200-0000B1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274" name="Rectangle 57">
          <a:extLst>
            <a:ext uri="{FF2B5EF4-FFF2-40B4-BE49-F238E27FC236}">
              <a16:creationId xmlns:a16="http://schemas.microsoft.com/office/drawing/2014/main" id="{00000000-0008-0000-0200-0000B2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275" name="Line 58">
          <a:extLst>
            <a:ext uri="{FF2B5EF4-FFF2-40B4-BE49-F238E27FC236}">
              <a16:creationId xmlns:a16="http://schemas.microsoft.com/office/drawing/2014/main" id="{00000000-0008-0000-0200-0000B3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276" name="Line 59">
          <a:extLst>
            <a:ext uri="{FF2B5EF4-FFF2-40B4-BE49-F238E27FC236}">
              <a16:creationId xmlns:a16="http://schemas.microsoft.com/office/drawing/2014/main" id="{00000000-0008-0000-0200-0000B4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277" name="Line 60">
          <a:extLst>
            <a:ext uri="{FF2B5EF4-FFF2-40B4-BE49-F238E27FC236}">
              <a16:creationId xmlns:a16="http://schemas.microsoft.com/office/drawing/2014/main" id="{00000000-0008-0000-0200-0000B5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278" name="Line 61">
          <a:extLst>
            <a:ext uri="{FF2B5EF4-FFF2-40B4-BE49-F238E27FC236}">
              <a16:creationId xmlns:a16="http://schemas.microsoft.com/office/drawing/2014/main" id="{00000000-0008-0000-0200-0000B6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279" name="Line 62">
          <a:extLst>
            <a:ext uri="{FF2B5EF4-FFF2-40B4-BE49-F238E27FC236}">
              <a16:creationId xmlns:a16="http://schemas.microsoft.com/office/drawing/2014/main" id="{00000000-0008-0000-0200-0000B7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280" name="Line 63">
          <a:extLst>
            <a:ext uri="{FF2B5EF4-FFF2-40B4-BE49-F238E27FC236}">
              <a16:creationId xmlns:a16="http://schemas.microsoft.com/office/drawing/2014/main" id="{00000000-0008-0000-0200-0000B8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281" name="Line 64">
          <a:extLst>
            <a:ext uri="{FF2B5EF4-FFF2-40B4-BE49-F238E27FC236}">
              <a16:creationId xmlns:a16="http://schemas.microsoft.com/office/drawing/2014/main" id="{00000000-0008-0000-0200-0000B9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282" name="Line 65">
          <a:extLst>
            <a:ext uri="{FF2B5EF4-FFF2-40B4-BE49-F238E27FC236}">
              <a16:creationId xmlns:a16="http://schemas.microsoft.com/office/drawing/2014/main" id="{00000000-0008-0000-0200-0000BA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283" name="Line 66">
          <a:extLst>
            <a:ext uri="{FF2B5EF4-FFF2-40B4-BE49-F238E27FC236}">
              <a16:creationId xmlns:a16="http://schemas.microsoft.com/office/drawing/2014/main" id="{00000000-0008-0000-0200-0000BB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284" name="Line 67">
          <a:extLst>
            <a:ext uri="{FF2B5EF4-FFF2-40B4-BE49-F238E27FC236}">
              <a16:creationId xmlns:a16="http://schemas.microsoft.com/office/drawing/2014/main" id="{00000000-0008-0000-0200-0000BC10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285" name="Line 68">
          <a:extLst>
            <a:ext uri="{FF2B5EF4-FFF2-40B4-BE49-F238E27FC236}">
              <a16:creationId xmlns:a16="http://schemas.microsoft.com/office/drawing/2014/main" id="{00000000-0008-0000-0200-0000BD10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4286" name="Line 1">
          <a:extLst>
            <a:ext uri="{FF2B5EF4-FFF2-40B4-BE49-F238E27FC236}">
              <a16:creationId xmlns:a16="http://schemas.microsoft.com/office/drawing/2014/main" id="{00000000-0008-0000-0200-0000BE100000}"/>
            </a:ext>
          </a:extLst>
        </xdr:cNvPr>
        <xdr:cNvSpPr>
          <a:spLocks noChangeShapeType="1"/>
        </xdr:cNvSpPr>
      </xdr:nvSpPr>
      <xdr:spPr bwMode="auto">
        <a:xfrm>
          <a:off x="428625" y="40862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27</xdr:row>
      <xdr:rowOff>85725</xdr:rowOff>
    </xdr:from>
    <xdr:to>
      <xdr:col>4</xdr:col>
      <xdr:colOff>0</xdr:colOff>
      <xdr:row>32</xdr:row>
      <xdr:rowOff>0</xdr:rowOff>
    </xdr:to>
    <xdr:sp macro="" textlink="">
      <xdr:nvSpPr>
        <xdr:cNvPr id="4287" name="Drawing 16">
          <a:extLst>
            <a:ext uri="{FF2B5EF4-FFF2-40B4-BE49-F238E27FC236}">
              <a16:creationId xmlns:a16="http://schemas.microsoft.com/office/drawing/2014/main" id="{00000000-0008-0000-0200-0000BF100000}"/>
            </a:ext>
          </a:extLst>
        </xdr:cNvPr>
        <xdr:cNvSpPr>
          <a:spLocks/>
        </xdr:cNvSpPr>
      </xdr:nvSpPr>
      <xdr:spPr bwMode="auto">
        <a:xfrm>
          <a:off x="1038225" y="3848100"/>
          <a:ext cx="1219200" cy="723900"/>
        </a:xfrm>
        <a:custGeom>
          <a:avLst/>
          <a:gdLst>
            <a:gd name="T0" fmla="*/ 0 w 16384"/>
            <a:gd name="T1" fmla="*/ 0 h 16384"/>
            <a:gd name="T2" fmla="*/ 0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0 h 16384"/>
            <a:gd name="T8" fmla="*/ 2147483647 w 16384"/>
            <a:gd name="T9" fmla="*/ 0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0 h 16384"/>
            <a:gd name="T16" fmla="*/ 0 w 16384"/>
            <a:gd name="T17" fmla="*/ 0 h 16384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6384"/>
            <a:gd name="T28" fmla="*/ 0 h 16384"/>
            <a:gd name="T29" fmla="*/ 16384 w 16384"/>
            <a:gd name="T30" fmla="*/ 16384 h 16384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6384" h="16384">
              <a:moveTo>
                <a:pt x="0" y="0"/>
              </a:moveTo>
              <a:lnTo>
                <a:pt x="0" y="16384"/>
              </a:lnTo>
              <a:lnTo>
                <a:pt x="16384" y="16384"/>
              </a:lnTo>
              <a:lnTo>
                <a:pt x="16384" y="0"/>
              </a:lnTo>
              <a:lnTo>
                <a:pt x="15511" y="0"/>
              </a:lnTo>
              <a:lnTo>
                <a:pt x="15511" y="14165"/>
              </a:lnTo>
              <a:lnTo>
                <a:pt x="806" y="14165"/>
              </a:lnTo>
              <a:lnTo>
                <a:pt x="806" y="0"/>
              </a:lnTo>
              <a:lnTo>
                <a:pt x="0" y="0"/>
              </a:ln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36</xdr:row>
      <xdr:rowOff>0</xdr:rowOff>
    </xdr:to>
    <xdr:sp macro="" textlink="">
      <xdr:nvSpPr>
        <xdr:cNvPr id="4288" name="Line 3">
          <a:extLst>
            <a:ext uri="{FF2B5EF4-FFF2-40B4-BE49-F238E27FC236}">
              <a16:creationId xmlns:a16="http://schemas.microsoft.com/office/drawing/2014/main" id="{00000000-0008-0000-0200-0000C0100000}"/>
            </a:ext>
          </a:extLst>
        </xdr:cNvPr>
        <xdr:cNvSpPr>
          <a:spLocks noChangeShapeType="1"/>
        </xdr:cNvSpPr>
      </xdr:nvSpPr>
      <xdr:spPr bwMode="auto">
        <a:xfrm flipH="1">
          <a:off x="2257425" y="45720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35</xdr:row>
      <xdr:rowOff>0</xdr:rowOff>
    </xdr:from>
    <xdr:to>
      <xdr:col>4</xdr:col>
      <xdr:colOff>0</xdr:colOff>
      <xdr:row>35</xdr:row>
      <xdr:rowOff>0</xdr:rowOff>
    </xdr:to>
    <xdr:sp macro="" textlink="">
      <xdr:nvSpPr>
        <xdr:cNvPr id="4289" name="Line 4">
          <a:extLst>
            <a:ext uri="{FF2B5EF4-FFF2-40B4-BE49-F238E27FC236}">
              <a16:creationId xmlns:a16="http://schemas.microsoft.com/office/drawing/2014/main" id="{00000000-0008-0000-0200-0000C1100000}"/>
            </a:ext>
          </a:extLst>
        </xdr:cNvPr>
        <xdr:cNvSpPr>
          <a:spLocks noChangeShapeType="1"/>
        </xdr:cNvSpPr>
      </xdr:nvSpPr>
      <xdr:spPr bwMode="auto">
        <a:xfrm flipV="1">
          <a:off x="447675" y="50577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</xdr:colOff>
      <xdr:row>36</xdr:row>
      <xdr:rowOff>0</xdr:rowOff>
    </xdr:to>
    <xdr:sp macro="" textlink="">
      <xdr:nvSpPr>
        <xdr:cNvPr id="4290" name="Line 5">
          <a:extLst>
            <a:ext uri="{FF2B5EF4-FFF2-40B4-BE49-F238E27FC236}">
              <a16:creationId xmlns:a16="http://schemas.microsoft.com/office/drawing/2014/main" id="{00000000-0008-0000-0200-0000C2100000}"/>
            </a:ext>
          </a:extLst>
        </xdr:cNvPr>
        <xdr:cNvSpPr>
          <a:spLocks noChangeShapeType="1"/>
        </xdr:cNvSpPr>
      </xdr:nvSpPr>
      <xdr:spPr bwMode="auto">
        <a:xfrm>
          <a:off x="2257425" y="52197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95250</xdr:colOff>
      <xdr:row>36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4291" name="Line 6">
          <a:extLst>
            <a:ext uri="{FF2B5EF4-FFF2-40B4-BE49-F238E27FC236}">
              <a16:creationId xmlns:a16="http://schemas.microsoft.com/office/drawing/2014/main" id="{00000000-0008-0000-0200-0000C3100000}"/>
            </a:ext>
          </a:extLst>
        </xdr:cNvPr>
        <xdr:cNvSpPr>
          <a:spLocks noChangeShapeType="1"/>
        </xdr:cNvSpPr>
      </xdr:nvSpPr>
      <xdr:spPr bwMode="auto">
        <a:xfrm>
          <a:off x="2352675" y="5219700"/>
          <a:ext cx="51435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0</xdr:rowOff>
    </xdr:from>
    <xdr:to>
      <xdr:col>10</xdr:col>
      <xdr:colOff>552450</xdr:colOff>
      <xdr:row>37</xdr:row>
      <xdr:rowOff>0</xdr:rowOff>
    </xdr:to>
    <xdr:sp macro="" textlink="">
      <xdr:nvSpPr>
        <xdr:cNvPr id="4292" name="Line 7">
          <a:extLst>
            <a:ext uri="{FF2B5EF4-FFF2-40B4-BE49-F238E27FC236}">
              <a16:creationId xmlns:a16="http://schemas.microsoft.com/office/drawing/2014/main" id="{00000000-0008-0000-0200-0000C4100000}"/>
            </a:ext>
          </a:extLst>
        </xdr:cNvPr>
        <xdr:cNvSpPr>
          <a:spLocks noChangeShapeType="1"/>
        </xdr:cNvSpPr>
      </xdr:nvSpPr>
      <xdr:spPr bwMode="auto">
        <a:xfrm flipV="1">
          <a:off x="2876550" y="5381625"/>
          <a:ext cx="3590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34</xdr:row>
      <xdr:rowOff>133350</xdr:rowOff>
    </xdr:to>
    <xdr:sp macro="" textlink="">
      <xdr:nvSpPr>
        <xdr:cNvPr id="4293" name="Line 8">
          <a:extLst>
            <a:ext uri="{FF2B5EF4-FFF2-40B4-BE49-F238E27FC236}">
              <a16:creationId xmlns:a16="http://schemas.microsoft.com/office/drawing/2014/main" id="{00000000-0008-0000-0200-0000C5100000}"/>
            </a:ext>
          </a:extLst>
        </xdr:cNvPr>
        <xdr:cNvSpPr>
          <a:spLocks noChangeShapeType="1"/>
        </xdr:cNvSpPr>
      </xdr:nvSpPr>
      <xdr:spPr bwMode="auto">
        <a:xfrm>
          <a:off x="1647825" y="457200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4</xdr:col>
      <xdr:colOff>552450</xdr:colOff>
      <xdr:row>33</xdr:row>
      <xdr:rowOff>0</xdr:rowOff>
    </xdr:from>
    <xdr:to>
      <xdr:col>6</xdr:col>
      <xdr:colOff>552450</xdr:colOff>
      <xdr:row>33</xdr:row>
      <xdr:rowOff>0</xdr:rowOff>
    </xdr:to>
    <xdr:sp macro="" textlink="">
      <xdr:nvSpPr>
        <xdr:cNvPr id="4294" name="Line 9">
          <a:extLst>
            <a:ext uri="{FF2B5EF4-FFF2-40B4-BE49-F238E27FC236}">
              <a16:creationId xmlns:a16="http://schemas.microsoft.com/office/drawing/2014/main" id="{00000000-0008-0000-0200-0000C6100000}"/>
            </a:ext>
          </a:extLst>
        </xdr:cNvPr>
        <xdr:cNvSpPr>
          <a:spLocks noChangeShapeType="1"/>
        </xdr:cNvSpPr>
      </xdr:nvSpPr>
      <xdr:spPr bwMode="auto">
        <a:xfrm>
          <a:off x="2809875" y="4733925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0</xdr:rowOff>
    </xdr:from>
    <xdr:to>
      <xdr:col>3</xdr:col>
      <xdr:colOff>428625</xdr:colOff>
      <xdr:row>36</xdr:row>
      <xdr:rowOff>0</xdr:rowOff>
    </xdr:to>
    <xdr:sp macro="" textlink="">
      <xdr:nvSpPr>
        <xdr:cNvPr id="4295" name="Line 10">
          <a:extLst>
            <a:ext uri="{FF2B5EF4-FFF2-40B4-BE49-F238E27FC236}">
              <a16:creationId xmlns:a16="http://schemas.microsoft.com/office/drawing/2014/main" id="{00000000-0008-0000-0200-0000C7100000}"/>
            </a:ext>
          </a:extLst>
        </xdr:cNvPr>
        <xdr:cNvSpPr>
          <a:spLocks noChangeShapeType="1"/>
        </xdr:cNvSpPr>
      </xdr:nvSpPr>
      <xdr:spPr bwMode="auto">
        <a:xfrm>
          <a:off x="428625" y="5219700"/>
          <a:ext cx="1647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0</xdr:rowOff>
    </xdr:from>
    <xdr:to>
      <xdr:col>3</xdr:col>
      <xdr:colOff>428625</xdr:colOff>
      <xdr:row>36</xdr:row>
      <xdr:rowOff>114300</xdr:rowOff>
    </xdr:to>
    <xdr:sp macro="" textlink="">
      <xdr:nvSpPr>
        <xdr:cNvPr id="4296" name="Line 11">
          <a:extLst>
            <a:ext uri="{FF2B5EF4-FFF2-40B4-BE49-F238E27FC236}">
              <a16:creationId xmlns:a16="http://schemas.microsoft.com/office/drawing/2014/main" id="{00000000-0008-0000-0200-0000C8100000}"/>
            </a:ext>
          </a:extLst>
        </xdr:cNvPr>
        <xdr:cNvSpPr>
          <a:spLocks noChangeShapeType="1"/>
        </xdr:cNvSpPr>
      </xdr:nvSpPr>
      <xdr:spPr bwMode="auto">
        <a:xfrm>
          <a:off x="2076450" y="52197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36</xdr:row>
      <xdr:rowOff>114300</xdr:rowOff>
    </xdr:from>
    <xdr:to>
      <xdr:col>5</xdr:col>
      <xdr:colOff>0</xdr:colOff>
      <xdr:row>38</xdr:row>
      <xdr:rowOff>0</xdr:rowOff>
    </xdr:to>
    <xdr:sp macro="" textlink="">
      <xdr:nvSpPr>
        <xdr:cNvPr id="4297" name="Line 12">
          <a:extLst>
            <a:ext uri="{FF2B5EF4-FFF2-40B4-BE49-F238E27FC236}">
              <a16:creationId xmlns:a16="http://schemas.microsoft.com/office/drawing/2014/main" id="{00000000-0008-0000-0200-0000C9100000}"/>
            </a:ext>
          </a:extLst>
        </xdr:cNvPr>
        <xdr:cNvSpPr>
          <a:spLocks noChangeShapeType="1"/>
        </xdr:cNvSpPr>
      </xdr:nvSpPr>
      <xdr:spPr bwMode="auto">
        <a:xfrm>
          <a:off x="2076450" y="5334000"/>
          <a:ext cx="79057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37</xdr:row>
      <xdr:rowOff>114300</xdr:rowOff>
    </xdr:from>
    <xdr:to>
      <xdr:col>8</xdr:col>
      <xdr:colOff>457200</xdr:colOff>
      <xdr:row>38</xdr:row>
      <xdr:rowOff>0</xdr:rowOff>
    </xdr:to>
    <xdr:sp macro="" textlink="">
      <xdr:nvSpPr>
        <xdr:cNvPr id="4298" name="Line 13">
          <a:extLst>
            <a:ext uri="{FF2B5EF4-FFF2-40B4-BE49-F238E27FC236}">
              <a16:creationId xmlns:a16="http://schemas.microsoft.com/office/drawing/2014/main" id="{00000000-0008-0000-0200-0000CA100000}"/>
            </a:ext>
          </a:extLst>
        </xdr:cNvPr>
        <xdr:cNvSpPr>
          <a:spLocks noChangeShapeType="1"/>
        </xdr:cNvSpPr>
      </xdr:nvSpPr>
      <xdr:spPr bwMode="auto">
        <a:xfrm flipV="1">
          <a:off x="2876550" y="5495925"/>
          <a:ext cx="227647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37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299" name="Line 14">
          <a:extLst>
            <a:ext uri="{FF2B5EF4-FFF2-40B4-BE49-F238E27FC236}">
              <a16:creationId xmlns:a16="http://schemas.microsoft.com/office/drawing/2014/main" id="{00000000-0008-0000-0200-0000CB100000}"/>
            </a:ext>
          </a:extLst>
        </xdr:cNvPr>
        <xdr:cNvSpPr>
          <a:spLocks noChangeShapeType="1"/>
        </xdr:cNvSpPr>
      </xdr:nvSpPr>
      <xdr:spPr bwMode="auto">
        <a:xfrm>
          <a:off x="5305425" y="53816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37</xdr:row>
      <xdr:rowOff>114300</xdr:rowOff>
    </xdr:from>
    <xdr:to>
      <xdr:col>8</xdr:col>
      <xdr:colOff>457200</xdr:colOff>
      <xdr:row>40</xdr:row>
      <xdr:rowOff>0</xdr:rowOff>
    </xdr:to>
    <xdr:sp macro="" textlink="">
      <xdr:nvSpPr>
        <xdr:cNvPr id="4300" name="Line 15">
          <a:extLst>
            <a:ext uri="{FF2B5EF4-FFF2-40B4-BE49-F238E27FC236}">
              <a16:creationId xmlns:a16="http://schemas.microsoft.com/office/drawing/2014/main" id="{00000000-0008-0000-0200-0000CC100000}"/>
            </a:ext>
          </a:extLst>
        </xdr:cNvPr>
        <xdr:cNvSpPr>
          <a:spLocks noChangeShapeType="1"/>
        </xdr:cNvSpPr>
      </xdr:nvSpPr>
      <xdr:spPr bwMode="auto">
        <a:xfrm>
          <a:off x="5153025" y="549592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40</xdr:row>
      <xdr:rowOff>0</xdr:rowOff>
    </xdr:from>
    <xdr:to>
      <xdr:col>9</xdr:col>
      <xdr:colOff>0</xdr:colOff>
      <xdr:row>40</xdr:row>
      <xdr:rowOff>0</xdr:rowOff>
    </xdr:to>
    <xdr:sp macro="" textlink="">
      <xdr:nvSpPr>
        <xdr:cNvPr id="4301" name="Line 16">
          <a:extLst>
            <a:ext uri="{FF2B5EF4-FFF2-40B4-BE49-F238E27FC236}">
              <a16:creationId xmlns:a16="http://schemas.microsoft.com/office/drawing/2014/main" id="{00000000-0008-0000-0200-0000CD100000}"/>
            </a:ext>
          </a:extLst>
        </xdr:cNvPr>
        <xdr:cNvSpPr>
          <a:spLocks noChangeShapeType="1"/>
        </xdr:cNvSpPr>
      </xdr:nvSpPr>
      <xdr:spPr bwMode="auto">
        <a:xfrm>
          <a:off x="5153025" y="58674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4302" name="Line 17">
          <a:extLst>
            <a:ext uri="{FF2B5EF4-FFF2-40B4-BE49-F238E27FC236}">
              <a16:creationId xmlns:a16="http://schemas.microsoft.com/office/drawing/2014/main" id="{00000000-0008-0000-0200-0000CE100000}"/>
            </a:ext>
          </a:extLst>
        </xdr:cNvPr>
        <xdr:cNvSpPr>
          <a:spLocks noChangeShapeType="1"/>
        </xdr:cNvSpPr>
      </xdr:nvSpPr>
      <xdr:spPr bwMode="auto">
        <a:xfrm>
          <a:off x="2257425" y="4086225"/>
          <a:ext cx="6096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31</xdr:row>
      <xdr:rowOff>0</xdr:rowOff>
    </xdr:from>
    <xdr:to>
      <xdr:col>10</xdr:col>
      <xdr:colOff>552450</xdr:colOff>
      <xdr:row>31</xdr:row>
      <xdr:rowOff>0</xdr:rowOff>
    </xdr:to>
    <xdr:sp macro="" textlink="">
      <xdr:nvSpPr>
        <xdr:cNvPr id="4303" name="Line 18">
          <a:extLst>
            <a:ext uri="{FF2B5EF4-FFF2-40B4-BE49-F238E27FC236}">
              <a16:creationId xmlns:a16="http://schemas.microsoft.com/office/drawing/2014/main" id="{00000000-0008-0000-0200-0000CF100000}"/>
            </a:ext>
          </a:extLst>
        </xdr:cNvPr>
        <xdr:cNvSpPr>
          <a:spLocks noChangeShapeType="1"/>
        </xdr:cNvSpPr>
      </xdr:nvSpPr>
      <xdr:spPr bwMode="auto">
        <a:xfrm>
          <a:off x="2867025" y="4410075"/>
          <a:ext cx="3600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323850</xdr:colOff>
      <xdr:row>31</xdr:row>
      <xdr:rowOff>0</xdr:rowOff>
    </xdr:from>
    <xdr:to>
      <xdr:col>8</xdr:col>
      <xdr:colOff>323850</xdr:colOff>
      <xdr:row>37</xdr:row>
      <xdr:rowOff>0</xdr:rowOff>
    </xdr:to>
    <xdr:sp macro="" textlink="">
      <xdr:nvSpPr>
        <xdr:cNvPr id="4304" name="Line 19">
          <a:extLst>
            <a:ext uri="{FF2B5EF4-FFF2-40B4-BE49-F238E27FC236}">
              <a16:creationId xmlns:a16="http://schemas.microsoft.com/office/drawing/2014/main" id="{00000000-0008-0000-0200-0000D0100000}"/>
            </a:ext>
          </a:extLst>
        </xdr:cNvPr>
        <xdr:cNvSpPr>
          <a:spLocks noChangeShapeType="1"/>
        </xdr:cNvSpPr>
      </xdr:nvSpPr>
      <xdr:spPr bwMode="auto">
        <a:xfrm>
          <a:off x="5019675" y="4410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209550</xdr:colOff>
      <xdr:row>31</xdr:row>
      <xdr:rowOff>0</xdr:rowOff>
    </xdr:from>
    <xdr:to>
      <xdr:col>8</xdr:col>
      <xdr:colOff>228600</xdr:colOff>
      <xdr:row>37</xdr:row>
      <xdr:rowOff>0</xdr:rowOff>
    </xdr:to>
    <xdr:sp macro="" textlink="">
      <xdr:nvSpPr>
        <xdr:cNvPr id="4305" name="Line 20">
          <a:extLst>
            <a:ext uri="{FF2B5EF4-FFF2-40B4-BE49-F238E27FC236}">
              <a16:creationId xmlns:a16="http://schemas.microsoft.com/office/drawing/2014/main" id="{00000000-0008-0000-0200-0000D1100000}"/>
            </a:ext>
          </a:extLst>
        </xdr:cNvPr>
        <xdr:cNvSpPr>
          <a:spLocks noChangeShapeType="1"/>
        </xdr:cNvSpPr>
      </xdr:nvSpPr>
      <xdr:spPr bwMode="auto">
        <a:xfrm flipH="1">
          <a:off x="4905375" y="4410075"/>
          <a:ext cx="19050" cy="97155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333375</xdr:colOff>
      <xdr:row>36</xdr:row>
      <xdr:rowOff>0</xdr:rowOff>
    </xdr:from>
    <xdr:to>
      <xdr:col>9</xdr:col>
      <xdr:colOff>0</xdr:colOff>
      <xdr:row>36</xdr:row>
      <xdr:rowOff>0</xdr:rowOff>
    </xdr:to>
    <xdr:sp macro="" textlink="">
      <xdr:nvSpPr>
        <xdr:cNvPr id="4306" name="Line 21">
          <a:extLst>
            <a:ext uri="{FF2B5EF4-FFF2-40B4-BE49-F238E27FC236}">
              <a16:creationId xmlns:a16="http://schemas.microsoft.com/office/drawing/2014/main" id="{00000000-0008-0000-0200-0000D2100000}"/>
            </a:ext>
          </a:extLst>
        </xdr:cNvPr>
        <xdr:cNvSpPr>
          <a:spLocks noChangeShapeType="1"/>
        </xdr:cNvSpPr>
      </xdr:nvSpPr>
      <xdr:spPr bwMode="auto">
        <a:xfrm>
          <a:off x="5029200" y="52197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36</xdr:row>
      <xdr:rowOff>0</xdr:rowOff>
    </xdr:from>
    <xdr:to>
      <xdr:col>9</xdr:col>
      <xdr:colOff>0</xdr:colOff>
      <xdr:row>37</xdr:row>
      <xdr:rowOff>0</xdr:rowOff>
    </xdr:to>
    <xdr:sp macro="" textlink="">
      <xdr:nvSpPr>
        <xdr:cNvPr id="4307" name="Line 22">
          <a:extLst>
            <a:ext uri="{FF2B5EF4-FFF2-40B4-BE49-F238E27FC236}">
              <a16:creationId xmlns:a16="http://schemas.microsoft.com/office/drawing/2014/main" id="{00000000-0008-0000-0200-0000D3100000}"/>
            </a:ext>
          </a:extLst>
        </xdr:cNvPr>
        <xdr:cNvSpPr>
          <a:spLocks noChangeShapeType="1"/>
        </xdr:cNvSpPr>
      </xdr:nvSpPr>
      <xdr:spPr bwMode="auto">
        <a:xfrm>
          <a:off x="5305425" y="52197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457200</xdr:colOff>
      <xdr:row>31</xdr:row>
      <xdr:rowOff>0</xdr:rowOff>
    </xdr:from>
    <xdr:to>
      <xdr:col>8</xdr:col>
      <xdr:colOff>457200</xdr:colOff>
      <xdr:row>35</xdr:row>
      <xdr:rowOff>0</xdr:rowOff>
    </xdr:to>
    <xdr:sp macro="" textlink="">
      <xdr:nvSpPr>
        <xdr:cNvPr id="4308" name="Line 23">
          <a:extLst>
            <a:ext uri="{FF2B5EF4-FFF2-40B4-BE49-F238E27FC236}">
              <a16:creationId xmlns:a16="http://schemas.microsoft.com/office/drawing/2014/main" id="{00000000-0008-0000-0200-0000D4100000}"/>
            </a:ext>
          </a:extLst>
        </xdr:cNvPr>
        <xdr:cNvSpPr>
          <a:spLocks noChangeShapeType="1"/>
        </xdr:cNvSpPr>
      </xdr:nvSpPr>
      <xdr:spPr bwMode="auto">
        <a:xfrm>
          <a:off x="515302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31</xdr:row>
      <xdr:rowOff>0</xdr:rowOff>
    </xdr:from>
    <xdr:to>
      <xdr:col>9</xdr:col>
      <xdr:colOff>0</xdr:colOff>
      <xdr:row>34</xdr:row>
      <xdr:rowOff>0</xdr:rowOff>
    </xdr:to>
    <xdr:sp macro="" textlink="">
      <xdr:nvSpPr>
        <xdr:cNvPr id="4309" name="Line 24">
          <a:extLst>
            <a:ext uri="{FF2B5EF4-FFF2-40B4-BE49-F238E27FC236}">
              <a16:creationId xmlns:a16="http://schemas.microsoft.com/office/drawing/2014/main" id="{00000000-0008-0000-0200-0000D5100000}"/>
            </a:ext>
          </a:extLst>
        </xdr:cNvPr>
        <xdr:cNvSpPr>
          <a:spLocks noChangeShapeType="1"/>
        </xdr:cNvSpPr>
      </xdr:nvSpPr>
      <xdr:spPr bwMode="auto">
        <a:xfrm>
          <a:off x="530542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133350</xdr:colOff>
      <xdr:row>31</xdr:row>
      <xdr:rowOff>0</xdr:rowOff>
    </xdr:from>
    <xdr:to>
      <xdr:col>9</xdr:col>
      <xdr:colOff>133350</xdr:colOff>
      <xdr:row>35</xdr:row>
      <xdr:rowOff>0</xdr:rowOff>
    </xdr:to>
    <xdr:sp macro="" textlink="">
      <xdr:nvSpPr>
        <xdr:cNvPr id="4310" name="Line 25">
          <a:extLst>
            <a:ext uri="{FF2B5EF4-FFF2-40B4-BE49-F238E27FC236}">
              <a16:creationId xmlns:a16="http://schemas.microsoft.com/office/drawing/2014/main" id="{00000000-0008-0000-0200-0000D6100000}"/>
            </a:ext>
          </a:extLst>
        </xdr:cNvPr>
        <xdr:cNvSpPr>
          <a:spLocks noChangeShapeType="1"/>
        </xdr:cNvSpPr>
      </xdr:nvSpPr>
      <xdr:spPr bwMode="auto">
        <a:xfrm>
          <a:off x="54387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161925</xdr:colOff>
      <xdr:row>31</xdr:row>
      <xdr:rowOff>9525</xdr:rowOff>
    </xdr:from>
    <xdr:to>
      <xdr:col>10</xdr:col>
      <xdr:colOff>161925</xdr:colOff>
      <xdr:row>35</xdr:row>
      <xdr:rowOff>9525</xdr:rowOff>
    </xdr:to>
    <xdr:sp macro="" textlink="">
      <xdr:nvSpPr>
        <xdr:cNvPr id="4311" name="Line 26">
          <a:extLst>
            <a:ext uri="{FF2B5EF4-FFF2-40B4-BE49-F238E27FC236}">
              <a16:creationId xmlns:a16="http://schemas.microsoft.com/office/drawing/2014/main" id="{00000000-0008-0000-0200-0000D7100000}"/>
            </a:ext>
          </a:extLst>
        </xdr:cNvPr>
        <xdr:cNvSpPr>
          <a:spLocks noChangeShapeType="1"/>
        </xdr:cNvSpPr>
      </xdr:nvSpPr>
      <xdr:spPr bwMode="auto">
        <a:xfrm>
          <a:off x="6076950" y="4419600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428625</xdr:colOff>
      <xdr:row>31</xdr:row>
      <xdr:rowOff>0</xdr:rowOff>
    </xdr:from>
    <xdr:to>
      <xdr:col>9</xdr:col>
      <xdr:colOff>428625</xdr:colOff>
      <xdr:row>35</xdr:row>
      <xdr:rowOff>0</xdr:rowOff>
    </xdr:to>
    <xdr:sp macro="" textlink="">
      <xdr:nvSpPr>
        <xdr:cNvPr id="4312" name="Line 27">
          <a:extLst>
            <a:ext uri="{FF2B5EF4-FFF2-40B4-BE49-F238E27FC236}">
              <a16:creationId xmlns:a16="http://schemas.microsoft.com/office/drawing/2014/main" id="{00000000-0008-0000-0200-0000D8100000}"/>
            </a:ext>
          </a:extLst>
        </xdr:cNvPr>
        <xdr:cNvSpPr>
          <a:spLocks noChangeShapeType="1"/>
        </xdr:cNvSpPr>
      </xdr:nvSpPr>
      <xdr:spPr bwMode="auto">
        <a:xfrm>
          <a:off x="5734050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295275</xdr:colOff>
      <xdr:row>31</xdr:row>
      <xdr:rowOff>9525</xdr:rowOff>
    </xdr:from>
    <xdr:to>
      <xdr:col>10</xdr:col>
      <xdr:colOff>295275</xdr:colOff>
      <xdr:row>34</xdr:row>
      <xdr:rowOff>9525</xdr:rowOff>
    </xdr:to>
    <xdr:sp macro="" textlink="">
      <xdr:nvSpPr>
        <xdr:cNvPr id="4313" name="Line 28">
          <a:extLst>
            <a:ext uri="{FF2B5EF4-FFF2-40B4-BE49-F238E27FC236}">
              <a16:creationId xmlns:a16="http://schemas.microsoft.com/office/drawing/2014/main" id="{00000000-0008-0000-0200-0000D9100000}"/>
            </a:ext>
          </a:extLst>
        </xdr:cNvPr>
        <xdr:cNvSpPr>
          <a:spLocks noChangeShapeType="1"/>
        </xdr:cNvSpPr>
      </xdr:nvSpPr>
      <xdr:spPr bwMode="auto">
        <a:xfrm>
          <a:off x="6210300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31</xdr:row>
      <xdr:rowOff>9525</xdr:rowOff>
    </xdr:from>
    <xdr:to>
      <xdr:col>10</xdr:col>
      <xdr:colOff>0</xdr:colOff>
      <xdr:row>34</xdr:row>
      <xdr:rowOff>9525</xdr:rowOff>
    </xdr:to>
    <xdr:sp macro="" textlink="">
      <xdr:nvSpPr>
        <xdr:cNvPr id="4314" name="Line 29">
          <a:extLst>
            <a:ext uri="{FF2B5EF4-FFF2-40B4-BE49-F238E27FC236}">
              <a16:creationId xmlns:a16="http://schemas.microsoft.com/office/drawing/2014/main" id="{00000000-0008-0000-0200-0000DA100000}"/>
            </a:ext>
          </a:extLst>
        </xdr:cNvPr>
        <xdr:cNvSpPr>
          <a:spLocks noChangeShapeType="1"/>
        </xdr:cNvSpPr>
      </xdr:nvSpPr>
      <xdr:spPr bwMode="auto">
        <a:xfrm>
          <a:off x="5915025" y="44196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285750</xdr:colOff>
      <xdr:row>31</xdr:row>
      <xdr:rowOff>0</xdr:rowOff>
    </xdr:from>
    <xdr:to>
      <xdr:col>9</xdr:col>
      <xdr:colOff>285750</xdr:colOff>
      <xdr:row>34</xdr:row>
      <xdr:rowOff>0</xdr:rowOff>
    </xdr:to>
    <xdr:sp macro="" textlink="">
      <xdr:nvSpPr>
        <xdr:cNvPr id="4315" name="Line 30">
          <a:extLst>
            <a:ext uri="{FF2B5EF4-FFF2-40B4-BE49-F238E27FC236}">
              <a16:creationId xmlns:a16="http://schemas.microsoft.com/office/drawing/2014/main" id="{00000000-0008-0000-0200-0000DB100000}"/>
            </a:ext>
          </a:extLst>
        </xdr:cNvPr>
        <xdr:cNvSpPr>
          <a:spLocks noChangeShapeType="1"/>
        </xdr:cNvSpPr>
      </xdr:nvSpPr>
      <xdr:spPr bwMode="auto">
        <a:xfrm>
          <a:off x="5591175" y="441007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438150</xdr:colOff>
      <xdr:row>31</xdr:row>
      <xdr:rowOff>0</xdr:rowOff>
    </xdr:from>
    <xdr:to>
      <xdr:col>10</xdr:col>
      <xdr:colOff>438150</xdr:colOff>
      <xdr:row>35</xdr:row>
      <xdr:rowOff>0</xdr:rowOff>
    </xdr:to>
    <xdr:sp macro="" textlink="">
      <xdr:nvSpPr>
        <xdr:cNvPr id="4316" name="Line 31">
          <a:extLst>
            <a:ext uri="{FF2B5EF4-FFF2-40B4-BE49-F238E27FC236}">
              <a16:creationId xmlns:a16="http://schemas.microsoft.com/office/drawing/2014/main" id="{00000000-0008-0000-0200-0000DC100000}"/>
            </a:ext>
          </a:extLst>
        </xdr:cNvPr>
        <xdr:cNvSpPr>
          <a:spLocks noChangeShapeType="1"/>
        </xdr:cNvSpPr>
      </xdr:nvSpPr>
      <xdr:spPr bwMode="auto">
        <a:xfrm>
          <a:off x="6353175" y="4410075"/>
          <a:ext cx="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39</xdr:row>
      <xdr:rowOff>0</xdr:rowOff>
    </xdr:from>
    <xdr:to>
      <xdr:col>8</xdr:col>
      <xdr:colOff>342900</xdr:colOff>
      <xdr:row>40</xdr:row>
      <xdr:rowOff>0</xdr:rowOff>
    </xdr:to>
    <xdr:sp macro="" textlink="">
      <xdr:nvSpPr>
        <xdr:cNvPr id="4317" name="Line 32">
          <a:extLst>
            <a:ext uri="{FF2B5EF4-FFF2-40B4-BE49-F238E27FC236}">
              <a16:creationId xmlns:a16="http://schemas.microsoft.com/office/drawing/2014/main" id="{00000000-0008-0000-0200-0000DD100000}"/>
            </a:ext>
          </a:extLst>
        </xdr:cNvPr>
        <xdr:cNvSpPr>
          <a:spLocks noChangeShapeType="1"/>
        </xdr:cNvSpPr>
      </xdr:nvSpPr>
      <xdr:spPr bwMode="auto">
        <a:xfrm>
          <a:off x="50387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39</xdr:row>
      <xdr:rowOff>9525</xdr:rowOff>
    </xdr:from>
    <xdr:to>
      <xdr:col>5</xdr:col>
      <xdr:colOff>0</xdr:colOff>
      <xdr:row>40</xdr:row>
      <xdr:rowOff>9525</xdr:rowOff>
    </xdr:to>
    <xdr:sp macro="" textlink="">
      <xdr:nvSpPr>
        <xdr:cNvPr id="4318" name="Line 33">
          <a:extLst>
            <a:ext uri="{FF2B5EF4-FFF2-40B4-BE49-F238E27FC236}">
              <a16:creationId xmlns:a16="http://schemas.microsoft.com/office/drawing/2014/main" id="{00000000-0008-0000-0200-0000DE100000}"/>
            </a:ext>
          </a:extLst>
        </xdr:cNvPr>
        <xdr:cNvSpPr>
          <a:spLocks noChangeShapeType="1"/>
        </xdr:cNvSpPr>
      </xdr:nvSpPr>
      <xdr:spPr bwMode="auto">
        <a:xfrm>
          <a:off x="28670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40</xdr:row>
      <xdr:rowOff>0</xdr:rowOff>
    </xdr:to>
    <xdr:sp macro="" textlink="">
      <xdr:nvSpPr>
        <xdr:cNvPr id="4319" name="Line 34">
          <a:extLst>
            <a:ext uri="{FF2B5EF4-FFF2-40B4-BE49-F238E27FC236}">
              <a16:creationId xmlns:a16="http://schemas.microsoft.com/office/drawing/2014/main" id="{00000000-0008-0000-0200-0000DF100000}"/>
            </a:ext>
          </a:extLst>
        </xdr:cNvPr>
        <xdr:cNvSpPr>
          <a:spLocks noChangeShapeType="1"/>
        </xdr:cNvSpPr>
      </xdr:nvSpPr>
      <xdr:spPr bwMode="auto">
        <a:xfrm>
          <a:off x="2257425" y="570547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39</xdr:row>
      <xdr:rowOff>85725</xdr:rowOff>
    </xdr:from>
    <xdr:to>
      <xdr:col>4</xdr:col>
      <xdr:colOff>0</xdr:colOff>
      <xdr:row>39</xdr:row>
      <xdr:rowOff>85725</xdr:rowOff>
    </xdr:to>
    <xdr:sp macro="" textlink="">
      <xdr:nvSpPr>
        <xdr:cNvPr id="4320" name="Line 35">
          <a:extLst>
            <a:ext uri="{FF2B5EF4-FFF2-40B4-BE49-F238E27FC236}">
              <a16:creationId xmlns:a16="http://schemas.microsoft.com/office/drawing/2014/main" id="{00000000-0008-0000-0200-0000E0100000}"/>
            </a:ext>
          </a:extLst>
        </xdr:cNvPr>
        <xdr:cNvSpPr>
          <a:spLocks noChangeShapeType="1"/>
        </xdr:cNvSpPr>
      </xdr:nvSpPr>
      <xdr:spPr bwMode="auto">
        <a:xfrm>
          <a:off x="1924050" y="57912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7</xdr:col>
      <xdr:colOff>171450</xdr:colOff>
      <xdr:row>39</xdr:row>
      <xdr:rowOff>76200</xdr:rowOff>
    </xdr:from>
    <xdr:to>
      <xdr:col>8</xdr:col>
      <xdr:colOff>342900</xdr:colOff>
      <xdr:row>39</xdr:row>
      <xdr:rowOff>76200</xdr:rowOff>
    </xdr:to>
    <xdr:sp macro="" textlink="">
      <xdr:nvSpPr>
        <xdr:cNvPr id="4321" name="Line 36">
          <a:extLst>
            <a:ext uri="{FF2B5EF4-FFF2-40B4-BE49-F238E27FC236}">
              <a16:creationId xmlns:a16="http://schemas.microsoft.com/office/drawing/2014/main" id="{00000000-0008-0000-0200-0000E1100000}"/>
            </a:ext>
          </a:extLst>
        </xdr:cNvPr>
        <xdr:cNvSpPr>
          <a:spLocks noChangeShapeType="1"/>
        </xdr:cNvSpPr>
      </xdr:nvSpPr>
      <xdr:spPr bwMode="auto">
        <a:xfrm>
          <a:off x="4257675" y="57816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39</xdr:row>
      <xdr:rowOff>85725</xdr:rowOff>
    </xdr:from>
    <xdr:to>
      <xdr:col>6</xdr:col>
      <xdr:colOff>152400</xdr:colOff>
      <xdr:row>39</xdr:row>
      <xdr:rowOff>85725</xdr:rowOff>
    </xdr:to>
    <xdr:sp macro="" textlink="">
      <xdr:nvSpPr>
        <xdr:cNvPr id="4322" name="Line 37">
          <a:extLst>
            <a:ext uri="{FF2B5EF4-FFF2-40B4-BE49-F238E27FC236}">
              <a16:creationId xmlns:a16="http://schemas.microsoft.com/office/drawing/2014/main" id="{00000000-0008-0000-0200-0000E2100000}"/>
            </a:ext>
          </a:extLst>
        </xdr:cNvPr>
        <xdr:cNvSpPr>
          <a:spLocks noChangeShapeType="1"/>
        </xdr:cNvSpPr>
      </xdr:nvSpPr>
      <xdr:spPr bwMode="auto">
        <a:xfrm flipH="1">
          <a:off x="2867025" y="579120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60</xdr:row>
      <xdr:rowOff>0</xdr:rowOff>
    </xdr:to>
    <xdr:sp macro="" textlink="">
      <xdr:nvSpPr>
        <xdr:cNvPr id="4323" name="Line 38">
          <a:extLst>
            <a:ext uri="{FF2B5EF4-FFF2-40B4-BE49-F238E27FC236}">
              <a16:creationId xmlns:a16="http://schemas.microsoft.com/office/drawing/2014/main" id="{00000000-0008-0000-0200-0000E3100000}"/>
            </a:ext>
          </a:extLst>
        </xdr:cNvPr>
        <xdr:cNvSpPr>
          <a:spLocks noChangeShapeType="1"/>
        </xdr:cNvSpPr>
      </xdr:nvSpPr>
      <xdr:spPr bwMode="auto">
        <a:xfrm>
          <a:off x="2257425" y="7972425"/>
          <a:ext cx="0" cy="1133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0</xdr:colOff>
      <xdr:row>40</xdr:row>
      <xdr:rowOff>9525</xdr:rowOff>
    </xdr:to>
    <xdr:sp macro="" textlink="">
      <xdr:nvSpPr>
        <xdr:cNvPr id="4324" name="Line 39">
          <a:extLst>
            <a:ext uri="{FF2B5EF4-FFF2-40B4-BE49-F238E27FC236}">
              <a16:creationId xmlns:a16="http://schemas.microsoft.com/office/drawing/2014/main" id="{00000000-0008-0000-0200-0000E4100000}"/>
            </a:ext>
          </a:extLst>
        </xdr:cNvPr>
        <xdr:cNvSpPr>
          <a:spLocks noChangeShapeType="1"/>
        </xdr:cNvSpPr>
      </xdr:nvSpPr>
      <xdr:spPr bwMode="auto">
        <a:xfrm>
          <a:off x="1038225" y="5715000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39</xdr:row>
      <xdr:rowOff>85725</xdr:rowOff>
    </xdr:from>
    <xdr:to>
      <xdr:col>2</xdr:col>
      <xdr:colOff>314325</xdr:colOff>
      <xdr:row>39</xdr:row>
      <xdr:rowOff>85725</xdr:rowOff>
    </xdr:to>
    <xdr:sp macro="" textlink="">
      <xdr:nvSpPr>
        <xdr:cNvPr id="4325" name="Line 40">
          <a:extLst>
            <a:ext uri="{FF2B5EF4-FFF2-40B4-BE49-F238E27FC236}">
              <a16:creationId xmlns:a16="http://schemas.microsoft.com/office/drawing/2014/main" id="{00000000-0008-0000-0200-0000E5100000}"/>
            </a:ext>
          </a:extLst>
        </xdr:cNvPr>
        <xdr:cNvSpPr>
          <a:spLocks noChangeShapeType="1"/>
        </xdr:cNvSpPr>
      </xdr:nvSpPr>
      <xdr:spPr bwMode="auto">
        <a:xfrm flipH="1">
          <a:off x="1038225" y="5791200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5</xdr:col>
      <xdr:colOff>0</xdr:colOff>
      <xdr:row>50</xdr:row>
      <xdr:rowOff>133350</xdr:rowOff>
    </xdr:from>
    <xdr:to>
      <xdr:col>5</xdr:col>
      <xdr:colOff>0</xdr:colOff>
      <xdr:row>59</xdr:row>
      <xdr:rowOff>142875</xdr:rowOff>
    </xdr:to>
    <xdr:sp macro="" textlink="">
      <xdr:nvSpPr>
        <xdr:cNvPr id="4326" name="Line 41">
          <a:extLst>
            <a:ext uri="{FF2B5EF4-FFF2-40B4-BE49-F238E27FC236}">
              <a16:creationId xmlns:a16="http://schemas.microsoft.com/office/drawing/2014/main" id="{00000000-0008-0000-0200-0000E6100000}"/>
            </a:ext>
          </a:extLst>
        </xdr:cNvPr>
        <xdr:cNvSpPr>
          <a:spLocks noChangeShapeType="1"/>
        </xdr:cNvSpPr>
      </xdr:nvSpPr>
      <xdr:spPr bwMode="auto">
        <a:xfrm>
          <a:off x="2867025" y="7620000"/>
          <a:ext cx="0" cy="1466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55</xdr:row>
      <xdr:rowOff>0</xdr:rowOff>
    </xdr:from>
    <xdr:to>
      <xdr:col>4</xdr:col>
      <xdr:colOff>0</xdr:colOff>
      <xdr:row>56</xdr:row>
      <xdr:rowOff>0</xdr:rowOff>
    </xdr:to>
    <xdr:sp macro="" textlink="">
      <xdr:nvSpPr>
        <xdr:cNvPr id="4327" name="Rectangle 42">
          <a:extLst>
            <a:ext uri="{FF2B5EF4-FFF2-40B4-BE49-F238E27FC236}">
              <a16:creationId xmlns:a16="http://schemas.microsoft.com/office/drawing/2014/main" id="{00000000-0008-0000-0200-0000E7100000}"/>
            </a:ext>
          </a:extLst>
        </xdr:cNvPr>
        <xdr:cNvSpPr>
          <a:spLocks noChangeArrowheads="1"/>
        </xdr:cNvSpPr>
      </xdr:nvSpPr>
      <xdr:spPr bwMode="auto">
        <a:xfrm>
          <a:off x="1038225" y="8296275"/>
          <a:ext cx="1219200" cy="161925"/>
        </a:xfrm>
        <a:prstGeom prst="rect">
          <a:avLst/>
        </a:prstGeom>
        <a:noFill/>
        <a:ln w="1">
          <a:solidFill>
            <a:srgbClr val="000000"/>
          </a:solidFill>
          <a:prstDash val="dash"/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328" name="Line 43">
          <a:extLst>
            <a:ext uri="{FF2B5EF4-FFF2-40B4-BE49-F238E27FC236}">
              <a16:creationId xmlns:a16="http://schemas.microsoft.com/office/drawing/2014/main" id="{00000000-0008-0000-0200-0000E8100000}"/>
            </a:ext>
          </a:extLst>
        </xdr:cNvPr>
        <xdr:cNvSpPr>
          <a:spLocks noChangeShapeType="1"/>
        </xdr:cNvSpPr>
      </xdr:nvSpPr>
      <xdr:spPr bwMode="auto">
        <a:xfrm>
          <a:off x="1038225" y="7972425"/>
          <a:ext cx="121920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4329" name="Line 44">
          <a:extLst>
            <a:ext uri="{FF2B5EF4-FFF2-40B4-BE49-F238E27FC236}">
              <a16:creationId xmlns:a16="http://schemas.microsoft.com/office/drawing/2014/main" id="{00000000-0008-0000-0200-0000E9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57</xdr:row>
      <xdr:rowOff>152400</xdr:rowOff>
    </xdr:from>
    <xdr:to>
      <xdr:col>3</xdr:col>
      <xdr:colOff>571500</xdr:colOff>
      <xdr:row>58</xdr:row>
      <xdr:rowOff>0</xdr:rowOff>
    </xdr:to>
    <xdr:sp macro="" textlink="">
      <xdr:nvSpPr>
        <xdr:cNvPr id="4330" name="Line 45">
          <a:extLst>
            <a:ext uri="{FF2B5EF4-FFF2-40B4-BE49-F238E27FC236}">
              <a16:creationId xmlns:a16="http://schemas.microsoft.com/office/drawing/2014/main" id="{00000000-0008-0000-0200-0000EA100000}"/>
            </a:ext>
          </a:extLst>
        </xdr:cNvPr>
        <xdr:cNvSpPr>
          <a:spLocks noChangeShapeType="1"/>
        </xdr:cNvSpPr>
      </xdr:nvSpPr>
      <xdr:spPr bwMode="auto">
        <a:xfrm>
          <a:off x="1009650" y="8772525"/>
          <a:ext cx="1209675" cy="952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4</xdr:col>
      <xdr:colOff>0</xdr:colOff>
      <xdr:row>50</xdr:row>
      <xdr:rowOff>0</xdr:rowOff>
    </xdr:from>
    <xdr:to>
      <xdr:col>8</xdr:col>
      <xdr:colOff>342900</xdr:colOff>
      <xdr:row>52</xdr:row>
      <xdr:rowOff>0</xdr:rowOff>
    </xdr:to>
    <xdr:sp macro="" textlink="">
      <xdr:nvSpPr>
        <xdr:cNvPr id="4331" name="Line 46">
          <a:extLst>
            <a:ext uri="{FF2B5EF4-FFF2-40B4-BE49-F238E27FC236}">
              <a16:creationId xmlns:a16="http://schemas.microsoft.com/office/drawing/2014/main" id="{00000000-0008-0000-0200-0000EB100000}"/>
            </a:ext>
          </a:extLst>
        </xdr:cNvPr>
        <xdr:cNvSpPr>
          <a:spLocks noChangeShapeType="1"/>
        </xdr:cNvSpPr>
      </xdr:nvSpPr>
      <xdr:spPr bwMode="auto">
        <a:xfrm flipV="1">
          <a:off x="2257425" y="7486650"/>
          <a:ext cx="278130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142875</xdr:colOff>
      <xdr:row>53</xdr:row>
      <xdr:rowOff>0</xdr:rowOff>
    </xdr:from>
    <xdr:to>
      <xdr:col>1</xdr:col>
      <xdr:colOff>409575</xdr:colOff>
      <xdr:row>53</xdr:row>
      <xdr:rowOff>0</xdr:rowOff>
    </xdr:to>
    <xdr:sp macro="" textlink="">
      <xdr:nvSpPr>
        <xdr:cNvPr id="4332" name="Line 47">
          <a:extLst>
            <a:ext uri="{FF2B5EF4-FFF2-40B4-BE49-F238E27FC236}">
              <a16:creationId xmlns:a16="http://schemas.microsoft.com/office/drawing/2014/main" id="{00000000-0008-0000-0200-0000EC100000}"/>
            </a:ext>
          </a:extLst>
        </xdr:cNvPr>
        <xdr:cNvSpPr>
          <a:spLocks noChangeShapeType="1"/>
        </xdr:cNvSpPr>
      </xdr:nvSpPr>
      <xdr:spPr bwMode="auto">
        <a:xfrm>
          <a:off x="571500" y="797242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58</xdr:row>
      <xdr:rowOff>0</xdr:rowOff>
    </xdr:from>
    <xdr:to>
      <xdr:col>1</xdr:col>
      <xdr:colOff>428625</xdr:colOff>
      <xdr:row>58</xdr:row>
      <xdr:rowOff>0</xdr:rowOff>
    </xdr:to>
    <xdr:sp macro="" textlink="">
      <xdr:nvSpPr>
        <xdr:cNvPr id="4333" name="Line 48">
          <a:extLst>
            <a:ext uri="{FF2B5EF4-FFF2-40B4-BE49-F238E27FC236}">
              <a16:creationId xmlns:a16="http://schemas.microsoft.com/office/drawing/2014/main" id="{00000000-0008-0000-0200-0000ED100000}"/>
            </a:ext>
          </a:extLst>
        </xdr:cNvPr>
        <xdr:cNvSpPr>
          <a:spLocks noChangeShapeType="1"/>
        </xdr:cNvSpPr>
      </xdr:nvSpPr>
      <xdr:spPr bwMode="auto">
        <a:xfrm>
          <a:off x="561975" y="87820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285750</xdr:colOff>
      <xdr:row>53</xdr:row>
      <xdr:rowOff>9525</xdr:rowOff>
    </xdr:from>
    <xdr:to>
      <xdr:col>1</xdr:col>
      <xdr:colOff>285750</xdr:colOff>
      <xdr:row>54</xdr:row>
      <xdr:rowOff>142875</xdr:rowOff>
    </xdr:to>
    <xdr:sp macro="" textlink="">
      <xdr:nvSpPr>
        <xdr:cNvPr id="4334" name="Line 49">
          <a:extLst>
            <a:ext uri="{FF2B5EF4-FFF2-40B4-BE49-F238E27FC236}">
              <a16:creationId xmlns:a16="http://schemas.microsoft.com/office/drawing/2014/main" id="{00000000-0008-0000-0200-0000EE100000}"/>
            </a:ext>
          </a:extLst>
        </xdr:cNvPr>
        <xdr:cNvSpPr>
          <a:spLocks noChangeShapeType="1"/>
        </xdr:cNvSpPr>
      </xdr:nvSpPr>
      <xdr:spPr bwMode="auto">
        <a:xfrm flipV="1">
          <a:off x="714375" y="79819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1</xdr:col>
      <xdr:colOff>285750</xdr:colOff>
      <xdr:row>56</xdr:row>
      <xdr:rowOff>9525</xdr:rowOff>
    </xdr:from>
    <xdr:to>
      <xdr:col>1</xdr:col>
      <xdr:colOff>285750</xdr:colOff>
      <xdr:row>58</xdr:row>
      <xdr:rowOff>0</xdr:rowOff>
    </xdr:to>
    <xdr:sp macro="" textlink="">
      <xdr:nvSpPr>
        <xdr:cNvPr id="4335" name="Line 50">
          <a:extLst>
            <a:ext uri="{FF2B5EF4-FFF2-40B4-BE49-F238E27FC236}">
              <a16:creationId xmlns:a16="http://schemas.microsoft.com/office/drawing/2014/main" id="{00000000-0008-0000-0200-0000EF100000}"/>
            </a:ext>
          </a:extLst>
        </xdr:cNvPr>
        <xdr:cNvSpPr>
          <a:spLocks noChangeShapeType="1"/>
        </xdr:cNvSpPr>
      </xdr:nvSpPr>
      <xdr:spPr bwMode="auto">
        <a:xfrm>
          <a:off x="714375" y="846772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sm" len="sm"/>
        </a:ln>
      </xdr:spPr>
    </xdr:sp>
    <xdr:clientData/>
  </xdr:twoCellAnchor>
  <xdr:twoCellAnchor>
    <xdr:from>
      <xdr:col>2</xdr:col>
      <xdr:colOff>571500</xdr:colOff>
      <xdr:row>52</xdr:row>
      <xdr:rowOff>142875</xdr:rowOff>
    </xdr:from>
    <xdr:to>
      <xdr:col>2</xdr:col>
      <xdr:colOff>571500</xdr:colOff>
      <xdr:row>55</xdr:row>
      <xdr:rowOff>0</xdr:rowOff>
    </xdr:to>
    <xdr:sp macro="" textlink="">
      <xdr:nvSpPr>
        <xdr:cNvPr id="4336" name="Line 51">
          <a:extLst>
            <a:ext uri="{FF2B5EF4-FFF2-40B4-BE49-F238E27FC236}">
              <a16:creationId xmlns:a16="http://schemas.microsoft.com/office/drawing/2014/main" id="{00000000-0008-0000-0200-0000F0100000}"/>
            </a:ext>
          </a:extLst>
        </xdr:cNvPr>
        <xdr:cNvSpPr>
          <a:spLocks noChangeShapeType="1"/>
        </xdr:cNvSpPr>
      </xdr:nvSpPr>
      <xdr:spPr bwMode="auto">
        <a:xfrm>
          <a:off x="1609725" y="79533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342900</xdr:colOff>
      <xdr:row>45</xdr:row>
      <xdr:rowOff>0</xdr:rowOff>
    </xdr:from>
    <xdr:to>
      <xdr:col>8</xdr:col>
      <xdr:colOff>342900</xdr:colOff>
      <xdr:row>49</xdr:row>
      <xdr:rowOff>142875</xdr:rowOff>
    </xdr:to>
    <xdr:sp macro="" textlink="">
      <xdr:nvSpPr>
        <xdr:cNvPr id="4337" name="Line 52">
          <a:extLst>
            <a:ext uri="{FF2B5EF4-FFF2-40B4-BE49-F238E27FC236}">
              <a16:creationId xmlns:a16="http://schemas.microsoft.com/office/drawing/2014/main" id="{00000000-0008-0000-0200-0000F1100000}"/>
            </a:ext>
          </a:extLst>
        </xdr:cNvPr>
        <xdr:cNvSpPr>
          <a:spLocks noChangeShapeType="1"/>
        </xdr:cNvSpPr>
      </xdr:nvSpPr>
      <xdr:spPr bwMode="auto">
        <a:xfrm flipV="1">
          <a:off x="5038725" y="6677025"/>
          <a:ext cx="0" cy="790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238125</xdr:colOff>
      <xdr:row>45</xdr:row>
      <xdr:rowOff>0</xdr:rowOff>
    </xdr:from>
    <xdr:to>
      <xdr:col>8</xdr:col>
      <xdr:colOff>342900</xdr:colOff>
      <xdr:row>45</xdr:row>
      <xdr:rowOff>0</xdr:rowOff>
    </xdr:to>
    <xdr:sp macro="" textlink="">
      <xdr:nvSpPr>
        <xdr:cNvPr id="4338" name="Line 53">
          <a:extLst>
            <a:ext uri="{FF2B5EF4-FFF2-40B4-BE49-F238E27FC236}">
              <a16:creationId xmlns:a16="http://schemas.microsoft.com/office/drawing/2014/main" id="{00000000-0008-0000-0200-0000F2100000}"/>
            </a:ext>
          </a:extLst>
        </xdr:cNvPr>
        <xdr:cNvSpPr>
          <a:spLocks noChangeShapeType="1"/>
        </xdr:cNvSpPr>
      </xdr:nvSpPr>
      <xdr:spPr bwMode="auto">
        <a:xfrm flipH="1">
          <a:off x="4933950" y="66770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247650</xdr:colOff>
      <xdr:row>45</xdr:row>
      <xdr:rowOff>9525</xdr:rowOff>
    </xdr:from>
    <xdr:to>
      <xdr:col>8</xdr:col>
      <xdr:colOff>247650</xdr:colOff>
      <xdr:row>49</xdr:row>
      <xdr:rowOff>57150</xdr:rowOff>
    </xdr:to>
    <xdr:sp macro="" textlink="">
      <xdr:nvSpPr>
        <xdr:cNvPr id="4339" name="Line 54">
          <a:extLst>
            <a:ext uri="{FF2B5EF4-FFF2-40B4-BE49-F238E27FC236}">
              <a16:creationId xmlns:a16="http://schemas.microsoft.com/office/drawing/2014/main" id="{00000000-0008-0000-0200-0000F3100000}"/>
            </a:ext>
          </a:extLst>
        </xdr:cNvPr>
        <xdr:cNvSpPr>
          <a:spLocks noChangeShapeType="1"/>
        </xdr:cNvSpPr>
      </xdr:nvSpPr>
      <xdr:spPr bwMode="auto">
        <a:xfrm>
          <a:off x="4943475" y="668655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49</xdr:row>
      <xdr:rowOff>57150</xdr:rowOff>
    </xdr:from>
    <xdr:to>
      <xdr:col>8</xdr:col>
      <xdr:colOff>238125</xdr:colOff>
      <xdr:row>51</xdr:row>
      <xdr:rowOff>47625</xdr:rowOff>
    </xdr:to>
    <xdr:sp macro="" textlink="">
      <xdr:nvSpPr>
        <xdr:cNvPr id="4340" name="Line 55">
          <a:extLst>
            <a:ext uri="{FF2B5EF4-FFF2-40B4-BE49-F238E27FC236}">
              <a16:creationId xmlns:a16="http://schemas.microsoft.com/office/drawing/2014/main" id="{00000000-0008-0000-0200-0000F4100000}"/>
            </a:ext>
          </a:extLst>
        </xdr:cNvPr>
        <xdr:cNvSpPr>
          <a:spLocks noChangeShapeType="1"/>
        </xdr:cNvSpPr>
      </xdr:nvSpPr>
      <xdr:spPr bwMode="auto">
        <a:xfrm flipH="1">
          <a:off x="2257425" y="7381875"/>
          <a:ext cx="2676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45</xdr:row>
      <xdr:rowOff>85725</xdr:rowOff>
    </xdr:from>
    <xdr:to>
      <xdr:col>10</xdr:col>
      <xdr:colOff>552450</xdr:colOff>
      <xdr:row>45</xdr:row>
      <xdr:rowOff>85725</xdr:rowOff>
    </xdr:to>
    <xdr:sp macro="" textlink="">
      <xdr:nvSpPr>
        <xdr:cNvPr id="4341" name="Line 56">
          <a:extLst>
            <a:ext uri="{FF2B5EF4-FFF2-40B4-BE49-F238E27FC236}">
              <a16:creationId xmlns:a16="http://schemas.microsoft.com/office/drawing/2014/main" id="{00000000-0008-0000-0200-0000F5100000}"/>
            </a:ext>
          </a:extLst>
        </xdr:cNvPr>
        <xdr:cNvSpPr>
          <a:spLocks noChangeShapeType="1"/>
        </xdr:cNvSpPr>
      </xdr:nvSpPr>
      <xdr:spPr bwMode="auto">
        <a:xfrm>
          <a:off x="5038725" y="6762750"/>
          <a:ext cx="1428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342900</xdr:colOff>
      <xdr:row>49</xdr:row>
      <xdr:rowOff>57150</xdr:rowOff>
    </xdr:from>
    <xdr:to>
      <xdr:col>9</xdr:col>
      <xdr:colOff>0</xdr:colOff>
      <xdr:row>50</xdr:row>
      <xdr:rowOff>0</xdr:rowOff>
    </xdr:to>
    <xdr:sp macro="" textlink="">
      <xdr:nvSpPr>
        <xdr:cNvPr id="4342" name="Rectangle 57">
          <a:extLst>
            <a:ext uri="{FF2B5EF4-FFF2-40B4-BE49-F238E27FC236}">
              <a16:creationId xmlns:a16="http://schemas.microsoft.com/office/drawing/2014/main" id="{00000000-0008-0000-0200-0000F6100000}"/>
            </a:ext>
          </a:extLst>
        </xdr:cNvPr>
        <xdr:cNvSpPr>
          <a:spLocks noChangeArrowheads="1"/>
        </xdr:cNvSpPr>
      </xdr:nvSpPr>
      <xdr:spPr bwMode="auto">
        <a:xfrm>
          <a:off x="5038725" y="7381875"/>
          <a:ext cx="266700" cy="104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9525</xdr:colOff>
      <xdr:row>50</xdr:row>
      <xdr:rowOff>0</xdr:rowOff>
    </xdr:from>
    <xdr:to>
      <xdr:col>10</xdr:col>
      <xdr:colOff>561975</xdr:colOff>
      <xdr:row>50</xdr:row>
      <xdr:rowOff>0</xdr:rowOff>
    </xdr:to>
    <xdr:sp macro="" textlink="">
      <xdr:nvSpPr>
        <xdr:cNvPr id="4343" name="Line 58">
          <a:extLst>
            <a:ext uri="{FF2B5EF4-FFF2-40B4-BE49-F238E27FC236}">
              <a16:creationId xmlns:a16="http://schemas.microsoft.com/office/drawing/2014/main" id="{00000000-0008-0000-0200-0000F7100000}"/>
            </a:ext>
          </a:extLst>
        </xdr:cNvPr>
        <xdr:cNvSpPr>
          <a:spLocks noChangeShapeType="1"/>
        </xdr:cNvSpPr>
      </xdr:nvSpPr>
      <xdr:spPr bwMode="auto">
        <a:xfrm>
          <a:off x="5314950" y="7486650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52</xdr:row>
      <xdr:rowOff>0</xdr:rowOff>
    </xdr:from>
    <xdr:to>
      <xdr:col>8</xdr:col>
      <xdr:colOff>209550</xdr:colOff>
      <xdr:row>52</xdr:row>
      <xdr:rowOff>0</xdr:rowOff>
    </xdr:to>
    <xdr:sp macro="" textlink="">
      <xdr:nvSpPr>
        <xdr:cNvPr id="4344" name="Line 59">
          <a:extLst>
            <a:ext uri="{FF2B5EF4-FFF2-40B4-BE49-F238E27FC236}">
              <a16:creationId xmlns:a16="http://schemas.microsoft.com/office/drawing/2014/main" id="{00000000-0008-0000-0200-0000F8100000}"/>
            </a:ext>
          </a:extLst>
        </xdr:cNvPr>
        <xdr:cNvSpPr>
          <a:spLocks noChangeShapeType="1"/>
        </xdr:cNvSpPr>
      </xdr:nvSpPr>
      <xdr:spPr bwMode="auto">
        <a:xfrm>
          <a:off x="2257425" y="7810500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9</xdr:col>
      <xdr:colOff>0</xdr:colOff>
      <xdr:row>60</xdr:row>
      <xdr:rowOff>0</xdr:rowOff>
    </xdr:to>
    <xdr:sp macro="" textlink="">
      <xdr:nvSpPr>
        <xdr:cNvPr id="4345" name="Line 60">
          <a:extLst>
            <a:ext uri="{FF2B5EF4-FFF2-40B4-BE49-F238E27FC236}">
              <a16:creationId xmlns:a16="http://schemas.microsoft.com/office/drawing/2014/main" id="{00000000-0008-0000-0200-0000F9100000}"/>
            </a:ext>
          </a:extLst>
        </xdr:cNvPr>
        <xdr:cNvSpPr>
          <a:spLocks noChangeShapeType="1"/>
        </xdr:cNvSpPr>
      </xdr:nvSpPr>
      <xdr:spPr bwMode="auto">
        <a:xfrm>
          <a:off x="5305425" y="6677025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9525</xdr:colOff>
      <xdr:row>45</xdr:row>
      <xdr:rowOff>0</xdr:rowOff>
    </xdr:to>
    <xdr:sp macro="" textlink="">
      <xdr:nvSpPr>
        <xdr:cNvPr id="4346" name="Line 61">
          <a:extLst>
            <a:ext uri="{FF2B5EF4-FFF2-40B4-BE49-F238E27FC236}">
              <a16:creationId xmlns:a16="http://schemas.microsoft.com/office/drawing/2014/main" id="{00000000-0008-0000-0200-0000FA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0</xdr:rowOff>
    </xdr:from>
    <xdr:to>
      <xdr:col>8</xdr:col>
      <xdr:colOff>0</xdr:colOff>
      <xdr:row>49</xdr:row>
      <xdr:rowOff>95250</xdr:rowOff>
    </xdr:to>
    <xdr:sp macro="" textlink="">
      <xdr:nvSpPr>
        <xdr:cNvPr id="4347" name="Line 62">
          <a:extLst>
            <a:ext uri="{FF2B5EF4-FFF2-40B4-BE49-F238E27FC236}">
              <a16:creationId xmlns:a16="http://schemas.microsoft.com/office/drawing/2014/main" id="{00000000-0008-0000-0200-0000FB100000}"/>
            </a:ext>
          </a:extLst>
        </xdr:cNvPr>
        <xdr:cNvSpPr>
          <a:spLocks noChangeShapeType="1"/>
        </xdr:cNvSpPr>
      </xdr:nvSpPr>
      <xdr:spPr bwMode="auto">
        <a:xfrm>
          <a:off x="4695825" y="6677025"/>
          <a:ext cx="0" cy="7429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8</xdr:col>
      <xdr:colOff>476250</xdr:colOff>
      <xdr:row>45</xdr:row>
      <xdr:rowOff>9525</xdr:rowOff>
    </xdr:from>
    <xdr:to>
      <xdr:col>8</xdr:col>
      <xdr:colOff>495300</xdr:colOff>
      <xdr:row>60</xdr:row>
      <xdr:rowOff>9525</xdr:rowOff>
    </xdr:to>
    <xdr:sp macro="" textlink="">
      <xdr:nvSpPr>
        <xdr:cNvPr id="4348" name="Line 63">
          <a:extLst>
            <a:ext uri="{FF2B5EF4-FFF2-40B4-BE49-F238E27FC236}">
              <a16:creationId xmlns:a16="http://schemas.microsoft.com/office/drawing/2014/main" id="{00000000-0008-0000-0200-0000FC100000}"/>
            </a:ext>
          </a:extLst>
        </xdr:cNvPr>
        <xdr:cNvSpPr>
          <a:spLocks noChangeShapeType="1"/>
        </xdr:cNvSpPr>
      </xdr:nvSpPr>
      <xdr:spPr bwMode="auto">
        <a:xfrm flipH="1">
          <a:off x="5172075" y="6686550"/>
          <a:ext cx="19050" cy="2428875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  <xdr:twoCellAnchor>
    <xdr:from>
      <xdr:col>3</xdr:col>
      <xdr:colOff>514350</xdr:colOff>
      <xdr:row>53</xdr:row>
      <xdr:rowOff>0</xdr:rowOff>
    </xdr:from>
    <xdr:to>
      <xdr:col>3</xdr:col>
      <xdr:colOff>514350</xdr:colOff>
      <xdr:row>58</xdr:row>
      <xdr:rowOff>0</xdr:rowOff>
    </xdr:to>
    <xdr:sp macro="" textlink="">
      <xdr:nvSpPr>
        <xdr:cNvPr id="4349" name="Line 64">
          <a:extLst>
            <a:ext uri="{FF2B5EF4-FFF2-40B4-BE49-F238E27FC236}">
              <a16:creationId xmlns:a16="http://schemas.microsoft.com/office/drawing/2014/main" id="{00000000-0008-0000-0200-0000FD100000}"/>
            </a:ext>
          </a:extLst>
        </xdr:cNvPr>
        <xdr:cNvSpPr>
          <a:spLocks noChangeShapeType="1"/>
        </xdr:cNvSpPr>
      </xdr:nvSpPr>
      <xdr:spPr bwMode="auto">
        <a:xfrm>
          <a:off x="2162175" y="79724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581025</xdr:colOff>
      <xdr:row>50</xdr:row>
      <xdr:rowOff>0</xdr:rowOff>
    </xdr:from>
    <xdr:to>
      <xdr:col>2</xdr:col>
      <xdr:colOff>0</xdr:colOff>
      <xdr:row>58</xdr:row>
      <xdr:rowOff>152400</xdr:rowOff>
    </xdr:to>
    <xdr:sp macro="" textlink="">
      <xdr:nvSpPr>
        <xdr:cNvPr id="4350" name="Line 65">
          <a:extLst>
            <a:ext uri="{FF2B5EF4-FFF2-40B4-BE49-F238E27FC236}">
              <a16:creationId xmlns:a16="http://schemas.microsoft.com/office/drawing/2014/main" id="{00000000-0008-0000-0200-0000FE100000}"/>
            </a:ext>
          </a:extLst>
        </xdr:cNvPr>
        <xdr:cNvSpPr>
          <a:spLocks noChangeShapeType="1"/>
        </xdr:cNvSpPr>
      </xdr:nvSpPr>
      <xdr:spPr bwMode="auto">
        <a:xfrm flipH="1">
          <a:off x="1009650" y="7486650"/>
          <a:ext cx="28575" cy="1447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66675</xdr:colOff>
      <xdr:row>52</xdr:row>
      <xdr:rowOff>152400</xdr:rowOff>
    </xdr:from>
    <xdr:to>
      <xdr:col>2</xdr:col>
      <xdr:colOff>66675</xdr:colOff>
      <xdr:row>57</xdr:row>
      <xdr:rowOff>152400</xdr:rowOff>
    </xdr:to>
    <xdr:sp macro="" textlink="">
      <xdr:nvSpPr>
        <xdr:cNvPr id="4351" name="Line 66">
          <a:extLst>
            <a:ext uri="{FF2B5EF4-FFF2-40B4-BE49-F238E27FC236}">
              <a16:creationId xmlns:a16="http://schemas.microsoft.com/office/drawing/2014/main" id="{00000000-0008-0000-0200-0000FF100000}"/>
            </a:ext>
          </a:extLst>
        </xdr:cNvPr>
        <xdr:cNvSpPr>
          <a:spLocks noChangeShapeType="1"/>
        </xdr:cNvSpPr>
      </xdr:nvSpPr>
      <xdr:spPr bwMode="auto">
        <a:xfrm>
          <a:off x="1104900" y="7962900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59</xdr:row>
      <xdr:rowOff>0</xdr:rowOff>
    </xdr:from>
    <xdr:to>
      <xdr:col>5</xdr:col>
      <xdr:colOff>9525</xdr:colOff>
      <xdr:row>59</xdr:row>
      <xdr:rowOff>142875</xdr:rowOff>
    </xdr:to>
    <xdr:sp macro="" textlink="">
      <xdr:nvSpPr>
        <xdr:cNvPr id="4352" name="Line 67">
          <a:extLst>
            <a:ext uri="{FF2B5EF4-FFF2-40B4-BE49-F238E27FC236}">
              <a16:creationId xmlns:a16="http://schemas.microsoft.com/office/drawing/2014/main" id="{00000000-0008-0000-0200-000000110000}"/>
            </a:ext>
          </a:extLst>
        </xdr:cNvPr>
        <xdr:cNvSpPr>
          <a:spLocks noChangeShapeType="1"/>
        </xdr:cNvSpPr>
      </xdr:nvSpPr>
      <xdr:spPr bwMode="auto">
        <a:xfrm>
          <a:off x="2257425" y="8943975"/>
          <a:ext cx="619125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59</xdr:row>
      <xdr:rowOff>0</xdr:rowOff>
    </xdr:from>
    <xdr:to>
      <xdr:col>8</xdr:col>
      <xdr:colOff>219075</xdr:colOff>
      <xdr:row>59</xdr:row>
      <xdr:rowOff>0</xdr:rowOff>
    </xdr:to>
    <xdr:sp macro="" textlink="">
      <xdr:nvSpPr>
        <xdr:cNvPr id="4353" name="Line 68">
          <a:extLst>
            <a:ext uri="{FF2B5EF4-FFF2-40B4-BE49-F238E27FC236}">
              <a16:creationId xmlns:a16="http://schemas.microsoft.com/office/drawing/2014/main" id="{00000000-0008-0000-0200-000001110000}"/>
            </a:ext>
          </a:extLst>
        </xdr:cNvPr>
        <xdr:cNvSpPr>
          <a:spLocks noChangeShapeType="1"/>
        </xdr:cNvSpPr>
      </xdr:nvSpPr>
      <xdr:spPr bwMode="auto">
        <a:xfrm>
          <a:off x="2266950" y="8943975"/>
          <a:ext cx="2647950" cy="0"/>
        </a:xfrm>
        <a:prstGeom prst="line">
          <a:avLst/>
        </a:prstGeom>
        <a:noFill/>
        <a:ln w="1">
          <a:solidFill>
            <a:srgbClr val="000000"/>
          </a:solidFill>
          <a:prstDash val="dash"/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723900</xdr:colOff>
      <xdr:row>52</xdr:row>
      <xdr:rowOff>133350</xdr:rowOff>
    </xdr:from>
    <xdr:to>
      <xdr:col>7</xdr:col>
      <xdr:colOff>409575</xdr:colOff>
      <xdr:row>53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flipV="1">
          <a:off x="3295650" y="7915275"/>
          <a:ext cx="1905000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55</xdr:row>
      <xdr:rowOff>142875</xdr:rowOff>
    </xdr:from>
    <xdr:to>
      <xdr:col>9</xdr:col>
      <xdr:colOff>57150</xdr:colOff>
      <xdr:row>56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2133600" y="8382000"/>
          <a:ext cx="42005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58</xdr:row>
      <xdr:rowOff>0</xdr:rowOff>
    </xdr:from>
    <xdr:to>
      <xdr:col>5</xdr:col>
      <xdr:colOff>447675</xdr:colOff>
      <xdr:row>58</xdr:row>
      <xdr:rowOff>9525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flipV="1">
          <a:off x="2562225" y="8696325"/>
          <a:ext cx="11906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58</xdr:row>
      <xdr:rowOff>38100</xdr:rowOff>
    </xdr:from>
    <xdr:to>
      <xdr:col>4</xdr:col>
      <xdr:colOff>9525</xdr:colOff>
      <xdr:row>65</xdr:row>
      <xdr:rowOff>19050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2571750" y="8734425"/>
          <a:ext cx="9525" cy="1047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65</xdr:row>
      <xdr:rowOff>0</xdr:rowOff>
    </xdr:from>
    <xdr:to>
      <xdr:col>5</xdr:col>
      <xdr:colOff>438150</xdr:colOff>
      <xdr:row>65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2571750" y="9763125"/>
          <a:ext cx="11715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58</xdr:row>
      <xdr:rowOff>0</xdr:rowOff>
    </xdr:from>
    <xdr:to>
      <xdr:col>5</xdr:col>
      <xdr:colOff>447675</xdr:colOff>
      <xdr:row>65</xdr:row>
      <xdr:rowOff>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>
          <a:off x="3752850" y="8696325"/>
          <a:ext cx="0" cy="1066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66</xdr:row>
      <xdr:rowOff>142875</xdr:rowOff>
    </xdr:from>
    <xdr:to>
      <xdr:col>9</xdr:col>
      <xdr:colOff>19050</xdr:colOff>
      <xdr:row>66</xdr:row>
      <xdr:rowOff>142875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2228850" y="10058400"/>
          <a:ext cx="40671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58</xdr:row>
      <xdr:rowOff>0</xdr:rowOff>
    </xdr:from>
    <xdr:to>
      <xdr:col>7</xdr:col>
      <xdr:colOff>409575</xdr:colOff>
      <xdr:row>58</xdr:row>
      <xdr:rowOff>9525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 flipV="1">
          <a:off x="4143375" y="8696325"/>
          <a:ext cx="105727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58</xdr:row>
      <xdr:rowOff>19050</xdr:rowOff>
    </xdr:from>
    <xdr:to>
      <xdr:col>6</xdr:col>
      <xdr:colOff>114300</xdr:colOff>
      <xdr:row>65</xdr:row>
      <xdr:rowOff>9525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4143375" y="8715375"/>
          <a:ext cx="9525" cy="1057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65</xdr:row>
      <xdr:rowOff>0</xdr:rowOff>
    </xdr:from>
    <xdr:to>
      <xdr:col>7</xdr:col>
      <xdr:colOff>447675</xdr:colOff>
      <xdr:row>65</xdr:row>
      <xdr:rowOff>9526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flipV="1">
          <a:off x="4152900" y="9763125"/>
          <a:ext cx="1085850" cy="9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56</xdr:row>
      <xdr:rowOff>0</xdr:rowOff>
    </xdr:from>
    <xdr:to>
      <xdr:col>3</xdr:col>
      <xdr:colOff>390525</xdr:colOff>
      <xdr:row>66</xdr:row>
      <xdr:rowOff>142875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>
          <a:off x="2209800" y="8391525"/>
          <a:ext cx="19050" cy="1666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56</xdr:row>
      <xdr:rowOff>9525</xdr:rowOff>
    </xdr:from>
    <xdr:to>
      <xdr:col>3</xdr:col>
      <xdr:colOff>142875</xdr:colOff>
      <xdr:row>56</xdr:row>
      <xdr:rowOff>19050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1143000" y="8401050"/>
          <a:ext cx="838200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58</xdr:row>
      <xdr:rowOff>0</xdr:rowOff>
    </xdr:from>
    <xdr:to>
      <xdr:col>3</xdr:col>
      <xdr:colOff>190500</xdr:colOff>
      <xdr:row>58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1209675" y="8696325"/>
          <a:ext cx="8191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65</xdr:row>
      <xdr:rowOff>9525</xdr:rowOff>
    </xdr:from>
    <xdr:to>
      <xdr:col>2</xdr:col>
      <xdr:colOff>723900</xdr:colOff>
      <xdr:row>65</xdr:row>
      <xdr:rowOff>19050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 flipV="1">
          <a:off x="1171575" y="9772650"/>
          <a:ext cx="63817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67</xdr:row>
      <xdr:rowOff>0</xdr:rowOff>
    </xdr:from>
    <xdr:to>
      <xdr:col>3</xdr:col>
      <xdr:colOff>47625</xdr:colOff>
      <xdr:row>67</xdr:row>
      <xdr:rowOff>9525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1190625" y="10067925"/>
          <a:ext cx="6953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62</xdr:row>
      <xdr:rowOff>9525</xdr:rowOff>
    </xdr:from>
    <xdr:to>
      <xdr:col>2</xdr:col>
      <xdr:colOff>447675</xdr:colOff>
      <xdr:row>65</xdr:row>
      <xdr:rowOff>9525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>
          <a:off x="1533525" y="9315450"/>
          <a:ext cx="0" cy="4572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448696</xdr:colOff>
      <xdr:row>57</xdr:row>
      <xdr:rowOff>149339</xdr:rowOff>
    </xdr:from>
    <xdr:to>
      <xdr:col>2</xdr:col>
      <xdr:colOff>458221</xdr:colOff>
      <xdr:row>60</xdr:row>
      <xdr:rowOff>158864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V="1">
          <a:off x="1384187" y="10218625"/>
          <a:ext cx="9525" cy="494279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52</xdr:row>
      <xdr:rowOff>95250</xdr:rowOff>
    </xdr:from>
    <xdr:to>
      <xdr:col>4</xdr:col>
      <xdr:colOff>19050</xdr:colOff>
      <xdr:row>55</xdr:row>
      <xdr:rowOff>85725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2581275" y="7877175"/>
          <a:ext cx="9525" cy="4476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52</xdr:row>
      <xdr:rowOff>85725</xdr:rowOff>
    </xdr:from>
    <xdr:to>
      <xdr:col>3</xdr:col>
      <xdr:colOff>352425</xdr:colOff>
      <xdr:row>55</xdr:row>
      <xdr:rowOff>19051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 flipV="1">
          <a:off x="2181225" y="7867650"/>
          <a:ext cx="9525" cy="390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9526</xdr:colOff>
      <xdr:row>67</xdr:row>
      <xdr:rowOff>19050</xdr:rowOff>
    </xdr:from>
    <xdr:to>
      <xdr:col>4</xdr:col>
      <xdr:colOff>19050</xdr:colOff>
      <xdr:row>68</xdr:row>
      <xdr:rowOff>123825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2581276" y="10086975"/>
          <a:ext cx="9524" cy="257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67</xdr:row>
      <xdr:rowOff>28575</xdr:rowOff>
    </xdr:from>
    <xdr:to>
      <xdr:col>3</xdr:col>
      <xdr:colOff>409575</xdr:colOff>
      <xdr:row>68</xdr:row>
      <xdr:rowOff>123825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2228850" y="10096500"/>
          <a:ext cx="19050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67</xdr:row>
      <xdr:rowOff>47625</xdr:rowOff>
    </xdr:from>
    <xdr:to>
      <xdr:col>5</xdr:col>
      <xdr:colOff>476250</xdr:colOff>
      <xdr:row>68</xdr:row>
      <xdr:rowOff>142875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3771900" y="10115550"/>
          <a:ext cx="952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94229</xdr:colOff>
      <xdr:row>67</xdr:row>
      <xdr:rowOff>79602</xdr:rowOff>
    </xdr:from>
    <xdr:to>
      <xdr:col>6</xdr:col>
      <xdr:colOff>94229</xdr:colOff>
      <xdr:row>68</xdr:row>
      <xdr:rowOff>146277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3904229" y="11764736"/>
          <a:ext cx="0" cy="228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58</xdr:row>
      <xdr:rowOff>0</xdr:rowOff>
    </xdr:from>
    <xdr:to>
      <xdr:col>7</xdr:col>
      <xdr:colOff>371475</xdr:colOff>
      <xdr:row>65</xdr:row>
      <xdr:rowOff>28575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>
          <a:off x="5162550" y="8696325"/>
          <a:ext cx="0" cy="10953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58</xdr:row>
      <xdr:rowOff>9525</xdr:rowOff>
    </xdr:from>
    <xdr:to>
      <xdr:col>8</xdr:col>
      <xdr:colOff>0</xdr:colOff>
      <xdr:row>65</xdr:row>
      <xdr:rowOff>28575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5524500" y="8705850"/>
          <a:ext cx="0" cy="10858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58</xdr:row>
      <xdr:rowOff>0</xdr:rowOff>
    </xdr:from>
    <xdr:to>
      <xdr:col>9</xdr:col>
      <xdr:colOff>9525</xdr:colOff>
      <xdr:row>58</xdr:row>
      <xdr:rowOff>9525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5534025" y="8696325"/>
          <a:ext cx="75247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64</xdr:row>
      <xdr:rowOff>142875</xdr:rowOff>
    </xdr:from>
    <xdr:to>
      <xdr:col>9</xdr:col>
      <xdr:colOff>57150</xdr:colOff>
      <xdr:row>65</xdr:row>
      <xdr:rowOff>9525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CxnSpPr/>
      </xdr:nvCxnSpPr>
      <xdr:spPr>
        <a:xfrm flipV="1">
          <a:off x="5534025" y="9753600"/>
          <a:ext cx="800100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8505</xdr:colOff>
      <xdr:row>68</xdr:row>
      <xdr:rowOff>0</xdr:rowOff>
    </xdr:from>
    <xdr:to>
      <xdr:col>5</xdr:col>
      <xdr:colOff>467746</xdr:colOff>
      <xdr:row>68</xdr:row>
      <xdr:rowOff>17009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CxnSpPr/>
      </xdr:nvCxnSpPr>
      <xdr:spPr bwMode="auto">
        <a:xfrm>
          <a:off x="2355737" y="11846719"/>
          <a:ext cx="1190625" cy="17009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triangle"/>
          <a:tailEnd type="triangle"/>
        </a:ln>
        <a:effectLst/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998</xdr:row>
      <xdr:rowOff>152400</xdr:rowOff>
    </xdr:from>
    <xdr:to>
      <xdr:col>6</xdr:col>
      <xdr:colOff>38100</xdr:colOff>
      <xdr:row>999</xdr:row>
      <xdr:rowOff>9525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 bwMode="auto">
        <a:xfrm>
          <a:off x="371475" y="161667825"/>
          <a:ext cx="3667125" cy="190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</xdr:col>
      <xdr:colOff>9525</xdr:colOff>
      <xdr:row>1001</xdr:row>
      <xdr:rowOff>152400</xdr:rowOff>
    </xdr:from>
    <xdr:to>
      <xdr:col>6</xdr:col>
      <xdr:colOff>38100</xdr:colOff>
      <xdr:row>1002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 bwMode="auto">
        <a:xfrm>
          <a:off x="361950" y="184642125"/>
          <a:ext cx="3676650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342900</xdr:colOff>
      <xdr:row>1024</xdr:row>
      <xdr:rowOff>9525</xdr:rowOff>
    </xdr:from>
    <xdr:to>
      <xdr:col>5</xdr:col>
      <xdr:colOff>742950</xdr:colOff>
      <xdr:row>1024</xdr:row>
      <xdr:rowOff>19051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 bwMode="auto">
        <a:xfrm flipV="1">
          <a:off x="342900" y="165896925"/>
          <a:ext cx="3648075" cy="9526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</xdr:col>
      <xdr:colOff>9525</xdr:colOff>
      <xdr:row>1028</xdr:row>
      <xdr:rowOff>152400</xdr:rowOff>
    </xdr:from>
    <xdr:to>
      <xdr:col>6</xdr:col>
      <xdr:colOff>19050</xdr:colOff>
      <xdr:row>1029</xdr:row>
      <xdr:rowOff>9525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 bwMode="auto">
        <a:xfrm flipV="1">
          <a:off x="361950" y="189176025"/>
          <a:ext cx="3657600" cy="190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304800</xdr:colOff>
      <xdr:row>1188</xdr:row>
      <xdr:rowOff>0</xdr:rowOff>
    </xdr:from>
    <xdr:to>
      <xdr:col>9</xdr:col>
      <xdr:colOff>57150</xdr:colOff>
      <xdr:row>1188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 bwMode="auto">
        <a:xfrm>
          <a:off x="304800" y="215903175"/>
          <a:ext cx="568642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</xdr:col>
      <xdr:colOff>0</xdr:colOff>
      <xdr:row>1203</xdr:row>
      <xdr:rowOff>152400</xdr:rowOff>
    </xdr:from>
    <xdr:to>
      <xdr:col>6</xdr:col>
      <xdr:colOff>38100</xdr:colOff>
      <xdr:row>1204</xdr:row>
      <xdr:rowOff>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 bwMode="auto">
        <a:xfrm>
          <a:off x="352425" y="218646375"/>
          <a:ext cx="3686175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581025</xdr:colOff>
      <xdr:row>91</xdr:row>
      <xdr:rowOff>152400</xdr:rowOff>
    </xdr:from>
    <xdr:to>
      <xdr:col>9</xdr:col>
      <xdr:colOff>9525</xdr:colOff>
      <xdr:row>92</xdr:row>
      <xdr:rowOff>9525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 bwMode="auto">
        <a:xfrm>
          <a:off x="2400300" y="14887575"/>
          <a:ext cx="3657600" cy="190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647700</xdr:colOff>
      <xdr:row>90</xdr:row>
      <xdr:rowOff>0</xdr:rowOff>
    </xdr:from>
    <xdr:to>
      <xdr:col>9</xdr:col>
      <xdr:colOff>19050</xdr:colOff>
      <xdr:row>90</xdr:row>
      <xdr:rowOff>9525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 bwMode="auto">
        <a:xfrm>
          <a:off x="2466975" y="14573250"/>
          <a:ext cx="3600450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9525</xdr:colOff>
      <xdr:row>90</xdr:row>
      <xdr:rowOff>9525</xdr:rowOff>
    </xdr:from>
    <xdr:to>
      <xdr:col>9</xdr:col>
      <xdr:colOff>9525</xdr:colOff>
      <xdr:row>92</xdr:row>
      <xdr:rowOff>19050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 bwMode="auto">
        <a:xfrm>
          <a:off x="6057900" y="14582775"/>
          <a:ext cx="0" cy="3333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676275</xdr:colOff>
      <xdr:row>84</xdr:row>
      <xdr:rowOff>0</xdr:rowOff>
    </xdr:from>
    <xdr:to>
      <xdr:col>7</xdr:col>
      <xdr:colOff>9525</xdr:colOff>
      <xdr:row>84</xdr:row>
      <xdr:rowOff>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 bwMode="auto">
        <a:xfrm>
          <a:off x="2495550" y="13601700"/>
          <a:ext cx="2190750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723900</xdr:colOff>
      <xdr:row>82</xdr:row>
      <xdr:rowOff>85725</xdr:rowOff>
    </xdr:from>
    <xdr:to>
      <xdr:col>6</xdr:col>
      <xdr:colOff>409575</xdr:colOff>
      <xdr:row>82</xdr:row>
      <xdr:rowOff>85725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 bwMode="auto">
        <a:xfrm>
          <a:off x="2543175" y="13363575"/>
          <a:ext cx="1866900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390525</xdr:colOff>
      <xdr:row>76</xdr:row>
      <xdr:rowOff>0</xdr:rowOff>
    </xdr:from>
    <xdr:to>
      <xdr:col>6</xdr:col>
      <xdr:colOff>409575</xdr:colOff>
      <xdr:row>82</xdr:row>
      <xdr:rowOff>85725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 bwMode="auto">
        <a:xfrm>
          <a:off x="4391025" y="12306300"/>
          <a:ext cx="19050" cy="10572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28575</xdr:colOff>
      <xdr:row>76</xdr:row>
      <xdr:rowOff>142875</xdr:rowOff>
    </xdr:from>
    <xdr:to>
      <xdr:col>9</xdr:col>
      <xdr:colOff>47625</xdr:colOff>
      <xdr:row>77</xdr:row>
      <xdr:rowOff>9525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 bwMode="auto">
        <a:xfrm>
          <a:off x="6076950" y="12449175"/>
          <a:ext cx="19050" cy="285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85725</xdr:colOff>
      <xdr:row>89</xdr:row>
      <xdr:rowOff>152400</xdr:rowOff>
    </xdr:from>
    <xdr:to>
      <xdr:col>3</xdr:col>
      <xdr:colOff>514350</xdr:colOff>
      <xdr:row>90</xdr:row>
      <xdr:rowOff>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 bwMode="auto">
        <a:xfrm>
          <a:off x="1905000" y="14563725"/>
          <a:ext cx="428625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57150</xdr:colOff>
      <xdr:row>84</xdr:row>
      <xdr:rowOff>0</xdr:rowOff>
    </xdr:from>
    <xdr:to>
      <xdr:col>3</xdr:col>
      <xdr:colOff>495300</xdr:colOff>
      <xdr:row>84</xdr:row>
      <xdr:rowOff>9525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 bwMode="auto">
        <a:xfrm>
          <a:off x="1876425" y="13601700"/>
          <a:ext cx="438150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723900</xdr:colOff>
      <xdr:row>92</xdr:row>
      <xdr:rowOff>0</xdr:rowOff>
    </xdr:from>
    <xdr:to>
      <xdr:col>3</xdr:col>
      <xdr:colOff>485775</xdr:colOff>
      <xdr:row>92</xdr:row>
      <xdr:rowOff>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 bwMode="auto">
        <a:xfrm>
          <a:off x="1809750" y="14897100"/>
          <a:ext cx="495300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304800</xdr:colOff>
      <xdr:row>84</xdr:row>
      <xdr:rowOff>28575</xdr:rowOff>
    </xdr:from>
    <xdr:to>
      <xdr:col>3</xdr:col>
      <xdr:colOff>314325</xdr:colOff>
      <xdr:row>89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 bwMode="auto">
        <a:xfrm flipH="1">
          <a:off x="2124075" y="13630275"/>
          <a:ext cx="9525" cy="90487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arrow"/>
          <a:tailEnd type="arrow"/>
        </a:ln>
        <a:effectLst/>
      </xdr:spPr>
    </xdr:cxnSp>
    <xdr:clientData/>
  </xdr:twoCellAnchor>
  <xdr:twoCellAnchor>
    <xdr:from>
      <xdr:col>2</xdr:col>
      <xdr:colOff>695325</xdr:colOff>
      <xdr:row>82</xdr:row>
      <xdr:rowOff>66675</xdr:rowOff>
    </xdr:from>
    <xdr:to>
      <xdr:col>3</xdr:col>
      <xdr:colOff>619125</xdr:colOff>
      <xdr:row>82</xdr:row>
      <xdr:rowOff>76200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 bwMode="auto">
        <a:xfrm>
          <a:off x="1781175" y="13344525"/>
          <a:ext cx="657225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304800</xdr:colOff>
      <xdr:row>80</xdr:row>
      <xdr:rowOff>114300</xdr:rowOff>
    </xdr:from>
    <xdr:to>
      <xdr:col>3</xdr:col>
      <xdr:colOff>304800</xdr:colOff>
      <xdr:row>82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 bwMode="auto">
        <a:xfrm>
          <a:off x="2124075" y="13068300"/>
          <a:ext cx="0" cy="2667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3</xdr:col>
      <xdr:colOff>276225</xdr:colOff>
      <xdr:row>92</xdr:row>
      <xdr:rowOff>9527</xdr:rowOff>
    </xdr:from>
    <xdr:to>
      <xdr:col>3</xdr:col>
      <xdr:colOff>276225</xdr:colOff>
      <xdr:row>93</xdr:row>
      <xdr:rowOff>133350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 bwMode="auto">
        <a:xfrm flipV="1">
          <a:off x="2095500" y="14906627"/>
          <a:ext cx="0" cy="285748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5</xdr:col>
      <xdr:colOff>647700</xdr:colOff>
      <xdr:row>75</xdr:row>
      <xdr:rowOff>0</xdr:rowOff>
    </xdr:from>
    <xdr:to>
      <xdr:col>6</xdr:col>
      <xdr:colOff>390525</xdr:colOff>
      <xdr:row>75</xdr:row>
      <xdr:rowOff>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 bwMode="auto">
        <a:xfrm>
          <a:off x="3895725" y="12220575"/>
          <a:ext cx="600075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2</xdr:col>
      <xdr:colOff>38100</xdr:colOff>
      <xdr:row>75</xdr:row>
      <xdr:rowOff>0</xdr:rowOff>
    </xdr:from>
    <xdr:to>
      <xdr:col>3</xdr:col>
      <xdr:colOff>361950</xdr:colOff>
      <xdr:row>75</xdr:row>
      <xdr:rowOff>9525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 bwMode="auto">
        <a:xfrm flipH="1" flipV="1">
          <a:off x="1123950" y="12220575"/>
          <a:ext cx="1057275" cy="952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7</xdr:col>
      <xdr:colOff>0</xdr:colOff>
      <xdr:row>92</xdr:row>
      <xdr:rowOff>114300</xdr:rowOff>
    </xdr:from>
    <xdr:to>
      <xdr:col>7</xdr:col>
      <xdr:colOff>9525</xdr:colOff>
      <xdr:row>94</xdr:row>
      <xdr:rowOff>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 bwMode="auto">
        <a:xfrm>
          <a:off x="4676775" y="15011400"/>
          <a:ext cx="9525" cy="2095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676275</xdr:colOff>
      <xdr:row>92</xdr:row>
      <xdr:rowOff>104775</xdr:rowOff>
    </xdr:from>
    <xdr:to>
      <xdr:col>9</xdr:col>
      <xdr:colOff>0</xdr:colOff>
      <xdr:row>94</xdr:row>
      <xdr:rowOff>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/>
      </xdr:nvCxnSpPr>
      <xdr:spPr bwMode="auto">
        <a:xfrm>
          <a:off x="6038850" y="15001875"/>
          <a:ext cx="9525" cy="2190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0</xdr:colOff>
      <xdr:row>93</xdr:row>
      <xdr:rowOff>85725</xdr:rowOff>
    </xdr:from>
    <xdr:to>
      <xdr:col>7</xdr:col>
      <xdr:colOff>323850</xdr:colOff>
      <xdr:row>93</xdr:row>
      <xdr:rowOff>95250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/>
      </xdr:nvCxnSpPr>
      <xdr:spPr bwMode="auto">
        <a:xfrm flipH="1">
          <a:off x="4676775" y="15144750"/>
          <a:ext cx="323850" cy="952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8</xdr:col>
      <xdr:colOff>190500</xdr:colOff>
      <xdr:row>93</xdr:row>
      <xdr:rowOff>95250</xdr:rowOff>
    </xdr:from>
    <xdr:to>
      <xdr:col>9</xdr:col>
      <xdr:colOff>19050</xdr:colOff>
      <xdr:row>93</xdr:row>
      <xdr:rowOff>95250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/>
      </xdr:nvCxnSpPr>
      <xdr:spPr bwMode="auto">
        <a:xfrm>
          <a:off x="5553075" y="15154275"/>
          <a:ext cx="514350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7</xdr:col>
      <xdr:colOff>9525</xdr:colOff>
      <xdr:row>98</xdr:row>
      <xdr:rowOff>152400</xdr:rowOff>
    </xdr:from>
    <xdr:to>
      <xdr:col>7</xdr:col>
      <xdr:colOff>10583</xdr:colOff>
      <xdr:row>108</xdr:row>
      <xdr:rowOff>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/>
      </xdr:nvCxnSpPr>
      <xdr:spPr bwMode="auto">
        <a:xfrm>
          <a:off x="4686300" y="16021050"/>
          <a:ext cx="1058" cy="14668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685800</xdr:colOff>
      <xdr:row>107</xdr:row>
      <xdr:rowOff>152400</xdr:rowOff>
    </xdr:from>
    <xdr:to>
      <xdr:col>7</xdr:col>
      <xdr:colOff>47625</xdr:colOff>
      <xdr:row>108</xdr:row>
      <xdr:rowOff>19050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 bwMode="auto">
        <a:xfrm>
          <a:off x="2505075" y="17478375"/>
          <a:ext cx="2219325" cy="285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9525</xdr:colOff>
      <xdr:row>108</xdr:row>
      <xdr:rowOff>19050</xdr:rowOff>
    </xdr:from>
    <xdr:to>
      <xdr:col>7</xdr:col>
      <xdr:colOff>9525</xdr:colOff>
      <xdr:row>114</xdr:row>
      <xdr:rowOff>9525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/>
      </xdr:nvCxnSpPr>
      <xdr:spPr bwMode="auto">
        <a:xfrm>
          <a:off x="4686300" y="17506950"/>
          <a:ext cx="0" cy="9620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257175</xdr:colOff>
      <xdr:row>99</xdr:row>
      <xdr:rowOff>123825</xdr:rowOff>
    </xdr:from>
    <xdr:to>
      <xdr:col>6</xdr:col>
      <xdr:colOff>266700</xdr:colOff>
      <xdr:row>106</xdr:row>
      <xdr:rowOff>9525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 bwMode="auto">
        <a:xfrm>
          <a:off x="4257675" y="16154400"/>
          <a:ext cx="9525" cy="10191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667809</xdr:colOff>
      <xdr:row>106</xdr:row>
      <xdr:rowOff>21166</xdr:rowOff>
    </xdr:from>
    <xdr:to>
      <xdr:col>7</xdr:col>
      <xdr:colOff>58209</xdr:colOff>
      <xdr:row>106</xdr:row>
      <xdr:rowOff>21166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/>
      </xdr:nvCxnSpPr>
      <xdr:spPr bwMode="auto">
        <a:xfrm>
          <a:off x="2487084" y="17185216"/>
          <a:ext cx="2247900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276225</xdr:colOff>
      <xdr:row>108</xdr:row>
      <xdr:rowOff>9525</xdr:rowOff>
    </xdr:from>
    <xdr:to>
      <xdr:col>6</xdr:col>
      <xdr:colOff>285750</xdr:colOff>
      <xdr:row>114</xdr:row>
      <xdr:rowOff>9525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/>
      </xdr:nvCxnSpPr>
      <xdr:spPr bwMode="auto">
        <a:xfrm>
          <a:off x="4276725" y="17497425"/>
          <a:ext cx="9525" cy="9715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0</xdr:colOff>
      <xdr:row>114</xdr:row>
      <xdr:rowOff>0</xdr:rowOff>
    </xdr:from>
    <xdr:to>
      <xdr:col>7</xdr:col>
      <xdr:colOff>285750</xdr:colOff>
      <xdr:row>114</xdr:row>
      <xdr:rowOff>28575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 bwMode="auto">
        <a:xfrm flipV="1">
          <a:off x="2552700" y="18459450"/>
          <a:ext cx="2409825" cy="285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657225</xdr:colOff>
      <xdr:row>116</xdr:row>
      <xdr:rowOff>76200</xdr:rowOff>
    </xdr:from>
    <xdr:to>
      <xdr:col>7</xdr:col>
      <xdr:colOff>361950</xdr:colOff>
      <xdr:row>116</xdr:row>
      <xdr:rowOff>85725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CxnSpPr/>
      </xdr:nvCxnSpPr>
      <xdr:spPr bwMode="auto">
        <a:xfrm>
          <a:off x="2476500" y="18859500"/>
          <a:ext cx="2562225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257175</xdr:colOff>
      <xdr:row>116</xdr:row>
      <xdr:rowOff>123825</xdr:rowOff>
    </xdr:from>
    <xdr:to>
      <xdr:col>6</xdr:col>
      <xdr:colOff>257175</xdr:colOff>
      <xdr:row>118</xdr:row>
      <xdr:rowOff>133350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/>
      </xdr:nvCxnSpPr>
      <xdr:spPr bwMode="auto">
        <a:xfrm>
          <a:off x="4257675" y="18907125"/>
          <a:ext cx="0" cy="3333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361950</xdr:colOff>
      <xdr:row>99</xdr:row>
      <xdr:rowOff>152400</xdr:rowOff>
    </xdr:from>
    <xdr:to>
      <xdr:col>7</xdr:col>
      <xdr:colOff>28575</xdr:colOff>
      <xdr:row>100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 bwMode="auto">
        <a:xfrm>
          <a:off x="2181225" y="16182975"/>
          <a:ext cx="2524125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323850</xdr:colOff>
      <xdr:row>99</xdr:row>
      <xdr:rowOff>0</xdr:rowOff>
    </xdr:from>
    <xdr:to>
      <xdr:col>7</xdr:col>
      <xdr:colOff>28575</xdr:colOff>
      <xdr:row>99</xdr:row>
      <xdr:rowOff>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 bwMode="auto">
        <a:xfrm>
          <a:off x="2143125" y="16030575"/>
          <a:ext cx="256222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0</xdr:colOff>
      <xdr:row>108</xdr:row>
      <xdr:rowOff>47625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 bwMode="auto">
        <a:xfrm>
          <a:off x="2552700" y="16192500"/>
          <a:ext cx="0" cy="13430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304800</xdr:colOff>
      <xdr:row>99</xdr:row>
      <xdr:rowOff>152400</xdr:rowOff>
    </xdr:from>
    <xdr:to>
      <xdr:col>4</xdr:col>
      <xdr:colOff>333375</xdr:colOff>
      <xdr:row>108</xdr:row>
      <xdr:rowOff>47625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 bwMode="auto">
        <a:xfrm>
          <a:off x="2857500" y="16182975"/>
          <a:ext cx="28575" cy="13525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0</xdr:colOff>
      <xdr:row>107</xdr:row>
      <xdr:rowOff>114300</xdr:rowOff>
    </xdr:from>
    <xdr:to>
      <xdr:col>4</xdr:col>
      <xdr:colOff>9525</xdr:colOff>
      <xdr:row>116</xdr:row>
      <xdr:rowOff>133350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/>
      </xdr:nvCxnSpPr>
      <xdr:spPr bwMode="auto">
        <a:xfrm>
          <a:off x="2552700" y="17440275"/>
          <a:ext cx="9525" cy="14763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333375</xdr:colOff>
      <xdr:row>108</xdr:row>
      <xdr:rowOff>9525</xdr:rowOff>
    </xdr:from>
    <xdr:to>
      <xdr:col>4</xdr:col>
      <xdr:colOff>352425</xdr:colOff>
      <xdr:row>114</xdr:row>
      <xdr:rowOff>19050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CxnSpPr/>
      </xdr:nvCxnSpPr>
      <xdr:spPr bwMode="auto">
        <a:xfrm>
          <a:off x="2886075" y="17497425"/>
          <a:ext cx="19050" cy="9810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31750</xdr:colOff>
      <xdr:row>108</xdr:row>
      <xdr:rowOff>0</xdr:rowOff>
    </xdr:from>
    <xdr:to>
      <xdr:col>3</xdr:col>
      <xdr:colOff>624417</xdr:colOff>
      <xdr:row>108</xdr:row>
      <xdr:rowOff>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/>
      </xdr:nvCxnSpPr>
      <xdr:spPr bwMode="auto">
        <a:xfrm>
          <a:off x="1851025" y="17487900"/>
          <a:ext cx="592667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52917</xdr:colOff>
      <xdr:row>114</xdr:row>
      <xdr:rowOff>0</xdr:rowOff>
    </xdr:from>
    <xdr:to>
      <xdr:col>3</xdr:col>
      <xdr:colOff>645583</xdr:colOff>
      <xdr:row>114</xdr:row>
      <xdr:rowOff>10583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 bwMode="auto">
        <a:xfrm flipV="1">
          <a:off x="1872192" y="18459450"/>
          <a:ext cx="592666" cy="1058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359833</xdr:colOff>
      <xdr:row>116</xdr:row>
      <xdr:rowOff>116417</xdr:rowOff>
    </xdr:from>
    <xdr:to>
      <xdr:col>4</xdr:col>
      <xdr:colOff>370417</xdr:colOff>
      <xdr:row>119</xdr:row>
      <xdr:rowOff>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 bwMode="auto">
        <a:xfrm>
          <a:off x="2912533" y="18899717"/>
          <a:ext cx="10584" cy="369358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4</xdr:col>
      <xdr:colOff>0</xdr:colOff>
      <xdr:row>116</xdr:row>
      <xdr:rowOff>52917</xdr:rowOff>
    </xdr:from>
    <xdr:to>
      <xdr:col>4</xdr:col>
      <xdr:colOff>10583</xdr:colOff>
      <xdr:row>118</xdr:row>
      <xdr:rowOff>52917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/>
      </xdr:nvCxnSpPr>
      <xdr:spPr bwMode="auto">
        <a:xfrm>
          <a:off x="2552700" y="18836217"/>
          <a:ext cx="10583" cy="3238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0</xdr:colOff>
      <xdr:row>116</xdr:row>
      <xdr:rowOff>137583</xdr:rowOff>
    </xdr:from>
    <xdr:to>
      <xdr:col>7</xdr:col>
      <xdr:colOff>10583</xdr:colOff>
      <xdr:row>119</xdr:row>
      <xdr:rowOff>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 bwMode="auto">
        <a:xfrm>
          <a:off x="4676775" y="18920883"/>
          <a:ext cx="10583" cy="348192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381000</xdr:colOff>
      <xdr:row>118</xdr:row>
      <xdr:rowOff>0</xdr:rowOff>
    </xdr:from>
    <xdr:to>
      <xdr:col>6</xdr:col>
      <xdr:colOff>254000</xdr:colOff>
      <xdr:row>118</xdr:row>
      <xdr:rowOff>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 bwMode="auto">
        <a:xfrm>
          <a:off x="2933700" y="19107150"/>
          <a:ext cx="1320800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arrow"/>
          <a:tailEnd type="arrow"/>
        </a:ln>
        <a:effectLst/>
      </xdr:spPr>
    </xdr:cxnSp>
    <xdr:clientData/>
  </xdr:twoCellAnchor>
  <xdr:twoCellAnchor>
    <xdr:from>
      <xdr:col>3</xdr:col>
      <xdr:colOff>719667</xdr:colOff>
      <xdr:row>96</xdr:row>
      <xdr:rowOff>74083</xdr:rowOff>
    </xdr:from>
    <xdr:to>
      <xdr:col>4</xdr:col>
      <xdr:colOff>0</xdr:colOff>
      <xdr:row>98</xdr:row>
      <xdr:rowOff>74083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 bwMode="auto">
        <a:xfrm>
          <a:off x="2538942" y="15618883"/>
          <a:ext cx="13758" cy="3238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296333</xdr:colOff>
      <xdr:row>96</xdr:row>
      <xdr:rowOff>84667</xdr:rowOff>
    </xdr:from>
    <xdr:to>
      <xdr:col>4</xdr:col>
      <xdr:colOff>306917</xdr:colOff>
      <xdr:row>98</xdr:row>
      <xdr:rowOff>95250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 bwMode="auto">
        <a:xfrm>
          <a:off x="2849033" y="15629467"/>
          <a:ext cx="10584" cy="33443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328083</xdr:colOff>
      <xdr:row>97</xdr:row>
      <xdr:rowOff>74083</xdr:rowOff>
    </xdr:from>
    <xdr:to>
      <xdr:col>4</xdr:col>
      <xdr:colOff>687917</xdr:colOff>
      <xdr:row>97</xdr:row>
      <xdr:rowOff>84667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/>
      </xdr:nvCxnSpPr>
      <xdr:spPr bwMode="auto">
        <a:xfrm flipH="1">
          <a:off x="2880783" y="15780808"/>
          <a:ext cx="359834" cy="10584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3</xdr:col>
      <xdr:colOff>317500</xdr:colOff>
      <xdr:row>97</xdr:row>
      <xdr:rowOff>84667</xdr:rowOff>
    </xdr:from>
    <xdr:to>
      <xdr:col>3</xdr:col>
      <xdr:colOff>719667</xdr:colOff>
      <xdr:row>97</xdr:row>
      <xdr:rowOff>84667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 bwMode="auto">
        <a:xfrm>
          <a:off x="2136775" y="15791392"/>
          <a:ext cx="402167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3</xdr:col>
      <xdr:colOff>211667</xdr:colOff>
      <xdr:row>108</xdr:row>
      <xdr:rowOff>84667</xdr:rowOff>
    </xdr:from>
    <xdr:to>
      <xdr:col>3</xdr:col>
      <xdr:colOff>211667</xdr:colOff>
      <xdr:row>113</xdr:row>
      <xdr:rowOff>137583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/>
      </xdr:nvCxnSpPr>
      <xdr:spPr bwMode="auto">
        <a:xfrm>
          <a:off x="2030942" y="17572567"/>
          <a:ext cx="0" cy="86254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arrow"/>
          <a:tailEnd type="arrow"/>
        </a:ln>
        <a:effectLst/>
      </xdr:spPr>
    </xdr:cxnSp>
    <xdr:clientData/>
  </xdr:twoCellAnchor>
  <xdr:twoCellAnchor>
    <xdr:from>
      <xdr:col>2</xdr:col>
      <xdr:colOff>28575</xdr:colOff>
      <xdr:row>76</xdr:row>
      <xdr:rowOff>0</xdr:rowOff>
    </xdr:from>
    <xdr:to>
      <xdr:col>6</xdr:col>
      <xdr:colOff>390525</xdr:colOff>
      <xdr:row>76</xdr:row>
      <xdr:rowOff>9525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A5DE03E-609E-47AB-9DEA-31DAE9C8DD3D}"/>
            </a:ext>
          </a:extLst>
        </xdr:cNvPr>
        <xdr:cNvCxnSpPr/>
      </xdr:nvCxnSpPr>
      <xdr:spPr bwMode="auto">
        <a:xfrm flipH="1" flipV="1">
          <a:off x="1114425" y="12382500"/>
          <a:ext cx="3381375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0</xdr:colOff>
      <xdr:row>82</xdr:row>
      <xdr:rowOff>76200</xdr:rowOff>
    </xdr:from>
    <xdr:to>
      <xdr:col>9</xdr:col>
      <xdr:colOff>9525</xdr:colOff>
      <xdr:row>82</xdr:row>
      <xdr:rowOff>76200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F1F467E-0A7B-4750-8A17-5D81BE7FC6E3}"/>
            </a:ext>
          </a:extLst>
        </xdr:cNvPr>
        <xdr:cNvCxnSpPr/>
      </xdr:nvCxnSpPr>
      <xdr:spPr bwMode="auto">
        <a:xfrm>
          <a:off x="4781550" y="13430250"/>
          <a:ext cx="126682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0</xdr:colOff>
      <xdr:row>76</xdr:row>
      <xdr:rowOff>19050</xdr:rowOff>
    </xdr:from>
    <xdr:to>
      <xdr:col>7</xdr:col>
      <xdr:colOff>0</xdr:colOff>
      <xdr:row>84</xdr:row>
      <xdr:rowOff>9525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C92B8F66-B6EB-45F0-9137-737B24C1CEAA}"/>
            </a:ext>
          </a:extLst>
        </xdr:cNvPr>
        <xdr:cNvCxnSpPr/>
      </xdr:nvCxnSpPr>
      <xdr:spPr bwMode="auto">
        <a:xfrm>
          <a:off x="4781550" y="12401550"/>
          <a:ext cx="0" cy="128587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0</xdr:colOff>
      <xdr:row>83</xdr:row>
      <xdr:rowOff>114300</xdr:rowOff>
    </xdr:from>
    <xdr:to>
      <xdr:col>9</xdr:col>
      <xdr:colOff>0</xdr:colOff>
      <xdr:row>83</xdr:row>
      <xdr:rowOff>114300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588BFCBB-2639-4EC3-BA48-D54F3590C63A}"/>
            </a:ext>
          </a:extLst>
        </xdr:cNvPr>
        <xdr:cNvCxnSpPr/>
      </xdr:nvCxnSpPr>
      <xdr:spPr bwMode="auto">
        <a:xfrm>
          <a:off x="4781550" y="13630275"/>
          <a:ext cx="1257300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9525</xdr:colOff>
      <xdr:row>82</xdr:row>
      <xdr:rowOff>85725</xdr:rowOff>
    </xdr:from>
    <xdr:to>
      <xdr:col>9</xdr:col>
      <xdr:colOff>19050</xdr:colOff>
      <xdr:row>83</xdr:row>
      <xdr:rowOff>123825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3A77B86B-8573-4E41-97FF-12C013D14585}"/>
            </a:ext>
          </a:extLst>
        </xdr:cNvPr>
        <xdr:cNvCxnSpPr/>
      </xdr:nvCxnSpPr>
      <xdr:spPr bwMode="auto">
        <a:xfrm>
          <a:off x="6048375" y="13439775"/>
          <a:ext cx="9525" cy="2000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381000</xdr:colOff>
      <xdr:row>76</xdr:row>
      <xdr:rowOff>19050</xdr:rowOff>
    </xdr:from>
    <xdr:to>
      <xdr:col>7</xdr:col>
      <xdr:colOff>0</xdr:colOff>
      <xdr:row>76</xdr:row>
      <xdr:rowOff>19050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FD635558-B6DE-42E7-997F-BAB5342CA5CC}"/>
            </a:ext>
          </a:extLst>
        </xdr:cNvPr>
        <xdr:cNvCxnSpPr/>
      </xdr:nvCxnSpPr>
      <xdr:spPr bwMode="auto">
        <a:xfrm>
          <a:off x="4486275" y="12401550"/>
          <a:ext cx="29527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400050</xdr:colOff>
      <xdr:row>85</xdr:row>
      <xdr:rowOff>0</xdr:rowOff>
    </xdr:from>
    <xdr:to>
      <xdr:col>6</xdr:col>
      <xdr:colOff>409575</xdr:colOff>
      <xdr:row>87</xdr:row>
      <xdr:rowOff>19050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A57EC432-D48F-4692-906F-AE0E4CD8C744}"/>
            </a:ext>
          </a:extLst>
        </xdr:cNvPr>
        <xdr:cNvCxnSpPr/>
      </xdr:nvCxnSpPr>
      <xdr:spPr bwMode="auto">
        <a:xfrm>
          <a:off x="4505325" y="13839825"/>
          <a:ext cx="9525" cy="34290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0</xdr:colOff>
      <xdr:row>85</xdr:row>
      <xdr:rowOff>142875</xdr:rowOff>
    </xdr:from>
    <xdr:to>
      <xdr:col>7</xdr:col>
      <xdr:colOff>266700</xdr:colOff>
      <xdr:row>86</xdr:row>
      <xdr:rowOff>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6747C7B5-B268-4C13-A7B7-250955A3614B}"/>
            </a:ext>
          </a:extLst>
        </xdr:cNvPr>
        <xdr:cNvCxnSpPr/>
      </xdr:nvCxnSpPr>
      <xdr:spPr bwMode="auto">
        <a:xfrm flipH="1">
          <a:off x="4781550" y="13982700"/>
          <a:ext cx="266700" cy="1905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6</xdr:col>
      <xdr:colOff>95250</xdr:colOff>
      <xdr:row>85</xdr:row>
      <xdr:rowOff>142875</xdr:rowOff>
    </xdr:from>
    <xdr:to>
      <xdr:col>6</xdr:col>
      <xdr:colOff>381000</xdr:colOff>
      <xdr:row>85</xdr:row>
      <xdr:rowOff>152400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B61494B6-1835-42B7-BE9D-C7F612D1859F}"/>
            </a:ext>
          </a:extLst>
        </xdr:cNvPr>
        <xdr:cNvCxnSpPr/>
      </xdr:nvCxnSpPr>
      <xdr:spPr bwMode="auto">
        <a:xfrm>
          <a:off x="4200525" y="13982700"/>
          <a:ext cx="285750" cy="952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106</xdr:row>
      <xdr:rowOff>142875</xdr:rowOff>
    </xdr:from>
    <xdr:to>
      <xdr:col>2</xdr:col>
      <xdr:colOff>333375</xdr:colOff>
      <xdr:row>119</xdr:row>
      <xdr:rowOff>114300</xdr:rowOff>
    </xdr:to>
    <xdr:sp macro="" textlink="">
      <xdr:nvSpPr>
        <xdr:cNvPr id="20258" name="Line 1">
          <a:extLst>
            <a:ext uri="{FF2B5EF4-FFF2-40B4-BE49-F238E27FC236}">
              <a16:creationId xmlns:a16="http://schemas.microsoft.com/office/drawing/2014/main" id="{00000000-0008-0000-0500-0000224F0000}"/>
            </a:ext>
          </a:extLst>
        </xdr:cNvPr>
        <xdr:cNvSpPr>
          <a:spLocks noChangeShapeType="1"/>
        </xdr:cNvSpPr>
      </xdr:nvSpPr>
      <xdr:spPr bwMode="auto">
        <a:xfrm flipH="1">
          <a:off x="752475" y="16459200"/>
          <a:ext cx="342900" cy="20764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333375</xdr:colOff>
      <xdr:row>107</xdr:row>
      <xdr:rowOff>0</xdr:rowOff>
    </xdr:from>
    <xdr:to>
      <xdr:col>3</xdr:col>
      <xdr:colOff>19050</xdr:colOff>
      <xdr:row>107</xdr:row>
      <xdr:rowOff>19050</xdr:rowOff>
    </xdr:to>
    <xdr:sp macro="" textlink="">
      <xdr:nvSpPr>
        <xdr:cNvPr id="20259" name="Line 2">
          <a:extLst>
            <a:ext uri="{FF2B5EF4-FFF2-40B4-BE49-F238E27FC236}">
              <a16:creationId xmlns:a16="http://schemas.microsoft.com/office/drawing/2014/main" id="{00000000-0008-0000-0500-0000234F0000}"/>
            </a:ext>
          </a:extLst>
        </xdr:cNvPr>
        <xdr:cNvSpPr>
          <a:spLocks noChangeShapeType="1"/>
        </xdr:cNvSpPr>
      </xdr:nvSpPr>
      <xdr:spPr bwMode="auto">
        <a:xfrm>
          <a:off x="1095375" y="16478250"/>
          <a:ext cx="333375" cy="190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</xdr:colOff>
      <xdr:row>107</xdr:row>
      <xdr:rowOff>9525</xdr:rowOff>
    </xdr:from>
    <xdr:to>
      <xdr:col>3</xdr:col>
      <xdr:colOff>9525</xdr:colOff>
      <xdr:row>119</xdr:row>
      <xdr:rowOff>95250</xdr:rowOff>
    </xdr:to>
    <xdr:sp macro="" textlink="">
      <xdr:nvSpPr>
        <xdr:cNvPr id="20260" name="Line 3">
          <a:extLst>
            <a:ext uri="{FF2B5EF4-FFF2-40B4-BE49-F238E27FC236}">
              <a16:creationId xmlns:a16="http://schemas.microsoft.com/office/drawing/2014/main" id="{00000000-0008-0000-0500-0000244F0000}"/>
            </a:ext>
          </a:extLst>
        </xdr:cNvPr>
        <xdr:cNvSpPr>
          <a:spLocks noChangeShapeType="1"/>
        </xdr:cNvSpPr>
      </xdr:nvSpPr>
      <xdr:spPr bwMode="auto">
        <a:xfrm>
          <a:off x="1419225" y="16487775"/>
          <a:ext cx="0" cy="20288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119</xdr:row>
      <xdr:rowOff>104775</xdr:rowOff>
    </xdr:from>
    <xdr:to>
      <xdr:col>9</xdr:col>
      <xdr:colOff>38100</xdr:colOff>
      <xdr:row>119</xdr:row>
      <xdr:rowOff>104775</xdr:rowOff>
    </xdr:to>
    <xdr:sp macro="" textlink="">
      <xdr:nvSpPr>
        <xdr:cNvPr id="20261" name="Line 4">
          <a:extLst>
            <a:ext uri="{FF2B5EF4-FFF2-40B4-BE49-F238E27FC236}">
              <a16:creationId xmlns:a16="http://schemas.microsoft.com/office/drawing/2014/main" id="{00000000-0008-0000-0500-0000254F0000}"/>
            </a:ext>
          </a:extLst>
        </xdr:cNvPr>
        <xdr:cNvSpPr>
          <a:spLocks noChangeShapeType="1"/>
        </xdr:cNvSpPr>
      </xdr:nvSpPr>
      <xdr:spPr bwMode="auto">
        <a:xfrm>
          <a:off x="1428750" y="18526125"/>
          <a:ext cx="37623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19050</xdr:colOff>
      <xdr:row>106</xdr:row>
      <xdr:rowOff>152400</xdr:rowOff>
    </xdr:from>
    <xdr:to>
      <xdr:col>9</xdr:col>
      <xdr:colOff>19050</xdr:colOff>
      <xdr:row>119</xdr:row>
      <xdr:rowOff>114300</xdr:rowOff>
    </xdr:to>
    <xdr:sp macro="" textlink="">
      <xdr:nvSpPr>
        <xdr:cNvPr id="20262" name="Line 6">
          <a:extLst>
            <a:ext uri="{FF2B5EF4-FFF2-40B4-BE49-F238E27FC236}">
              <a16:creationId xmlns:a16="http://schemas.microsoft.com/office/drawing/2014/main" id="{00000000-0008-0000-0500-0000264F0000}"/>
            </a:ext>
          </a:extLst>
        </xdr:cNvPr>
        <xdr:cNvSpPr>
          <a:spLocks noChangeShapeType="1"/>
        </xdr:cNvSpPr>
      </xdr:nvSpPr>
      <xdr:spPr bwMode="auto">
        <a:xfrm flipV="1">
          <a:off x="5172075" y="16468725"/>
          <a:ext cx="0" cy="20669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9525</xdr:colOff>
      <xdr:row>106</xdr:row>
      <xdr:rowOff>142875</xdr:rowOff>
    </xdr:from>
    <xdr:to>
      <xdr:col>9</xdr:col>
      <xdr:colOff>390525</xdr:colOff>
      <xdr:row>107</xdr:row>
      <xdr:rowOff>0</xdr:rowOff>
    </xdr:to>
    <xdr:sp macro="" textlink="">
      <xdr:nvSpPr>
        <xdr:cNvPr id="20263" name="Line 7">
          <a:extLst>
            <a:ext uri="{FF2B5EF4-FFF2-40B4-BE49-F238E27FC236}">
              <a16:creationId xmlns:a16="http://schemas.microsoft.com/office/drawing/2014/main" id="{00000000-0008-0000-0500-0000274F0000}"/>
            </a:ext>
          </a:extLst>
        </xdr:cNvPr>
        <xdr:cNvSpPr>
          <a:spLocks noChangeShapeType="1"/>
        </xdr:cNvSpPr>
      </xdr:nvSpPr>
      <xdr:spPr bwMode="auto">
        <a:xfrm>
          <a:off x="5162550" y="16459200"/>
          <a:ext cx="381000" cy="190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361950</xdr:colOff>
      <xdr:row>107</xdr:row>
      <xdr:rowOff>9525</xdr:rowOff>
    </xdr:from>
    <xdr:to>
      <xdr:col>10</xdr:col>
      <xdr:colOff>9525</xdr:colOff>
      <xdr:row>119</xdr:row>
      <xdr:rowOff>95250</xdr:rowOff>
    </xdr:to>
    <xdr:sp macro="" textlink="">
      <xdr:nvSpPr>
        <xdr:cNvPr id="20264" name="Line 8">
          <a:extLst>
            <a:ext uri="{FF2B5EF4-FFF2-40B4-BE49-F238E27FC236}">
              <a16:creationId xmlns:a16="http://schemas.microsoft.com/office/drawing/2014/main" id="{00000000-0008-0000-0500-0000284F0000}"/>
            </a:ext>
          </a:extLst>
        </xdr:cNvPr>
        <xdr:cNvSpPr>
          <a:spLocks noChangeShapeType="1"/>
        </xdr:cNvSpPr>
      </xdr:nvSpPr>
      <xdr:spPr bwMode="auto">
        <a:xfrm>
          <a:off x="5514975" y="16487775"/>
          <a:ext cx="228600" cy="20288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561975</xdr:colOff>
      <xdr:row>123</xdr:row>
      <xdr:rowOff>47625</xdr:rowOff>
    </xdr:from>
    <xdr:to>
      <xdr:col>10</xdr:col>
      <xdr:colOff>28575</xdr:colOff>
      <xdr:row>123</xdr:row>
      <xdr:rowOff>57150</xdr:rowOff>
    </xdr:to>
    <xdr:sp macro="" textlink="">
      <xdr:nvSpPr>
        <xdr:cNvPr id="20265" name="Line 9">
          <a:extLst>
            <a:ext uri="{FF2B5EF4-FFF2-40B4-BE49-F238E27FC236}">
              <a16:creationId xmlns:a16="http://schemas.microsoft.com/office/drawing/2014/main" id="{00000000-0008-0000-0500-0000294F0000}"/>
            </a:ext>
          </a:extLst>
        </xdr:cNvPr>
        <xdr:cNvSpPr>
          <a:spLocks noChangeShapeType="1"/>
        </xdr:cNvSpPr>
      </xdr:nvSpPr>
      <xdr:spPr bwMode="auto">
        <a:xfrm flipH="1" flipV="1">
          <a:off x="742950" y="19116675"/>
          <a:ext cx="5019675" cy="95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304800</xdr:colOff>
      <xdr:row>106</xdr:row>
      <xdr:rowOff>114300</xdr:rowOff>
    </xdr:from>
    <xdr:to>
      <xdr:col>2</xdr:col>
      <xdr:colOff>381000</xdr:colOff>
      <xdr:row>106</xdr:row>
      <xdr:rowOff>133350</xdr:rowOff>
    </xdr:to>
    <xdr:sp macro="" textlink="">
      <xdr:nvSpPr>
        <xdr:cNvPr id="20266" name="Line 11">
          <a:extLst>
            <a:ext uri="{FF2B5EF4-FFF2-40B4-BE49-F238E27FC236}">
              <a16:creationId xmlns:a16="http://schemas.microsoft.com/office/drawing/2014/main" id="{00000000-0008-0000-0500-00002A4F0000}"/>
            </a:ext>
          </a:extLst>
        </xdr:cNvPr>
        <xdr:cNvSpPr>
          <a:spLocks noChangeShapeType="1"/>
        </xdr:cNvSpPr>
      </xdr:nvSpPr>
      <xdr:spPr bwMode="auto">
        <a:xfrm flipH="1">
          <a:off x="1228725" y="18554700"/>
          <a:ext cx="762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447675</xdr:colOff>
      <xdr:row>106</xdr:row>
      <xdr:rowOff>123825</xdr:rowOff>
    </xdr:from>
    <xdr:to>
      <xdr:col>3</xdr:col>
      <xdr:colOff>28575</xdr:colOff>
      <xdr:row>106</xdr:row>
      <xdr:rowOff>123825</xdr:rowOff>
    </xdr:to>
    <xdr:sp macro="" textlink="">
      <xdr:nvSpPr>
        <xdr:cNvPr id="20267" name="Line 12">
          <a:extLst>
            <a:ext uri="{FF2B5EF4-FFF2-40B4-BE49-F238E27FC236}">
              <a16:creationId xmlns:a16="http://schemas.microsoft.com/office/drawing/2014/main" id="{00000000-0008-0000-0500-00002B4F0000}"/>
            </a:ext>
          </a:extLst>
        </xdr:cNvPr>
        <xdr:cNvSpPr>
          <a:spLocks noChangeShapeType="1"/>
        </xdr:cNvSpPr>
      </xdr:nvSpPr>
      <xdr:spPr bwMode="auto">
        <a:xfrm>
          <a:off x="1371600" y="18564225"/>
          <a:ext cx="228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9525</xdr:colOff>
      <xdr:row>106</xdr:row>
      <xdr:rowOff>85725</xdr:rowOff>
    </xdr:from>
    <xdr:to>
      <xdr:col>9</xdr:col>
      <xdr:colOff>304800</xdr:colOff>
      <xdr:row>106</xdr:row>
      <xdr:rowOff>85725</xdr:rowOff>
    </xdr:to>
    <xdr:sp macro="" textlink="">
      <xdr:nvSpPr>
        <xdr:cNvPr id="20268" name="Line 13">
          <a:extLst>
            <a:ext uri="{FF2B5EF4-FFF2-40B4-BE49-F238E27FC236}">
              <a16:creationId xmlns:a16="http://schemas.microsoft.com/office/drawing/2014/main" id="{00000000-0008-0000-0500-00002C4F0000}"/>
            </a:ext>
          </a:extLst>
        </xdr:cNvPr>
        <xdr:cNvSpPr>
          <a:spLocks noChangeShapeType="1"/>
        </xdr:cNvSpPr>
      </xdr:nvSpPr>
      <xdr:spPr bwMode="auto">
        <a:xfrm flipH="1">
          <a:off x="5324475" y="18526125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219075</xdr:colOff>
      <xdr:row>106</xdr:row>
      <xdr:rowOff>76200</xdr:rowOff>
    </xdr:from>
    <xdr:to>
      <xdr:col>9</xdr:col>
      <xdr:colOff>390525</xdr:colOff>
      <xdr:row>106</xdr:row>
      <xdr:rowOff>85725</xdr:rowOff>
    </xdr:to>
    <xdr:sp macro="" textlink="">
      <xdr:nvSpPr>
        <xdr:cNvPr id="20269" name="Line 14">
          <a:extLst>
            <a:ext uri="{FF2B5EF4-FFF2-40B4-BE49-F238E27FC236}">
              <a16:creationId xmlns:a16="http://schemas.microsoft.com/office/drawing/2014/main" id="{00000000-0008-0000-0500-00002D4F0000}"/>
            </a:ext>
          </a:extLst>
        </xdr:cNvPr>
        <xdr:cNvSpPr>
          <a:spLocks noChangeShapeType="1"/>
        </xdr:cNvSpPr>
      </xdr:nvSpPr>
      <xdr:spPr bwMode="auto">
        <a:xfrm>
          <a:off x="5534025" y="18516600"/>
          <a:ext cx="1714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19050</xdr:colOff>
      <xdr:row>116</xdr:row>
      <xdr:rowOff>9525</xdr:rowOff>
    </xdr:from>
    <xdr:to>
      <xdr:col>5</xdr:col>
      <xdr:colOff>552450</xdr:colOff>
      <xdr:row>116</xdr:row>
      <xdr:rowOff>9525</xdr:rowOff>
    </xdr:to>
    <xdr:sp macro="" textlink="">
      <xdr:nvSpPr>
        <xdr:cNvPr id="20270" name="Line 15">
          <a:extLst>
            <a:ext uri="{FF2B5EF4-FFF2-40B4-BE49-F238E27FC236}">
              <a16:creationId xmlns:a16="http://schemas.microsoft.com/office/drawing/2014/main" id="{00000000-0008-0000-0500-00002E4F0000}"/>
            </a:ext>
          </a:extLst>
        </xdr:cNvPr>
        <xdr:cNvSpPr>
          <a:spLocks noChangeShapeType="1"/>
        </xdr:cNvSpPr>
      </xdr:nvSpPr>
      <xdr:spPr bwMode="auto">
        <a:xfrm flipH="1">
          <a:off x="1428750" y="17945100"/>
          <a:ext cx="1762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6</xdr:col>
      <xdr:colOff>381000</xdr:colOff>
      <xdr:row>116</xdr:row>
      <xdr:rowOff>9525</xdr:rowOff>
    </xdr:from>
    <xdr:to>
      <xdr:col>9</xdr:col>
      <xdr:colOff>0</xdr:colOff>
      <xdr:row>116</xdr:row>
      <xdr:rowOff>9525</xdr:rowOff>
    </xdr:to>
    <xdr:sp macro="" textlink="">
      <xdr:nvSpPr>
        <xdr:cNvPr id="20271" name="Line 16">
          <a:extLst>
            <a:ext uri="{FF2B5EF4-FFF2-40B4-BE49-F238E27FC236}">
              <a16:creationId xmlns:a16="http://schemas.microsoft.com/office/drawing/2014/main" id="{00000000-0008-0000-0500-00002F4F0000}"/>
            </a:ext>
          </a:extLst>
        </xdr:cNvPr>
        <xdr:cNvSpPr>
          <a:spLocks noChangeShapeType="1"/>
        </xdr:cNvSpPr>
      </xdr:nvSpPr>
      <xdr:spPr bwMode="auto">
        <a:xfrm>
          <a:off x="3638550" y="17945100"/>
          <a:ext cx="1514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361950</xdr:colOff>
      <xdr:row>107</xdr:row>
      <xdr:rowOff>19050</xdr:rowOff>
    </xdr:from>
    <xdr:to>
      <xdr:col>8</xdr:col>
      <xdr:colOff>361950</xdr:colOff>
      <xdr:row>112</xdr:row>
      <xdr:rowOff>28575</xdr:rowOff>
    </xdr:to>
    <xdr:sp macro="" textlink="">
      <xdr:nvSpPr>
        <xdr:cNvPr id="20272" name="Line 18">
          <a:extLst>
            <a:ext uri="{FF2B5EF4-FFF2-40B4-BE49-F238E27FC236}">
              <a16:creationId xmlns:a16="http://schemas.microsoft.com/office/drawing/2014/main" id="{00000000-0008-0000-0500-0000304F0000}"/>
            </a:ext>
          </a:extLst>
        </xdr:cNvPr>
        <xdr:cNvSpPr>
          <a:spLocks noChangeShapeType="1"/>
        </xdr:cNvSpPr>
      </xdr:nvSpPr>
      <xdr:spPr bwMode="auto">
        <a:xfrm flipV="1">
          <a:off x="4886325" y="16497300"/>
          <a:ext cx="0" cy="819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381000</xdr:colOff>
      <xdr:row>114</xdr:row>
      <xdr:rowOff>19050</xdr:rowOff>
    </xdr:from>
    <xdr:to>
      <xdr:col>8</xdr:col>
      <xdr:colOff>381000</xdr:colOff>
      <xdr:row>119</xdr:row>
      <xdr:rowOff>114300</xdr:rowOff>
    </xdr:to>
    <xdr:sp macro="" textlink="">
      <xdr:nvSpPr>
        <xdr:cNvPr id="20273" name="Line 19">
          <a:extLst>
            <a:ext uri="{FF2B5EF4-FFF2-40B4-BE49-F238E27FC236}">
              <a16:creationId xmlns:a16="http://schemas.microsoft.com/office/drawing/2014/main" id="{00000000-0008-0000-0500-0000314F0000}"/>
            </a:ext>
          </a:extLst>
        </xdr:cNvPr>
        <xdr:cNvSpPr>
          <a:spLocks noChangeShapeType="1"/>
        </xdr:cNvSpPr>
      </xdr:nvSpPr>
      <xdr:spPr bwMode="auto">
        <a:xfrm>
          <a:off x="4905375" y="17630775"/>
          <a:ext cx="0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323850</xdr:colOff>
      <xdr:row>107</xdr:row>
      <xdr:rowOff>28575</xdr:rowOff>
    </xdr:from>
    <xdr:to>
      <xdr:col>10</xdr:col>
      <xdr:colOff>323850</xdr:colOff>
      <xdr:row>113</xdr:row>
      <xdr:rowOff>19050</xdr:rowOff>
    </xdr:to>
    <xdr:sp macro="" textlink="">
      <xdr:nvSpPr>
        <xdr:cNvPr id="20274" name="Line 20">
          <a:extLst>
            <a:ext uri="{FF2B5EF4-FFF2-40B4-BE49-F238E27FC236}">
              <a16:creationId xmlns:a16="http://schemas.microsoft.com/office/drawing/2014/main" id="{00000000-0008-0000-0500-0000324F0000}"/>
            </a:ext>
          </a:extLst>
        </xdr:cNvPr>
        <xdr:cNvSpPr>
          <a:spLocks noChangeShapeType="1"/>
        </xdr:cNvSpPr>
      </xdr:nvSpPr>
      <xdr:spPr bwMode="auto">
        <a:xfrm flipV="1">
          <a:off x="6057900" y="16506825"/>
          <a:ext cx="0" cy="962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333375</xdr:colOff>
      <xdr:row>116</xdr:row>
      <xdr:rowOff>19050</xdr:rowOff>
    </xdr:from>
    <xdr:to>
      <xdr:col>10</xdr:col>
      <xdr:colOff>333375</xdr:colOff>
      <xdr:row>121</xdr:row>
      <xdr:rowOff>152400</xdr:rowOff>
    </xdr:to>
    <xdr:sp macro="" textlink="">
      <xdr:nvSpPr>
        <xdr:cNvPr id="20275" name="Line 23">
          <a:extLst>
            <a:ext uri="{FF2B5EF4-FFF2-40B4-BE49-F238E27FC236}">
              <a16:creationId xmlns:a16="http://schemas.microsoft.com/office/drawing/2014/main" id="{00000000-0008-0000-0500-0000334F0000}"/>
            </a:ext>
          </a:extLst>
        </xdr:cNvPr>
        <xdr:cNvSpPr>
          <a:spLocks noChangeShapeType="1"/>
        </xdr:cNvSpPr>
      </xdr:nvSpPr>
      <xdr:spPr bwMode="auto">
        <a:xfrm>
          <a:off x="6067425" y="179546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247650</xdr:colOff>
      <xdr:row>119</xdr:row>
      <xdr:rowOff>104775</xdr:rowOff>
    </xdr:from>
    <xdr:to>
      <xdr:col>1</xdr:col>
      <xdr:colOff>247650</xdr:colOff>
      <xdr:row>120</xdr:row>
      <xdr:rowOff>123825</xdr:rowOff>
    </xdr:to>
    <xdr:sp macro="" textlink="">
      <xdr:nvSpPr>
        <xdr:cNvPr id="20276" name="Line 24">
          <a:extLst>
            <a:ext uri="{FF2B5EF4-FFF2-40B4-BE49-F238E27FC236}">
              <a16:creationId xmlns:a16="http://schemas.microsoft.com/office/drawing/2014/main" id="{00000000-0008-0000-0500-0000344F0000}"/>
            </a:ext>
          </a:extLst>
        </xdr:cNvPr>
        <xdr:cNvSpPr>
          <a:spLocks noChangeShapeType="1"/>
        </xdr:cNvSpPr>
      </xdr:nvSpPr>
      <xdr:spPr bwMode="auto">
        <a:xfrm flipV="1">
          <a:off x="428625" y="1852612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257175</xdr:colOff>
      <xdr:row>122</xdr:row>
      <xdr:rowOff>66675</xdr:rowOff>
    </xdr:from>
    <xdr:to>
      <xdr:col>1</xdr:col>
      <xdr:colOff>257175</xdr:colOff>
      <xdr:row>123</xdr:row>
      <xdr:rowOff>123825</xdr:rowOff>
    </xdr:to>
    <xdr:sp macro="" textlink="">
      <xdr:nvSpPr>
        <xdr:cNvPr id="20277" name="Line 25">
          <a:extLst>
            <a:ext uri="{FF2B5EF4-FFF2-40B4-BE49-F238E27FC236}">
              <a16:creationId xmlns:a16="http://schemas.microsoft.com/office/drawing/2014/main" id="{00000000-0008-0000-0500-0000354F0000}"/>
            </a:ext>
          </a:extLst>
        </xdr:cNvPr>
        <xdr:cNvSpPr>
          <a:spLocks noChangeShapeType="1"/>
        </xdr:cNvSpPr>
      </xdr:nvSpPr>
      <xdr:spPr bwMode="auto">
        <a:xfrm>
          <a:off x="438150" y="18973800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6</xdr:col>
      <xdr:colOff>95250</xdr:colOff>
      <xdr:row>127</xdr:row>
      <xdr:rowOff>95250</xdr:rowOff>
    </xdr:from>
    <xdr:to>
      <xdr:col>9</xdr:col>
      <xdr:colOff>390525</xdr:colOff>
      <xdr:row>127</xdr:row>
      <xdr:rowOff>95250</xdr:rowOff>
    </xdr:to>
    <xdr:sp macro="" textlink="">
      <xdr:nvSpPr>
        <xdr:cNvPr id="20278" name="Line 26">
          <a:extLst>
            <a:ext uri="{FF2B5EF4-FFF2-40B4-BE49-F238E27FC236}">
              <a16:creationId xmlns:a16="http://schemas.microsoft.com/office/drawing/2014/main" id="{00000000-0008-0000-0500-0000364F0000}"/>
            </a:ext>
          </a:extLst>
        </xdr:cNvPr>
        <xdr:cNvSpPr>
          <a:spLocks noChangeShapeType="1"/>
        </xdr:cNvSpPr>
      </xdr:nvSpPr>
      <xdr:spPr bwMode="auto">
        <a:xfrm>
          <a:off x="3352800" y="19812000"/>
          <a:ext cx="2190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333375</xdr:colOff>
      <xdr:row>127</xdr:row>
      <xdr:rowOff>104775</xdr:rowOff>
    </xdr:from>
    <xdr:to>
      <xdr:col>5</xdr:col>
      <xdr:colOff>495300</xdr:colOff>
      <xdr:row>127</xdr:row>
      <xdr:rowOff>104775</xdr:rowOff>
    </xdr:to>
    <xdr:sp macro="" textlink="">
      <xdr:nvSpPr>
        <xdr:cNvPr id="20279" name="Line 27">
          <a:extLst>
            <a:ext uri="{FF2B5EF4-FFF2-40B4-BE49-F238E27FC236}">
              <a16:creationId xmlns:a16="http://schemas.microsoft.com/office/drawing/2014/main" id="{00000000-0008-0000-0500-0000374F0000}"/>
            </a:ext>
          </a:extLst>
        </xdr:cNvPr>
        <xdr:cNvSpPr>
          <a:spLocks noChangeShapeType="1"/>
        </xdr:cNvSpPr>
      </xdr:nvSpPr>
      <xdr:spPr bwMode="auto">
        <a:xfrm flipH="1">
          <a:off x="1095375" y="19821525"/>
          <a:ext cx="2038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352425</xdr:colOff>
      <xdr:row>74</xdr:row>
      <xdr:rowOff>142875</xdr:rowOff>
    </xdr:from>
    <xdr:to>
      <xdr:col>2</xdr:col>
      <xdr:colOff>352425</xdr:colOff>
      <xdr:row>83</xdr:row>
      <xdr:rowOff>0</xdr:rowOff>
    </xdr:to>
    <xdr:sp macro="" textlink="">
      <xdr:nvSpPr>
        <xdr:cNvPr id="20280" name="Line 28">
          <a:extLst>
            <a:ext uri="{FF2B5EF4-FFF2-40B4-BE49-F238E27FC236}">
              <a16:creationId xmlns:a16="http://schemas.microsoft.com/office/drawing/2014/main" id="{00000000-0008-0000-0500-0000384F0000}"/>
            </a:ext>
          </a:extLst>
        </xdr:cNvPr>
        <xdr:cNvSpPr>
          <a:spLocks noChangeShapeType="1"/>
        </xdr:cNvSpPr>
      </xdr:nvSpPr>
      <xdr:spPr bwMode="auto">
        <a:xfrm>
          <a:off x="1114425" y="11601450"/>
          <a:ext cx="0" cy="13144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352425</xdr:colOff>
      <xdr:row>72</xdr:row>
      <xdr:rowOff>19050</xdr:rowOff>
    </xdr:from>
    <xdr:to>
      <xdr:col>10</xdr:col>
      <xdr:colOff>9525</xdr:colOff>
      <xdr:row>75</xdr:row>
      <xdr:rowOff>9525</xdr:rowOff>
    </xdr:to>
    <xdr:sp macro="" textlink="">
      <xdr:nvSpPr>
        <xdr:cNvPr id="20281" name="Line 29">
          <a:extLst>
            <a:ext uri="{FF2B5EF4-FFF2-40B4-BE49-F238E27FC236}">
              <a16:creationId xmlns:a16="http://schemas.microsoft.com/office/drawing/2014/main" id="{00000000-0008-0000-0500-0000394F0000}"/>
            </a:ext>
          </a:extLst>
        </xdr:cNvPr>
        <xdr:cNvSpPr>
          <a:spLocks noChangeShapeType="1"/>
        </xdr:cNvSpPr>
      </xdr:nvSpPr>
      <xdr:spPr bwMode="auto">
        <a:xfrm flipV="1">
          <a:off x="1114425" y="11153775"/>
          <a:ext cx="4629150" cy="4762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333375</xdr:colOff>
      <xdr:row>82</xdr:row>
      <xdr:rowOff>133350</xdr:rowOff>
    </xdr:from>
    <xdr:to>
      <xdr:col>10</xdr:col>
      <xdr:colOff>28575</xdr:colOff>
      <xdr:row>85</xdr:row>
      <xdr:rowOff>57150</xdr:rowOff>
    </xdr:to>
    <xdr:sp macro="" textlink="">
      <xdr:nvSpPr>
        <xdr:cNvPr id="20282" name="Line 30">
          <a:extLst>
            <a:ext uri="{FF2B5EF4-FFF2-40B4-BE49-F238E27FC236}">
              <a16:creationId xmlns:a16="http://schemas.microsoft.com/office/drawing/2014/main" id="{00000000-0008-0000-0500-00003A4F0000}"/>
            </a:ext>
          </a:extLst>
        </xdr:cNvPr>
        <xdr:cNvSpPr>
          <a:spLocks noChangeShapeType="1"/>
        </xdr:cNvSpPr>
      </xdr:nvSpPr>
      <xdr:spPr bwMode="auto">
        <a:xfrm>
          <a:off x="1095375" y="12887325"/>
          <a:ext cx="4667250" cy="40957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72</xdr:row>
      <xdr:rowOff>28575</xdr:rowOff>
    </xdr:from>
    <xdr:to>
      <xdr:col>10</xdr:col>
      <xdr:colOff>9525</xdr:colOff>
      <xdr:row>85</xdr:row>
      <xdr:rowOff>28575</xdr:rowOff>
    </xdr:to>
    <xdr:sp macro="" textlink="">
      <xdr:nvSpPr>
        <xdr:cNvPr id="20283" name="Line 33">
          <a:extLst>
            <a:ext uri="{FF2B5EF4-FFF2-40B4-BE49-F238E27FC236}">
              <a16:creationId xmlns:a16="http://schemas.microsoft.com/office/drawing/2014/main" id="{00000000-0008-0000-0500-00003B4F0000}"/>
            </a:ext>
          </a:extLst>
        </xdr:cNvPr>
        <xdr:cNvSpPr>
          <a:spLocks noChangeShapeType="1"/>
        </xdr:cNvSpPr>
      </xdr:nvSpPr>
      <xdr:spPr bwMode="auto">
        <a:xfrm>
          <a:off x="5734050" y="11163300"/>
          <a:ext cx="9525" cy="21050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119</xdr:row>
      <xdr:rowOff>85725</xdr:rowOff>
    </xdr:from>
    <xdr:to>
      <xdr:col>10</xdr:col>
      <xdr:colOff>9525</xdr:colOff>
      <xdr:row>123</xdr:row>
      <xdr:rowOff>57150</xdr:rowOff>
    </xdr:to>
    <xdr:sp macro="" textlink="">
      <xdr:nvSpPr>
        <xdr:cNvPr id="20284" name="Line 34">
          <a:extLst>
            <a:ext uri="{FF2B5EF4-FFF2-40B4-BE49-F238E27FC236}">
              <a16:creationId xmlns:a16="http://schemas.microsoft.com/office/drawing/2014/main" id="{00000000-0008-0000-0500-00003C4F0000}"/>
            </a:ext>
          </a:extLst>
        </xdr:cNvPr>
        <xdr:cNvSpPr>
          <a:spLocks noChangeShapeType="1"/>
        </xdr:cNvSpPr>
      </xdr:nvSpPr>
      <xdr:spPr bwMode="auto">
        <a:xfrm flipV="1">
          <a:off x="5743575" y="18507075"/>
          <a:ext cx="0" cy="6191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571500</xdr:colOff>
      <xdr:row>119</xdr:row>
      <xdr:rowOff>114300</xdr:rowOff>
    </xdr:from>
    <xdr:to>
      <xdr:col>1</xdr:col>
      <xdr:colOff>571500</xdr:colOff>
      <xdr:row>123</xdr:row>
      <xdr:rowOff>28575</xdr:rowOff>
    </xdr:to>
    <xdr:sp macro="" textlink="">
      <xdr:nvSpPr>
        <xdr:cNvPr id="20285" name="Line 35">
          <a:extLst>
            <a:ext uri="{FF2B5EF4-FFF2-40B4-BE49-F238E27FC236}">
              <a16:creationId xmlns:a16="http://schemas.microsoft.com/office/drawing/2014/main" id="{00000000-0008-0000-0500-00003D4F0000}"/>
            </a:ext>
          </a:extLst>
        </xdr:cNvPr>
        <xdr:cNvSpPr>
          <a:spLocks noChangeShapeType="1"/>
        </xdr:cNvSpPr>
      </xdr:nvSpPr>
      <xdr:spPr bwMode="auto">
        <a:xfrm>
          <a:off x="752475" y="18535650"/>
          <a:ext cx="0" cy="56197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95</xdr:row>
      <xdr:rowOff>152400</xdr:rowOff>
    </xdr:from>
    <xdr:to>
      <xdr:col>4</xdr:col>
      <xdr:colOff>9525</xdr:colOff>
      <xdr:row>98</xdr:row>
      <xdr:rowOff>9525</xdr:rowOff>
    </xdr:to>
    <xdr:sp macro="" textlink="">
      <xdr:nvSpPr>
        <xdr:cNvPr id="20286" name="Line 36">
          <a:extLst>
            <a:ext uri="{FF2B5EF4-FFF2-40B4-BE49-F238E27FC236}">
              <a16:creationId xmlns:a16="http://schemas.microsoft.com/office/drawing/2014/main" id="{00000000-0008-0000-0500-00003E4F0000}"/>
            </a:ext>
          </a:extLst>
        </xdr:cNvPr>
        <xdr:cNvSpPr>
          <a:spLocks noChangeShapeType="1"/>
        </xdr:cNvSpPr>
      </xdr:nvSpPr>
      <xdr:spPr bwMode="auto">
        <a:xfrm>
          <a:off x="1104900" y="15011400"/>
          <a:ext cx="95250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</xdr:colOff>
      <xdr:row>98</xdr:row>
      <xdr:rowOff>9525</xdr:rowOff>
    </xdr:from>
    <xdr:to>
      <xdr:col>10</xdr:col>
      <xdr:colOff>9525</xdr:colOff>
      <xdr:row>98</xdr:row>
      <xdr:rowOff>9525</xdr:rowOff>
    </xdr:to>
    <xdr:sp macro="" textlink="">
      <xdr:nvSpPr>
        <xdr:cNvPr id="20287" name="Line 38">
          <a:extLst>
            <a:ext uri="{FF2B5EF4-FFF2-40B4-BE49-F238E27FC236}">
              <a16:creationId xmlns:a16="http://schemas.microsoft.com/office/drawing/2014/main" id="{00000000-0008-0000-0500-00003F4F0000}"/>
            </a:ext>
          </a:extLst>
        </xdr:cNvPr>
        <xdr:cNvSpPr>
          <a:spLocks noChangeShapeType="1"/>
        </xdr:cNvSpPr>
      </xdr:nvSpPr>
      <xdr:spPr bwMode="auto">
        <a:xfrm>
          <a:off x="2066925" y="15354300"/>
          <a:ext cx="3676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2</xdr:col>
      <xdr:colOff>333375</xdr:colOff>
      <xdr:row>95</xdr:row>
      <xdr:rowOff>152400</xdr:rowOff>
    </xdr:from>
    <xdr:to>
      <xdr:col>2</xdr:col>
      <xdr:colOff>352425</xdr:colOff>
      <xdr:row>97</xdr:row>
      <xdr:rowOff>104775</xdr:rowOff>
    </xdr:to>
    <xdr:sp macro="" textlink="">
      <xdr:nvSpPr>
        <xdr:cNvPr id="20288" name="Line 40">
          <a:extLst>
            <a:ext uri="{FF2B5EF4-FFF2-40B4-BE49-F238E27FC236}">
              <a16:creationId xmlns:a16="http://schemas.microsoft.com/office/drawing/2014/main" id="{00000000-0008-0000-0500-0000404F0000}"/>
            </a:ext>
          </a:extLst>
        </xdr:cNvPr>
        <xdr:cNvSpPr>
          <a:spLocks noChangeShapeType="1"/>
        </xdr:cNvSpPr>
      </xdr:nvSpPr>
      <xdr:spPr bwMode="auto">
        <a:xfrm flipH="1">
          <a:off x="1095375" y="15011400"/>
          <a:ext cx="19050" cy="27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323850</xdr:colOff>
      <xdr:row>97</xdr:row>
      <xdr:rowOff>95250</xdr:rowOff>
    </xdr:from>
    <xdr:to>
      <xdr:col>4</xdr:col>
      <xdr:colOff>0</xdr:colOff>
      <xdr:row>99</xdr:row>
      <xdr:rowOff>123825</xdr:rowOff>
    </xdr:to>
    <xdr:sp macro="" textlink="">
      <xdr:nvSpPr>
        <xdr:cNvPr id="20289" name="Line 41">
          <a:extLst>
            <a:ext uri="{FF2B5EF4-FFF2-40B4-BE49-F238E27FC236}">
              <a16:creationId xmlns:a16="http://schemas.microsoft.com/office/drawing/2014/main" id="{00000000-0008-0000-0500-0000414F0000}"/>
            </a:ext>
          </a:extLst>
        </xdr:cNvPr>
        <xdr:cNvSpPr>
          <a:spLocks noChangeShapeType="1"/>
        </xdr:cNvSpPr>
      </xdr:nvSpPr>
      <xdr:spPr bwMode="auto">
        <a:xfrm>
          <a:off x="1085850" y="15278100"/>
          <a:ext cx="962025" cy="352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590550</xdr:colOff>
      <xdr:row>98</xdr:row>
      <xdr:rowOff>152400</xdr:rowOff>
    </xdr:from>
    <xdr:to>
      <xdr:col>10</xdr:col>
      <xdr:colOff>9525</xdr:colOff>
      <xdr:row>99</xdr:row>
      <xdr:rowOff>114300</xdr:rowOff>
    </xdr:to>
    <xdr:sp macro="" textlink="">
      <xdr:nvSpPr>
        <xdr:cNvPr id="20290" name="Line 42">
          <a:extLst>
            <a:ext uri="{FF2B5EF4-FFF2-40B4-BE49-F238E27FC236}">
              <a16:creationId xmlns:a16="http://schemas.microsoft.com/office/drawing/2014/main" id="{00000000-0008-0000-0500-0000424F0000}"/>
            </a:ext>
          </a:extLst>
        </xdr:cNvPr>
        <xdr:cNvSpPr>
          <a:spLocks noChangeShapeType="1"/>
        </xdr:cNvSpPr>
      </xdr:nvSpPr>
      <xdr:spPr bwMode="auto">
        <a:xfrm flipV="1">
          <a:off x="2000250" y="15497175"/>
          <a:ext cx="3743325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98</xdr:row>
      <xdr:rowOff>0</xdr:rowOff>
    </xdr:from>
    <xdr:to>
      <xdr:col>10</xdr:col>
      <xdr:colOff>9525</xdr:colOff>
      <xdr:row>99</xdr:row>
      <xdr:rowOff>9525</xdr:rowOff>
    </xdr:to>
    <xdr:sp macro="" textlink="">
      <xdr:nvSpPr>
        <xdr:cNvPr id="20291" name="Line 43">
          <a:extLst>
            <a:ext uri="{FF2B5EF4-FFF2-40B4-BE49-F238E27FC236}">
              <a16:creationId xmlns:a16="http://schemas.microsoft.com/office/drawing/2014/main" id="{00000000-0008-0000-0500-0000434F0000}"/>
            </a:ext>
          </a:extLst>
        </xdr:cNvPr>
        <xdr:cNvSpPr>
          <a:spLocks noChangeShapeType="1"/>
        </xdr:cNvSpPr>
      </xdr:nvSpPr>
      <xdr:spPr bwMode="auto">
        <a:xfrm>
          <a:off x="5743575" y="15344775"/>
          <a:ext cx="0" cy="171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333375</xdr:colOff>
      <xdr:row>86</xdr:row>
      <xdr:rowOff>142875</xdr:rowOff>
    </xdr:from>
    <xdr:to>
      <xdr:col>2</xdr:col>
      <xdr:colOff>352425</xdr:colOff>
      <xdr:row>95</xdr:row>
      <xdr:rowOff>95250</xdr:rowOff>
    </xdr:to>
    <xdr:sp macro="" textlink="">
      <xdr:nvSpPr>
        <xdr:cNvPr id="20292" name="Line 44">
          <a:extLst>
            <a:ext uri="{FF2B5EF4-FFF2-40B4-BE49-F238E27FC236}">
              <a16:creationId xmlns:a16="http://schemas.microsoft.com/office/drawing/2014/main" id="{00000000-0008-0000-0500-0000444F0000}"/>
            </a:ext>
          </a:extLst>
        </xdr:cNvPr>
        <xdr:cNvSpPr>
          <a:spLocks noChangeShapeType="1"/>
        </xdr:cNvSpPr>
      </xdr:nvSpPr>
      <xdr:spPr bwMode="auto">
        <a:xfrm>
          <a:off x="1095375" y="13544550"/>
          <a:ext cx="19050" cy="1409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90</xdr:row>
      <xdr:rowOff>28575</xdr:rowOff>
    </xdr:from>
    <xdr:to>
      <xdr:col>10</xdr:col>
      <xdr:colOff>19050</xdr:colOff>
      <xdr:row>98</xdr:row>
      <xdr:rowOff>9525</xdr:rowOff>
    </xdr:to>
    <xdr:sp macro="" textlink="">
      <xdr:nvSpPr>
        <xdr:cNvPr id="20295" name="Line 47">
          <a:extLst>
            <a:ext uri="{FF2B5EF4-FFF2-40B4-BE49-F238E27FC236}">
              <a16:creationId xmlns:a16="http://schemas.microsoft.com/office/drawing/2014/main" id="{00000000-0008-0000-0500-0000474F0000}"/>
            </a:ext>
          </a:extLst>
        </xdr:cNvPr>
        <xdr:cNvSpPr>
          <a:spLocks noChangeShapeType="1"/>
        </xdr:cNvSpPr>
      </xdr:nvSpPr>
      <xdr:spPr bwMode="auto">
        <a:xfrm>
          <a:off x="5734050" y="14077950"/>
          <a:ext cx="19050" cy="1276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96</xdr:row>
      <xdr:rowOff>95250</xdr:rowOff>
    </xdr:from>
    <xdr:to>
      <xdr:col>4</xdr:col>
      <xdr:colOff>9525</xdr:colOff>
      <xdr:row>98</xdr:row>
      <xdr:rowOff>0</xdr:rowOff>
    </xdr:to>
    <xdr:sp macro="" textlink="">
      <xdr:nvSpPr>
        <xdr:cNvPr id="20296" name="Line 51">
          <a:extLst>
            <a:ext uri="{FF2B5EF4-FFF2-40B4-BE49-F238E27FC236}">
              <a16:creationId xmlns:a16="http://schemas.microsoft.com/office/drawing/2014/main" id="{00000000-0008-0000-0500-0000484F0000}"/>
            </a:ext>
          </a:extLst>
        </xdr:cNvPr>
        <xdr:cNvSpPr>
          <a:spLocks noChangeShapeType="1"/>
        </xdr:cNvSpPr>
      </xdr:nvSpPr>
      <xdr:spPr bwMode="auto">
        <a:xfrm>
          <a:off x="2047875" y="15116175"/>
          <a:ext cx="9525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</xdr:col>
      <xdr:colOff>0</xdr:colOff>
      <xdr:row>99</xdr:row>
      <xdr:rowOff>123825</xdr:rowOff>
    </xdr:from>
    <xdr:to>
      <xdr:col>4</xdr:col>
      <xdr:colOff>0</xdr:colOff>
      <xdr:row>101</xdr:row>
      <xdr:rowOff>9525</xdr:rowOff>
    </xdr:to>
    <xdr:sp macro="" textlink="">
      <xdr:nvSpPr>
        <xdr:cNvPr id="20297" name="Line 52">
          <a:extLst>
            <a:ext uri="{FF2B5EF4-FFF2-40B4-BE49-F238E27FC236}">
              <a16:creationId xmlns:a16="http://schemas.microsoft.com/office/drawing/2014/main" id="{00000000-0008-0000-0500-0000494F0000}"/>
            </a:ext>
          </a:extLst>
        </xdr:cNvPr>
        <xdr:cNvSpPr>
          <a:spLocks noChangeShapeType="1"/>
        </xdr:cNvSpPr>
      </xdr:nvSpPr>
      <xdr:spPr bwMode="auto">
        <a:xfrm flipV="1">
          <a:off x="2047875" y="1563052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342900</xdr:colOff>
      <xdr:row>97</xdr:row>
      <xdr:rowOff>123825</xdr:rowOff>
    </xdr:from>
    <xdr:to>
      <xdr:col>2</xdr:col>
      <xdr:colOff>342900</xdr:colOff>
      <xdr:row>99</xdr:row>
      <xdr:rowOff>9525</xdr:rowOff>
    </xdr:to>
    <xdr:sp macro="" textlink="">
      <xdr:nvSpPr>
        <xdr:cNvPr id="20298" name="Line 55">
          <a:extLst>
            <a:ext uri="{FF2B5EF4-FFF2-40B4-BE49-F238E27FC236}">
              <a16:creationId xmlns:a16="http://schemas.microsoft.com/office/drawing/2014/main" id="{00000000-0008-0000-0500-00004A4F0000}"/>
            </a:ext>
          </a:extLst>
        </xdr:cNvPr>
        <xdr:cNvSpPr>
          <a:spLocks noChangeShapeType="1"/>
        </xdr:cNvSpPr>
      </xdr:nvSpPr>
      <xdr:spPr bwMode="auto">
        <a:xfrm flipV="1">
          <a:off x="1104900" y="1530667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390525</xdr:colOff>
      <xdr:row>94</xdr:row>
      <xdr:rowOff>85725</xdr:rowOff>
    </xdr:from>
    <xdr:to>
      <xdr:col>2</xdr:col>
      <xdr:colOff>390525</xdr:colOff>
      <xdr:row>95</xdr:row>
      <xdr:rowOff>152400</xdr:rowOff>
    </xdr:to>
    <xdr:sp macro="" textlink="">
      <xdr:nvSpPr>
        <xdr:cNvPr id="20299" name="Line 56">
          <a:extLst>
            <a:ext uri="{FF2B5EF4-FFF2-40B4-BE49-F238E27FC236}">
              <a16:creationId xmlns:a16="http://schemas.microsoft.com/office/drawing/2014/main" id="{00000000-0008-0000-0500-00004B4F0000}"/>
            </a:ext>
          </a:extLst>
        </xdr:cNvPr>
        <xdr:cNvSpPr>
          <a:spLocks noChangeShapeType="1"/>
        </xdr:cNvSpPr>
      </xdr:nvSpPr>
      <xdr:spPr bwMode="auto">
        <a:xfrm>
          <a:off x="1152525" y="1478280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561975</xdr:colOff>
      <xdr:row>95</xdr:row>
      <xdr:rowOff>152400</xdr:rowOff>
    </xdr:from>
    <xdr:to>
      <xdr:col>2</xdr:col>
      <xdr:colOff>276225</xdr:colOff>
      <xdr:row>96</xdr:row>
      <xdr:rowOff>0</xdr:rowOff>
    </xdr:to>
    <xdr:sp macro="" textlink="">
      <xdr:nvSpPr>
        <xdr:cNvPr id="20300" name="Line 57">
          <a:extLst>
            <a:ext uri="{FF2B5EF4-FFF2-40B4-BE49-F238E27FC236}">
              <a16:creationId xmlns:a16="http://schemas.microsoft.com/office/drawing/2014/main" id="{00000000-0008-0000-0500-00004C4F0000}"/>
            </a:ext>
          </a:extLst>
        </xdr:cNvPr>
        <xdr:cNvSpPr>
          <a:spLocks noChangeShapeType="1"/>
        </xdr:cNvSpPr>
      </xdr:nvSpPr>
      <xdr:spPr bwMode="auto">
        <a:xfrm>
          <a:off x="742950" y="15011400"/>
          <a:ext cx="295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514350</xdr:colOff>
      <xdr:row>97</xdr:row>
      <xdr:rowOff>104775</xdr:rowOff>
    </xdr:from>
    <xdr:to>
      <xdr:col>2</xdr:col>
      <xdr:colOff>285750</xdr:colOff>
      <xdr:row>97</xdr:row>
      <xdr:rowOff>104775</xdr:rowOff>
    </xdr:to>
    <xdr:sp macro="" textlink="">
      <xdr:nvSpPr>
        <xdr:cNvPr id="20301" name="Line 58">
          <a:extLst>
            <a:ext uri="{FF2B5EF4-FFF2-40B4-BE49-F238E27FC236}">
              <a16:creationId xmlns:a16="http://schemas.microsoft.com/office/drawing/2014/main" id="{00000000-0008-0000-0500-00004D4F0000}"/>
            </a:ext>
          </a:extLst>
        </xdr:cNvPr>
        <xdr:cNvSpPr>
          <a:spLocks noChangeShapeType="1"/>
        </xdr:cNvSpPr>
      </xdr:nvSpPr>
      <xdr:spPr bwMode="auto">
        <a:xfrm>
          <a:off x="695325" y="15287625"/>
          <a:ext cx="352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171450</xdr:colOff>
      <xdr:row>91</xdr:row>
      <xdr:rowOff>66675</xdr:rowOff>
    </xdr:from>
    <xdr:to>
      <xdr:col>2</xdr:col>
      <xdr:colOff>180975</xdr:colOff>
      <xdr:row>95</xdr:row>
      <xdr:rowOff>152400</xdr:rowOff>
    </xdr:to>
    <xdr:sp macro="" textlink="">
      <xdr:nvSpPr>
        <xdr:cNvPr id="20302" name="Line 59">
          <a:extLst>
            <a:ext uri="{FF2B5EF4-FFF2-40B4-BE49-F238E27FC236}">
              <a16:creationId xmlns:a16="http://schemas.microsoft.com/office/drawing/2014/main" id="{00000000-0008-0000-0500-00004E4F0000}"/>
            </a:ext>
          </a:extLst>
        </xdr:cNvPr>
        <xdr:cNvSpPr>
          <a:spLocks noChangeShapeType="1"/>
        </xdr:cNvSpPr>
      </xdr:nvSpPr>
      <xdr:spPr bwMode="auto">
        <a:xfrm>
          <a:off x="981075" y="15982950"/>
          <a:ext cx="9525" cy="733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76200</xdr:colOff>
      <xdr:row>97</xdr:row>
      <xdr:rowOff>114300</xdr:rowOff>
    </xdr:from>
    <xdr:to>
      <xdr:col>2</xdr:col>
      <xdr:colOff>76200</xdr:colOff>
      <xdr:row>99</xdr:row>
      <xdr:rowOff>9525</xdr:rowOff>
    </xdr:to>
    <xdr:sp macro="" textlink="">
      <xdr:nvSpPr>
        <xdr:cNvPr id="20303" name="Line 60">
          <a:extLst>
            <a:ext uri="{FF2B5EF4-FFF2-40B4-BE49-F238E27FC236}">
              <a16:creationId xmlns:a16="http://schemas.microsoft.com/office/drawing/2014/main" id="{00000000-0008-0000-0500-00004F4F0000}"/>
            </a:ext>
          </a:extLst>
        </xdr:cNvPr>
        <xdr:cNvSpPr>
          <a:spLocks noChangeShapeType="1"/>
        </xdr:cNvSpPr>
      </xdr:nvSpPr>
      <xdr:spPr bwMode="auto">
        <a:xfrm flipV="1">
          <a:off x="838200" y="15297150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0</xdr:colOff>
      <xdr:row>86</xdr:row>
      <xdr:rowOff>123825</xdr:rowOff>
    </xdr:from>
    <xdr:to>
      <xdr:col>2</xdr:col>
      <xdr:colOff>180975</xdr:colOff>
      <xdr:row>86</xdr:row>
      <xdr:rowOff>123825</xdr:rowOff>
    </xdr:to>
    <xdr:sp macro="" textlink="">
      <xdr:nvSpPr>
        <xdr:cNvPr id="20304" name="Line 61">
          <a:extLst>
            <a:ext uri="{FF2B5EF4-FFF2-40B4-BE49-F238E27FC236}">
              <a16:creationId xmlns:a16="http://schemas.microsoft.com/office/drawing/2014/main" id="{00000000-0008-0000-0500-0000504F0000}"/>
            </a:ext>
          </a:extLst>
        </xdr:cNvPr>
        <xdr:cNvSpPr>
          <a:spLocks noChangeShapeType="1"/>
        </xdr:cNvSpPr>
      </xdr:nvSpPr>
      <xdr:spPr bwMode="auto">
        <a:xfrm>
          <a:off x="809625" y="15230475"/>
          <a:ext cx="180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190500</xdr:colOff>
      <xdr:row>86</xdr:row>
      <xdr:rowOff>123825</xdr:rowOff>
    </xdr:from>
    <xdr:to>
      <xdr:col>2</xdr:col>
      <xdr:colOff>190500</xdr:colOff>
      <xdr:row>89</xdr:row>
      <xdr:rowOff>114300</xdr:rowOff>
    </xdr:to>
    <xdr:sp macro="" textlink="">
      <xdr:nvSpPr>
        <xdr:cNvPr id="20305" name="Line 62">
          <a:extLst>
            <a:ext uri="{FF2B5EF4-FFF2-40B4-BE49-F238E27FC236}">
              <a16:creationId xmlns:a16="http://schemas.microsoft.com/office/drawing/2014/main" id="{00000000-0008-0000-0500-0000514F0000}"/>
            </a:ext>
          </a:extLst>
        </xdr:cNvPr>
        <xdr:cNvSpPr>
          <a:spLocks noChangeShapeType="1"/>
        </xdr:cNvSpPr>
      </xdr:nvSpPr>
      <xdr:spPr bwMode="auto">
        <a:xfrm flipV="1">
          <a:off x="1000125" y="15230475"/>
          <a:ext cx="0" cy="476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180975</xdr:colOff>
      <xdr:row>97</xdr:row>
      <xdr:rowOff>152400</xdr:rowOff>
    </xdr:from>
    <xdr:to>
      <xdr:col>10</xdr:col>
      <xdr:colOff>485775</xdr:colOff>
      <xdr:row>97</xdr:row>
      <xdr:rowOff>152400</xdr:rowOff>
    </xdr:to>
    <xdr:sp macro="" textlink="">
      <xdr:nvSpPr>
        <xdr:cNvPr id="20306" name="Line 63">
          <a:extLst>
            <a:ext uri="{FF2B5EF4-FFF2-40B4-BE49-F238E27FC236}">
              <a16:creationId xmlns:a16="http://schemas.microsoft.com/office/drawing/2014/main" id="{00000000-0008-0000-0500-0000524F0000}"/>
            </a:ext>
          </a:extLst>
        </xdr:cNvPr>
        <xdr:cNvSpPr>
          <a:spLocks noChangeShapeType="1"/>
        </xdr:cNvSpPr>
      </xdr:nvSpPr>
      <xdr:spPr bwMode="auto">
        <a:xfrm>
          <a:off x="5915025" y="15335250"/>
          <a:ext cx="304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190500</xdr:colOff>
      <xdr:row>99</xdr:row>
      <xdr:rowOff>9525</xdr:rowOff>
    </xdr:from>
    <xdr:to>
      <xdr:col>10</xdr:col>
      <xdr:colOff>495300</xdr:colOff>
      <xdr:row>99</xdr:row>
      <xdr:rowOff>9525</xdr:rowOff>
    </xdr:to>
    <xdr:sp macro="" textlink="">
      <xdr:nvSpPr>
        <xdr:cNvPr id="20307" name="Line 64">
          <a:extLst>
            <a:ext uri="{FF2B5EF4-FFF2-40B4-BE49-F238E27FC236}">
              <a16:creationId xmlns:a16="http://schemas.microsoft.com/office/drawing/2014/main" id="{00000000-0008-0000-0500-0000534F0000}"/>
            </a:ext>
          </a:extLst>
        </xdr:cNvPr>
        <xdr:cNvSpPr>
          <a:spLocks noChangeShapeType="1"/>
        </xdr:cNvSpPr>
      </xdr:nvSpPr>
      <xdr:spPr bwMode="auto">
        <a:xfrm>
          <a:off x="5924550" y="15516225"/>
          <a:ext cx="304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180975</xdr:colOff>
      <xdr:row>90</xdr:row>
      <xdr:rowOff>0</xdr:rowOff>
    </xdr:from>
    <xdr:to>
      <xdr:col>10</xdr:col>
      <xdr:colOff>466725</xdr:colOff>
      <xdr:row>90</xdr:row>
      <xdr:rowOff>0</xdr:rowOff>
    </xdr:to>
    <xdr:sp macro="" textlink="">
      <xdr:nvSpPr>
        <xdr:cNvPr id="20308" name="Line 65">
          <a:extLst>
            <a:ext uri="{FF2B5EF4-FFF2-40B4-BE49-F238E27FC236}">
              <a16:creationId xmlns:a16="http://schemas.microsoft.com/office/drawing/2014/main" id="{00000000-0008-0000-0500-0000544F0000}"/>
            </a:ext>
          </a:extLst>
        </xdr:cNvPr>
        <xdr:cNvSpPr>
          <a:spLocks noChangeShapeType="1"/>
        </xdr:cNvSpPr>
      </xdr:nvSpPr>
      <xdr:spPr bwMode="auto">
        <a:xfrm>
          <a:off x="5915025" y="14049375"/>
          <a:ext cx="285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314325</xdr:colOff>
      <xdr:row>90</xdr:row>
      <xdr:rowOff>0</xdr:rowOff>
    </xdr:from>
    <xdr:to>
      <xdr:col>10</xdr:col>
      <xdr:colOff>314325</xdr:colOff>
      <xdr:row>92</xdr:row>
      <xdr:rowOff>142875</xdr:rowOff>
    </xdr:to>
    <xdr:sp macro="" textlink="">
      <xdr:nvSpPr>
        <xdr:cNvPr id="20309" name="Line 66">
          <a:extLst>
            <a:ext uri="{FF2B5EF4-FFF2-40B4-BE49-F238E27FC236}">
              <a16:creationId xmlns:a16="http://schemas.microsoft.com/office/drawing/2014/main" id="{00000000-0008-0000-0500-0000554F0000}"/>
            </a:ext>
          </a:extLst>
        </xdr:cNvPr>
        <xdr:cNvSpPr>
          <a:spLocks noChangeShapeType="1"/>
        </xdr:cNvSpPr>
      </xdr:nvSpPr>
      <xdr:spPr bwMode="auto">
        <a:xfrm flipV="1">
          <a:off x="6048375" y="14049375"/>
          <a:ext cx="0" cy="466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333375</xdr:colOff>
      <xdr:row>94</xdr:row>
      <xdr:rowOff>9525</xdr:rowOff>
    </xdr:from>
    <xdr:to>
      <xdr:col>10</xdr:col>
      <xdr:colOff>333375</xdr:colOff>
      <xdr:row>97</xdr:row>
      <xdr:rowOff>133350</xdr:rowOff>
    </xdr:to>
    <xdr:sp macro="" textlink="">
      <xdr:nvSpPr>
        <xdr:cNvPr id="20310" name="Line 67">
          <a:extLst>
            <a:ext uri="{FF2B5EF4-FFF2-40B4-BE49-F238E27FC236}">
              <a16:creationId xmlns:a16="http://schemas.microsoft.com/office/drawing/2014/main" id="{00000000-0008-0000-0500-0000564F0000}"/>
            </a:ext>
          </a:extLst>
        </xdr:cNvPr>
        <xdr:cNvSpPr>
          <a:spLocks noChangeShapeType="1"/>
        </xdr:cNvSpPr>
      </xdr:nvSpPr>
      <xdr:spPr bwMode="auto">
        <a:xfrm>
          <a:off x="6067425" y="14706600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333375</xdr:colOff>
      <xdr:row>98</xdr:row>
      <xdr:rowOff>142875</xdr:rowOff>
    </xdr:from>
    <xdr:to>
      <xdr:col>10</xdr:col>
      <xdr:colOff>333375</xdr:colOff>
      <xdr:row>100</xdr:row>
      <xdr:rowOff>28575</xdr:rowOff>
    </xdr:to>
    <xdr:sp macro="" textlink="">
      <xdr:nvSpPr>
        <xdr:cNvPr id="20311" name="Line 68">
          <a:extLst>
            <a:ext uri="{FF2B5EF4-FFF2-40B4-BE49-F238E27FC236}">
              <a16:creationId xmlns:a16="http://schemas.microsoft.com/office/drawing/2014/main" id="{00000000-0008-0000-0500-0000574F0000}"/>
            </a:ext>
          </a:extLst>
        </xdr:cNvPr>
        <xdr:cNvSpPr>
          <a:spLocks noChangeShapeType="1"/>
        </xdr:cNvSpPr>
      </xdr:nvSpPr>
      <xdr:spPr bwMode="auto">
        <a:xfrm flipV="1">
          <a:off x="6067425" y="15487650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</xdr:col>
      <xdr:colOff>0</xdr:colOff>
      <xdr:row>72</xdr:row>
      <xdr:rowOff>133350</xdr:rowOff>
    </xdr:from>
    <xdr:to>
      <xdr:col>4</xdr:col>
      <xdr:colOff>0</xdr:colOff>
      <xdr:row>75</xdr:row>
      <xdr:rowOff>47625</xdr:rowOff>
    </xdr:to>
    <xdr:sp macro="" textlink="">
      <xdr:nvSpPr>
        <xdr:cNvPr id="20312" name="Line 69">
          <a:extLst>
            <a:ext uri="{FF2B5EF4-FFF2-40B4-BE49-F238E27FC236}">
              <a16:creationId xmlns:a16="http://schemas.microsoft.com/office/drawing/2014/main" id="{00000000-0008-0000-0500-0000584F0000}"/>
            </a:ext>
          </a:extLst>
        </xdr:cNvPr>
        <xdr:cNvSpPr>
          <a:spLocks noChangeShapeType="1"/>
        </xdr:cNvSpPr>
      </xdr:nvSpPr>
      <xdr:spPr bwMode="auto">
        <a:xfrm>
          <a:off x="2047875" y="1126807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75</xdr:row>
      <xdr:rowOff>133350</xdr:rowOff>
    </xdr:from>
    <xdr:to>
      <xdr:col>4</xdr:col>
      <xdr:colOff>0</xdr:colOff>
      <xdr:row>76</xdr:row>
      <xdr:rowOff>66675</xdr:rowOff>
    </xdr:to>
    <xdr:sp macro="" textlink="">
      <xdr:nvSpPr>
        <xdr:cNvPr id="20313" name="Line 70">
          <a:extLst>
            <a:ext uri="{FF2B5EF4-FFF2-40B4-BE49-F238E27FC236}">
              <a16:creationId xmlns:a16="http://schemas.microsoft.com/office/drawing/2014/main" id="{00000000-0008-0000-0500-0000594F0000}"/>
            </a:ext>
          </a:extLst>
        </xdr:cNvPr>
        <xdr:cNvSpPr>
          <a:spLocks noChangeShapeType="1"/>
        </xdr:cNvSpPr>
      </xdr:nvSpPr>
      <xdr:spPr bwMode="auto">
        <a:xfrm>
          <a:off x="2047875" y="1175385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0</xdr:rowOff>
    </xdr:from>
    <xdr:to>
      <xdr:col>4</xdr:col>
      <xdr:colOff>0</xdr:colOff>
      <xdr:row>78</xdr:row>
      <xdr:rowOff>142875</xdr:rowOff>
    </xdr:to>
    <xdr:sp macro="" textlink="">
      <xdr:nvSpPr>
        <xdr:cNvPr id="20314" name="Line 71">
          <a:extLst>
            <a:ext uri="{FF2B5EF4-FFF2-40B4-BE49-F238E27FC236}">
              <a16:creationId xmlns:a16="http://schemas.microsoft.com/office/drawing/2014/main" id="{00000000-0008-0000-0500-00005A4F0000}"/>
            </a:ext>
          </a:extLst>
        </xdr:cNvPr>
        <xdr:cNvSpPr>
          <a:spLocks noChangeShapeType="1"/>
        </xdr:cNvSpPr>
      </xdr:nvSpPr>
      <xdr:spPr bwMode="auto">
        <a:xfrm>
          <a:off x="2047875" y="11944350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79</xdr:row>
      <xdr:rowOff>85725</xdr:rowOff>
    </xdr:from>
    <xdr:to>
      <xdr:col>4</xdr:col>
      <xdr:colOff>0</xdr:colOff>
      <xdr:row>80</xdr:row>
      <xdr:rowOff>9525</xdr:rowOff>
    </xdr:to>
    <xdr:sp macro="" textlink="">
      <xdr:nvSpPr>
        <xdr:cNvPr id="20315" name="Line 72">
          <a:extLst>
            <a:ext uri="{FF2B5EF4-FFF2-40B4-BE49-F238E27FC236}">
              <a16:creationId xmlns:a16="http://schemas.microsoft.com/office/drawing/2014/main" id="{00000000-0008-0000-0500-00005B4F0000}"/>
            </a:ext>
          </a:extLst>
        </xdr:cNvPr>
        <xdr:cNvSpPr>
          <a:spLocks noChangeShapeType="1"/>
        </xdr:cNvSpPr>
      </xdr:nvSpPr>
      <xdr:spPr bwMode="auto">
        <a:xfrm>
          <a:off x="2047875" y="1235392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80</xdr:row>
      <xdr:rowOff>85725</xdr:rowOff>
    </xdr:from>
    <xdr:to>
      <xdr:col>4</xdr:col>
      <xdr:colOff>0</xdr:colOff>
      <xdr:row>82</xdr:row>
      <xdr:rowOff>76200</xdr:rowOff>
    </xdr:to>
    <xdr:sp macro="" textlink="">
      <xdr:nvSpPr>
        <xdr:cNvPr id="20316" name="Line 73">
          <a:extLst>
            <a:ext uri="{FF2B5EF4-FFF2-40B4-BE49-F238E27FC236}">
              <a16:creationId xmlns:a16="http://schemas.microsoft.com/office/drawing/2014/main" id="{00000000-0008-0000-0500-00005C4F0000}"/>
            </a:ext>
          </a:extLst>
        </xdr:cNvPr>
        <xdr:cNvSpPr>
          <a:spLocks noChangeShapeType="1"/>
        </xdr:cNvSpPr>
      </xdr:nvSpPr>
      <xdr:spPr bwMode="auto">
        <a:xfrm>
          <a:off x="2047875" y="12515850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82</xdr:row>
      <xdr:rowOff>152400</xdr:rowOff>
    </xdr:from>
    <xdr:to>
      <xdr:col>4</xdr:col>
      <xdr:colOff>0</xdr:colOff>
      <xdr:row>84</xdr:row>
      <xdr:rowOff>9525</xdr:rowOff>
    </xdr:to>
    <xdr:sp macro="" textlink="">
      <xdr:nvSpPr>
        <xdr:cNvPr id="20317" name="Line 74">
          <a:extLst>
            <a:ext uri="{FF2B5EF4-FFF2-40B4-BE49-F238E27FC236}">
              <a16:creationId xmlns:a16="http://schemas.microsoft.com/office/drawing/2014/main" id="{00000000-0008-0000-0500-00005D4F0000}"/>
            </a:ext>
          </a:extLst>
        </xdr:cNvPr>
        <xdr:cNvSpPr>
          <a:spLocks noChangeShapeType="1"/>
        </xdr:cNvSpPr>
      </xdr:nvSpPr>
      <xdr:spPr bwMode="auto">
        <a:xfrm>
          <a:off x="2047875" y="1290637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84</xdr:row>
      <xdr:rowOff>85725</xdr:rowOff>
    </xdr:from>
    <xdr:to>
      <xdr:col>4</xdr:col>
      <xdr:colOff>0</xdr:colOff>
      <xdr:row>86</xdr:row>
      <xdr:rowOff>9525</xdr:rowOff>
    </xdr:to>
    <xdr:sp macro="" textlink="">
      <xdr:nvSpPr>
        <xdr:cNvPr id="20318" name="Line 75">
          <a:extLst>
            <a:ext uri="{FF2B5EF4-FFF2-40B4-BE49-F238E27FC236}">
              <a16:creationId xmlns:a16="http://schemas.microsoft.com/office/drawing/2014/main" id="{00000000-0008-0000-0500-00005E4F0000}"/>
            </a:ext>
          </a:extLst>
        </xdr:cNvPr>
        <xdr:cNvSpPr>
          <a:spLocks noChangeShapeType="1"/>
        </xdr:cNvSpPr>
      </xdr:nvSpPr>
      <xdr:spPr bwMode="auto">
        <a:xfrm>
          <a:off x="2047875" y="13163550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628650</xdr:colOff>
      <xdr:row>87</xdr:row>
      <xdr:rowOff>19050</xdr:rowOff>
    </xdr:from>
    <xdr:to>
      <xdr:col>3</xdr:col>
      <xdr:colOff>628650</xdr:colOff>
      <xdr:row>90</xdr:row>
      <xdr:rowOff>28575</xdr:rowOff>
    </xdr:to>
    <xdr:sp macro="" textlink="">
      <xdr:nvSpPr>
        <xdr:cNvPr id="20319" name="Line 76">
          <a:extLst>
            <a:ext uri="{FF2B5EF4-FFF2-40B4-BE49-F238E27FC236}">
              <a16:creationId xmlns:a16="http://schemas.microsoft.com/office/drawing/2014/main" id="{00000000-0008-0000-0500-00005F4F0000}"/>
            </a:ext>
          </a:extLst>
        </xdr:cNvPr>
        <xdr:cNvSpPr>
          <a:spLocks noChangeShapeType="1"/>
        </xdr:cNvSpPr>
      </xdr:nvSpPr>
      <xdr:spPr bwMode="auto">
        <a:xfrm>
          <a:off x="2038350" y="13582650"/>
          <a:ext cx="0" cy="495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90</xdr:row>
      <xdr:rowOff>142875</xdr:rowOff>
    </xdr:from>
    <xdr:to>
      <xdr:col>4</xdr:col>
      <xdr:colOff>0</xdr:colOff>
      <xdr:row>91</xdr:row>
      <xdr:rowOff>104775</xdr:rowOff>
    </xdr:to>
    <xdr:sp macro="" textlink="">
      <xdr:nvSpPr>
        <xdr:cNvPr id="20320" name="Line 77">
          <a:extLst>
            <a:ext uri="{FF2B5EF4-FFF2-40B4-BE49-F238E27FC236}">
              <a16:creationId xmlns:a16="http://schemas.microsoft.com/office/drawing/2014/main" id="{00000000-0008-0000-0500-0000604F0000}"/>
            </a:ext>
          </a:extLst>
        </xdr:cNvPr>
        <xdr:cNvSpPr>
          <a:spLocks noChangeShapeType="1"/>
        </xdr:cNvSpPr>
      </xdr:nvSpPr>
      <xdr:spPr bwMode="auto">
        <a:xfrm>
          <a:off x="2047875" y="14192250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92</xdr:row>
      <xdr:rowOff>57150</xdr:rowOff>
    </xdr:from>
    <xdr:to>
      <xdr:col>4</xdr:col>
      <xdr:colOff>0</xdr:colOff>
      <xdr:row>94</xdr:row>
      <xdr:rowOff>9525</xdr:rowOff>
    </xdr:to>
    <xdr:sp macro="" textlink="">
      <xdr:nvSpPr>
        <xdr:cNvPr id="20321" name="Line 78">
          <a:extLst>
            <a:ext uri="{FF2B5EF4-FFF2-40B4-BE49-F238E27FC236}">
              <a16:creationId xmlns:a16="http://schemas.microsoft.com/office/drawing/2014/main" id="{00000000-0008-0000-0500-0000614F0000}"/>
            </a:ext>
          </a:extLst>
        </xdr:cNvPr>
        <xdr:cNvSpPr>
          <a:spLocks noChangeShapeType="1"/>
        </xdr:cNvSpPr>
      </xdr:nvSpPr>
      <xdr:spPr bwMode="auto">
        <a:xfrm>
          <a:off x="2047875" y="14430375"/>
          <a:ext cx="0" cy="27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94</xdr:row>
      <xdr:rowOff>95250</xdr:rowOff>
    </xdr:from>
    <xdr:to>
      <xdr:col>4</xdr:col>
      <xdr:colOff>0</xdr:colOff>
      <xdr:row>96</xdr:row>
      <xdr:rowOff>0</xdr:rowOff>
    </xdr:to>
    <xdr:sp macro="" textlink="">
      <xdr:nvSpPr>
        <xdr:cNvPr id="20322" name="Line 79">
          <a:extLst>
            <a:ext uri="{FF2B5EF4-FFF2-40B4-BE49-F238E27FC236}">
              <a16:creationId xmlns:a16="http://schemas.microsoft.com/office/drawing/2014/main" id="{00000000-0008-0000-0500-0000624F0000}"/>
            </a:ext>
          </a:extLst>
        </xdr:cNvPr>
        <xdr:cNvSpPr>
          <a:spLocks noChangeShapeType="1"/>
        </xdr:cNvSpPr>
      </xdr:nvSpPr>
      <xdr:spPr bwMode="auto">
        <a:xfrm>
          <a:off x="2047875" y="14792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100</xdr:row>
      <xdr:rowOff>133350</xdr:rowOff>
    </xdr:from>
    <xdr:to>
      <xdr:col>4</xdr:col>
      <xdr:colOff>9525</xdr:colOff>
      <xdr:row>102</xdr:row>
      <xdr:rowOff>152400</xdr:rowOff>
    </xdr:to>
    <xdr:sp macro="" textlink="">
      <xdr:nvSpPr>
        <xdr:cNvPr id="20323" name="Line 80">
          <a:extLst>
            <a:ext uri="{FF2B5EF4-FFF2-40B4-BE49-F238E27FC236}">
              <a16:creationId xmlns:a16="http://schemas.microsoft.com/office/drawing/2014/main" id="{00000000-0008-0000-0500-0000634F0000}"/>
            </a:ext>
          </a:extLst>
        </xdr:cNvPr>
        <xdr:cNvSpPr>
          <a:spLocks noChangeShapeType="1"/>
        </xdr:cNvSpPr>
      </xdr:nvSpPr>
      <xdr:spPr bwMode="auto">
        <a:xfrm>
          <a:off x="2095500" y="18021300"/>
          <a:ext cx="9525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71</xdr:row>
      <xdr:rowOff>85725</xdr:rowOff>
    </xdr:from>
    <xdr:to>
      <xdr:col>2</xdr:col>
      <xdr:colOff>342900</xdr:colOff>
      <xdr:row>73</xdr:row>
      <xdr:rowOff>47625</xdr:rowOff>
    </xdr:to>
    <xdr:sp macro="" textlink="">
      <xdr:nvSpPr>
        <xdr:cNvPr id="20324" name="Line 81">
          <a:extLst>
            <a:ext uri="{FF2B5EF4-FFF2-40B4-BE49-F238E27FC236}">
              <a16:creationId xmlns:a16="http://schemas.microsoft.com/office/drawing/2014/main" id="{00000000-0008-0000-0500-0000644F0000}"/>
            </a:ext>
          </a:extLst>
        </xdr:cNvPr>
        <xdr:cNvSpPr>
          <a:spLocks noChangeShapeType="1"/>
        </xdr:cNvSpPr>
      </xdr:nvSpPr>
      <xdr:spPr bwMode="auto">
        <a:xfrm>
          <a:off x="1104900" y="11058525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73</xdr:row>
      <xdr:rowOff>123825</xdr:rowOff>
    </xdr:from>
    <xdr:to>
      <xdr:col>2</xdr:col>
      <xdr:colOff>342900</xdr:colOff>
      <xdr:row>74</xdr:row>
      <xdr:rowOff>114300</xdr:rowOff>
    </xdr:to>
    <xdr:sp macro="" textlink="">
      <xdr:nvSpPr>
        <xdr:cNvPr id="20325" name="Line 82">
          <a:extLst>
            <a:ext uri="{FF2B5EF4-FFF2-40B4-BE49-F238E27FC236}">
              <a16:creationId xmlns:a16="http://schemas.microsoft.com/office/drawing/2014/main" id="{00000000-0008-0000-0500-0000654F0000}"/>
            </a:ext>
          </a:extLst>
        </xdr:cNvPr>
        <xdr:cNvSpPr>
          <a:spLocks noChangeShapeType="1"/>
        </xdr:cNvSpPr>
      </xdr:nvSpPr>
      <xdr:spPr bwMode="auto">
        <a:xfrm>
          <a:off x="1104900" y="1142047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83</xdr:row>
      <xdr:rowOff>38100</xdr:rowOff>
    </xdr:from>
    <xdr:to>
      <xdr:col>2</xdr:col>
      <xdr:colOff>342900</xdr:colOff>
      <xdr:row>84</xdr:row>
      <xdr:rowOff>66675</xdr:rowOff>
    </xdr:to>
    <xdr:sp macro="" textlink="">
      <xdr:nvSpPr>
        <xdr:cNvPr id="20326" name="Line 83">
          <a:extLst>
            <a:ext uri="{FF2B5EF4-FFF2-40B4-BE49-F238E27FC236}">
              <a16:creationId xmlns:a16="http://schemas.microsoft.com/office/drawing/2014/main" id="{00000000-0008-0000-0500-0000664F0000}"/>
            </a:ext>
          </a:extLst>
        </xdr:cNvPr>
        <xdr:cNvSpPr>
          <a:spLocks noChangeShapeType="1"/>
        </xdr:cNvSpPr>
      </xdr:nvSpPr>
      <xdr:spPr bwMode="auto">
        <a:xfrm>
          <a:off x="1104900" y="12954000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190500</xdr:colOff>
      <xdr:row>85</xdr:row>
      <xdr:rowOff>76200</xdr:rowOff>
    </xdr:from>
    <xdr:to>
      <xdr:col>2</xdr:col>
      <xdr:colOff>190500</xdr:colOff>
      <xdr:row>86</xdr:row>
      <xdr:rowOff>95250</xdr:rowOff>
    </xdr:to>
    <xdr:sp macro="" textlink="">
      <xdr:nvSpPr>
        <xdr:cNvPr id="20327" name="Line 84">
          <a:extLst>
            <a:ext uri="{FF2B5EF4-FFF2-40B4-BE49-F238E27FC236}">
              <a16:creationId xmlns:a16="http://schemas.microsoft.com/office/drawing/2014/main" id="{00000000-0008-0000-0500-0000674F0000}"/>
            </a:ext>
          </a:extLst>
        </xdr:cNvPr>
        <xdr:cNvSpPr>
          <a:spLocks noChangeShapeType="1"/>
        </xdr:cNvSpPr>
      </xdr:nvSpPr>
      <xdr:spPr bwMode="auto">
        <a:xfrm>
          <a:off x="1000125" y="1502092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71</xdr:row>
      <xdr:rowOff>123825</xdr:rowOff>
    </xdr:from>
    <xdr:to>
      <xdr:col>6</xdr:col>
      <xdr:colOff>0</xdr:colOff>
      <xdr:row>73</xdr:row>
      <xdr:rowOff>85725</xdr:rowOff>
    </xdr:to>
    <xdr:sp macro="" textlink="">
      <xdr:nvSpPr>
        <xdr:cNvPr id="20329" name="Line 86">
          <a:extLst>
            <a:ext uri="{FF2B5EF4-FFF2-40B4-BE49-F238E27FC236}">
              <a16:creationId xmlns:a16="http://schemas.microsoft.com/office/drawing/2014/main" id="{00000000-0008-0000-0500-0000694F0000}"/>
            </a:ext>
          </a:extLst>
        </xdr:cNvPr>
        <xdr:cNvSpPr>
          <a:spLocks noChangeShapeType="1"/>
        </xdr:cNvSpPr>
      </xdr:nvSpPr>
      <xdr:spPr bwMode="auto">
        <a:xfrm>
          <a:off x="3257550" y="11096625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74</xdr:row>
      <xdr:rowOff>38100</xdr:rowOff>
    </xdr:from>
    <xdr:to>
      <xdr:col>6</xdr:col>
      <xdr:colOff>9525</xdr:colOff>
      <xdr:row>75</xdr:row>
      <xdr:rowOff>104775</xdr:rowOff>
    </xdr:to>
    <xdr:sp macro="" textlink="">
      <xdr:nvSpPr>
        <xdr:cNvPr id="20330" name="Line 87">
          <a:extLst>
            <a:ext uri="{FF2B5EF4-FFF2-40B4-BE49-F238E27FC236}">
              <a16:creationId xmlns:a16="http://schemas.microsoft.com/office/drawing/2014/main" id="{00000000-0008-0000-0500-00006A4F0000}"/>
            </a:ext>
          </a:extLst>
        </xdr:cNvPr>
        <xdr:cNvSpPr>
          <a:spLocks noChangeShapeType="1"/>
        </xdr:cNvSpPr>
      </xdr:nvSpPr>
      <xdr:spPr bwMode="auto">
        <a:xfrm>
          <a:off x="3267075" y="114966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76</xdr:row>
      <xdr:rowOff>28575</xdr:rowOff>
    </xdr:from>
    <xdr:to>
      <xdr:col>6</xdr:col>
      <xdr:colOff>9525</xdr:colOff>
      <xdr:row>76</xdr:row>
      <xdr:rowOff>123825</xdr:rowOff>
    </xdr:to>
    <xdr:sp macro="" textlink="">
      <xdr:nvSpPr>
        <xdr:cNvPr id="20331" name="Line 88">
          <a:extLst>
            <a:ext uri="{FF2B5EF4-FFF2-40B4-BE49-F238E27FC236}">
              <a16:creationId xmlns:a16="http://schemas.microsoft.com/office/drawing/2014/main" id="{00000000-0008-0000-0500-00006B4F0000}"/>
            </a:ext>
          </a:extLst>
        </xdr:cNvPr>
        <xdr:cNvSpPr>
          <a:spLocks noChangeShapeType="1"/>
        </xdr:cNvSpPr>
      </xdr:nvSpPr>
      <xdr:spPr bwMode="auto">
        <a:xfrm>
          <a:off x="3267075" y="1181100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77</xdr:row>
      <xdr:rowOff>57150</xdr:rowOff>
    </xdr:from>
    <xdr:to>
      <xdr:col>6</xdr:col>
      <xdr:colOff>9525</xdr:colOff>
      <xdr:row>79</xdr:row>
      <xdr:rowOff>142875</xdr:rowOff>
    </xdr:to>
    <xdr:sp macro="" textlink="">
      <xdr:nvSpPr>
        <xdr:cNvPr id="20332" name="Line 89">
          <a:extLst>
            <a:ext uri="{FF2B5EF4-FFF2-40B4-BE49-F238E27FC236}">
              <a16:creationId xmlns:a16="http://schemas.microsoft.com/office/drawing/2014/main" id="{00000000-0008-0000-0500-00006C4F0000}"/>
            </a:ext>
          </a:extLst>
        </xdr:cNvPr>
        <xdr:cNvSpPr>
          <a:spLocks noChangeShapeType="1"/>
        </xdr:cNvSpPr>
      </xdr:nvSpPr>
      <xdr:spPr bwMode="auto">
        <a:xfrm flipH="1">
          <a:off x="3257550" y="12001500"/>
          <a:ext cx="9525" cy="40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80</xdr:row>
      <xdr:rowOff>47625</xdr:rowOff>
    </xdr:from>
    <xdr:to>
      <xdr:col>6</xdr:col>
      <xdr:colOff>9525</xdr:colOff>
      <xdr:row>82</xdr:row>
      <xdr:rowOff>9525</xdr:rowOff>
    </xdr:to>
    <xdr:sp macro="" textlink="">
      <xdr:nvSpPr>
        <xdr:cNvPr id="20333" name="Line 90">
          <a:extLst>
            <a:ext uri="{FF2B5EF4-FFF2-40B4-BE49-F238E27FC236}">
              <a16:creationId xmlns:a16="http://schemas.microsoft.com/office/drawing/2014/main" id="{00000000-0008-0000-0500-00006D4F0000}"/>
            </a:ext>
          </a:extLst>
        </xdr:cNvPr>
        <xdr:cNvSpPr>
          <a:spLocks noChangeShapeType="1"/>
        </xdr:cNvSpPr>
      </xdr:nvSpPr>
      <xdr:spPr bwMode="auto">
        <a:xfrm>
          <a:off x="3267075" y="12477750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82</xdr:row>
      <xdr:rowOff>85725</xdr:rowOff>
    </xdr:from>
    <xdr:to>
      <xdr:col>6</xdr:col>
      <xdr:colOff>0</xdr:colOff>
      <xdr:row>85</xdr:row>
      <xdr:rowOff>9525</xdr:rowOff>
    </xdr:to>
    <xdr:sp macro="" textlink="">
      <xdr:nvSpPr>
        <xdr:cNvPr id="20334" name="Line 91">
          <a:extLst>
            <a:ext uri="{FF2B5EF4-FFF2-40B4-BE49-F238E27FC236}">
              <a16:creationId xmlns:a16="http://schemas.microsoft.com/office/drawing/2014/main" id="{00000000-0008-0000-0500-00006E4F0000}"/>
            </a:ext>
          </a:extLst>
        </xdr:cNvPr>
        <xdr:cNvSpPr>
          <a:spLocks noChangeShapeType="1"/>
        </xdr:cNvSpPr>
      </xdr:nvSpPr>
      <xdr:spPr bwMode="auto">
        <a:xfrm>
          <a:off x="3257550" y="12839700"/>
          <a:ext cx="0" cy="40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86</xdr:row>
      <xdr:rowOff>66675</xdr:rowOff>
    </xdr:from>
    <xdr:to>
      <xdr:col>6</xdr:col>
      <xdr:colOff>0</xdr:colOff>
      <xdr:row>88</xdr:row>
      <xdr:rowOff>95250</xdr:rowOff>
    </xdr:to>
    <xdr:sp macro="" textlink="">
      <xdr:nvSpPr>
        <xdr:cNvPr id="20335" name="Line 92">
          <a:extLst>
            <a:ext uri="{FF2B5EF4-FFF2-40B4-BE49-F238E27FC236}">
              <a16:creationId xmlns:a16="http://schemas.microsoft.com/office/drawing/2014/main" id="{00000000-0008-0000-0500-00006F4F0000}"/>
            </a:ext>
          </a:extLst>
        </xdr:cNvPr>
        <xdr:cNvSpPr>
          <a:spLocks noChangeShapeType="1"/>
        </xdr:cNvSpPr>
      </xdr:nvSpPr>
      <xdr:spPr bwMode="auto">
        <a:xfrm>
          <a:off x="3257550" y="13468350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89</xdr:row>
      <xdr:rowOff>9525</xdr:rowOff>
    </xdr:from>
    <xdr:to>
      <xdr:col>6</xdr:col>
      <xdr:colOff>0</xdr:colOff>
      <xdr:row>90</xdr:row>
      <xdr:rowOff>95250</xdr:rowOff>
    </xdr:to>
    <xdr:sp macro="" textlink="">
      <xdr:nvSpPr>
        <xdr:cNvPr id="20336" name="Line 93">
          <a:extLst>
            <a:ext uri="{FF2B5EF4-FFF2-40B4-BE49-F238E27FC236}">
              <a16:creationId xmlns:a16="http://schemas.microsoft.com/office/drawing/2014/main" id="{00000000-0008-0000-0500-0000704F0000}"/>
            </a:ext>
          </a:extLst>
        </xdr:cNvPr>
        <xdr:cNvSpPr>
          <a:spLocks noChangeShapeType="1"/>
        </xdr:cNvSpPr>
      </xdr:nvSpPr>
      <xdr:spPr bwMode="auto">
        <a:xfrm>
          <a:off x="3305175" y="16278225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723900</xdr:colOff>
      <xdr:row>91</xdr:row>
      <xdr:rowOff>19050</xdr:rowOff>
    </xdr:from>
    <xdr:to>
      <xdr:col>5</xdr:col>
      <xdr:colOff>723900</xdr:colOff>
      <xdr:row>92</xdr:row>
      <xdr:rowOff>38100</xdr:rowOff>
    </xdr:to>
    <xdr:sp macro="" textlink="">
      <xdr:nvSpPr>
        <xdr:cNvPr id="20337" name="Line 94">
          <a:extLst>
            <a:ext uri="{FF2B5EF4-FFF2-40B4-BE49-F238E27FC236}">
              <a16:creationId xmlns:a16="http://schemas.microsoft.com/office/drawing/2014/main" id="{00000000-0008-0000-0500-0000714F0000}"/>
            </a:ext>
          </a:extLst>
        </xdr:cNvPr>
        <xdr:cNvSpPr>
          <a:spLocks noChangeShapeType="1"/>
        </xdr:cNvSpPr>
      </xdr:nvSpPr>
      <xdr:spPr bwMode="auto">
        <a:xfrm>
          <a:off x="3257550" y="14230350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723900</xdr:colOff>
      <xdr:row>92</xdr:row>
      <xdr:rowOff>133350</xdr:rowOff>
    </xdr:from>
    <xdr:to>
      <xdr:col>5</xdr:col>
      <xdr:colOff>723900</xdr:colOff>
      <xdr:row>93</xdr:row>
      <xdr:rowOff>152400</xdr:rowOff>
    </xdr:to>
    <xdr:sp macro="" textlink="">
      <xdr:nvSpPr>
        <xdr:cNvPr id="20338" name="Line 96">
          <a:extLst>
            <a:ext uri="{FF2B5EF4-FFF2-40B4-BE49-F238E27FC236}">
              <a16:creationId xmlns:a16="http://schemas.microsoft.com/office/drawing/2014/main" id="{00000000-0008-0000-0500-0000724F0000}"/>
            </a:ext>
          </a:extLst>
        </xdr:cNvPr>
        <xdr:cNvSpPr>
          <a:spLocks noChangeShapeType="1"/>
        </xdr:cNvSpPr>
      </xdr:nvSpPr>
      <xdr:spPr bwMode="auto">
        <a:xfrm>
          <a:off x="3257550" y="1450657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94</xdr:row>
      <xdr:rowOff>95250</xdr:rowOff>
    </xdr:from>
    <xdr:to>
      <xdr:col>6</xdr:col>
      <xdr:colOff>0</xdr:colOff>
      <xdr:row>97</xdr:row>
      <xdr:rowOff>9525</xdr:rowOff>
    </xdr:to>
    <xdr:sp macro="" textlink="">
      <xdr:nvSpPr>
        <xdr:cNvPr id="20339" name="Line 97">
          <a:extLst>
            <a:ext uri="{FF2B5EF4-FFF2-40B4-BE49-F238E27FC236}">
              <a16:creationId xmlns:a16="http://schemas.microsoft.com/office/drawing/2014/main" id="{00000000-0008-0000-0500-0000734F0000}"/>
            </a:ext>
          </a:extLst>
        </xdr:cNvPr>
        <xdr:cNvSpPr>
          <a:spLocks noChangeShapeType="1"/>
        </xdr:cNvSpPr>
      </xdr:nvSpPr>
      <xdr:spPr bwMode="auto">
        <a:xfrm>
          <a:off x="3257550" y="147923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723900</xdr:colOff>
      <xdr:row>97</xdr:row>
      <xdr:rowOff>85725</xdr:rowOff>
    </xdr:from>
    <xdr:to>
      <xdr:col>5</xdr:col>
      <xdr:colOff>723900</xdr:colOff>
      <xdr:row>100</xdr:row>
      <xdr:rowOff>76200</xdr:rowOff>
    </xdr:to>
    <xdr:sp macro="" textlink="">
      <xdr:nvSpPr>
        <xdr:cNvPr id="20340" name="Line 98">
          <a:extLst>
            <a:ext uri="{FF2B5EF4-FFF2-40B4-BE49-F238E27FC236}">
              <a16:creationId xmlns:a16="http://schemas.microsoft.com/office/drawing/2014/main" id="{00000000-0008-0000-0500-0000744F0000}"/>
            </a:ext>
          </a:extLst>
        </xdr:cNvPr>
        <xdr:cNvSpPr>
          <a:spLocks noChangeShapeType="1"/>
        </xdr:cNvSpPr>
      </xdr:nvSpPr>
      <xdr:spPr bwMode="auto">
        <a:xfrm>
          <a:off x="3257550" y="15268575"/>
          <a:ext cx="0" cy="476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71</xdr:row>
      <xdr:rowOff>76200</xdr:rowOff>
    </xdr:from>
    <xdr:to>
      <xdr:col>8</xdr:col>
      <xdr:colOff>9525</xdr:colOff>
      <xdr:row>74</xdr:row>
      <xdr:rowOff>9525</xdr:rowOff>
    </xdr:to>
    <xdr:sp macro="" textlink="">
      <xdr:nvSpPr>
        <xdr:cNvPr id="20341" name="Line 99">
          <a:extLst>
            <a:ext uri="{FF2B5EF4-FFF2-40B4-BE49-F238E27FC236}">
              <a16:creationId xmlns:a16="http://schemas.microsoft.com/office/drawing/2014/main" id="{00000000-0008-0000-0500-0000754F0000}"/>
            </a:ext>
          </a:extLst>
        </xdr:cNvPr>
        <xdr:cNvSpPr>
          <a:spLocks noChangeShapeType="1"/>
        </xdr:cNvSpPr>
      </xdr:nvSpPr>
      <xdr:spPr bwMode="auto">
        <a:xfrm>
          <a:off x="4533900" y="11049000"/>
          <a:ext cx="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74</xdr:row>
      <xdr:rowOff>123825</xdr:rowOff>
    </xdr:from>
    <xdr:to>
      <xdr:col>8</xdr:col>
      <xdr:colOff>9525</xdr:colOff>
      <xdr:row>76</xdr:row>
      <xdr:rowOff>95250</xdr:rowOff>
    </xdr:to>
    <xdr:sp macro="" textlink="">
      <xdr:nvSpPr>
        <xdr:cNvPr id="20342" name="Line 100">
          <a:extLst>
            <a:ext uri="{FF2B5EF4-FFF2-40B4-BE49-F238E27FC236}">
              <a16:creationId xmlns:a16="http://schemas.microsoft.com/office/drawing/2014/main" id="{00000000-0008-0000-0500-0000764F0000}"/>
            </a:ext>
          </a:extLst>
        </xdr:cNvPr>
        <xdr:cNvSpPr>
          <a:spLocks noChangeShapeType="1"/>
        </xdr:cNvSpPr>
      </xdr:nvSpPr>
      <xdr:spPr bwMode="auto">
        <a:xfrm>
          <a:off x="4533900" y="1158240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77</xdr:row>
      <xdr:rowOff>9525</xdr:rowOff>
    </xdr:from>
    <xdr:to>
      <xdr:col>8</xdr:col>
      <xdr:colOff>0</xdr:colOff>
      <xdr:row>80</xdr:row>
      <xdr:rowOff>95250</xdr:rowOff>
    </xdr:to>
    <xdr:sp macro="" textlink="">
      <xdr:nvSpPr>
        <xdr:cNvPr id="20343" name="Line 101">
          <a:extLst>
            <a:ext uri="{FF2B5EF4-FFF2-40B4-BE49-F238E27FC236}">
              <a16:creationId xmlns:a16="http://schemas.microsoft.com/office/drawing/2014/main" id="{00000000-0008-0000-0500-0000774F0000}"/>
            </a:ext>
          </a:extLst>
        </xdr:cNvPr>
        <xdr:cNvSpPr>
          <a:spLocks noChangeShapeType="1"/>
        </xdr:cNvSpPr>
      </xdr:nvSpPr>
      <xdr:spPr bwMode="auto">
        <a:xfrm>
          <a:off x="4524375" y="11953875"/>
          <a:ext cx="0" cy="571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81</xdr:row>
      <xdr:rowOff>66675</xdr:rowOff>
    </xdr:from>
    <xdr:to>
      <xdr:col>8</xdr:col>
      <xdr:colOff>0</xdr:colOff>
      <xdr:row>83</xdr:row>
      <xdr:rowOff>142875</xdr:rowOff>
    </xdr:to>
    <xdr:sp macro="" textlink="">
      <xdr:nvSpPr>
        <xdr:cNvPr id="20344" name="Line 102">
          <a:extLst>
            <a:ext uri="{FF2B5EF4-FFF2-40B4-BE49-F238E27FC236}">
              <a16:creationId xmlns:a16="http://schemas.microsoft.com/office/drawing/2014/main" id="{00000000-0008-0000-0500-0000784F0000}"/>
            </a:ext>
          </a:extLst>
        </xdr:cNvPr>
        <xdr:cNvSpPr>
          <a:spLocks noChangeShapeType="1"/>
        </xdr:cNvSpPr>
      </xdr:nvSpPr>
      <xdr:spPr bwMode="auto">
        <a:xfrm>
          <a:off x="4524375" y="126587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84</xdr:row>
      <xdr:rowOff>47625</xdr:rowOff>
    </xdr:from>
    <xdr:to>
      <xdr:col>8</xdr:col>
      <xdr:colOff>0</xdr:colOff>
      <xdr:row>87</xdr:row>
      <xdr:rowOff>47625</xdr:rowOff>
    </xdr:to>
    <xdr:sp macro="" textlink="">
      <xdr:nvSpPr>
        <xdr:cNvPr id="20345" name="Line 103">
          <a:extLst>
            <a:ext uri="{FF2B5EF4-FFF2-40B4-BE49-F238E27FC236}">
              <a16:creationId xmlns:a16="http://schemas.microsoft.com/office/drawing/2014/main" id="{00000000-0008-0000-0500-0000794F0000}"/>
            </a:ext>
          </a:extLst>
        </xdr:cNvPr>
        <xdr:cNvSpPr>
          <a:spLocks noChangeShapeType="1"/>
        </xdr:cNvSpPr>
      </xdr:nvSpPr>
      <xdr:spPr bwMode="auto">
        <a:xfrm>
          <a:off x="4524375" y="131254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666750</xdr:colOff>
      <xdr:row>88</xdr:row>
      <xdr:rowOff>76200</xdr:rowOff>
    </xdr:from>
    <xdr:to>
      <xdr:col>7</xdr:col>
      <xdr:colOff>666750</xdr:colOff>
      <xdr:row>91</xdr:row>
      <xdr:rowOff>9525</xdr:rowOff>
    </xdr:to>
    <xdr:sp macro="" textlink="">
      <xdr:nvSpPr>
        <xdr:cNvPr id="20346" name="Line 104">
          <a:extLst>
            <a:ext uri="{FF2B5EF4-FFF2-40B4-BE49-F238E27FC236}">
              <a16:creationId xmlns:a16="http://schemas.microsoft.com/office/drawing/2014/main" id="{00000000-0008-0000-0500-00007A4F0000}"/>
            </a:ext>
          </a:extLst>
        </xdr:cNvPr>
        <xdr:cNvSpPr>
          <a:spLocks noChangeShapeType="1"/>
        </xdr:cNvSpPr>
      </xdr:nvSpPr>
      <xdr:spPr bwMode="auto">
        <a:xfrm>
          <a:off x="4524375" y="13801725"/>
          <a:ext cx="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91</xdr:row>
      <xdr:rowOff>95250</xdr:rowOff>
    </xdr:from>
    <xdr:to>
      <xdr:col>8</xdr:col>
      <xdr:colOff>9525</xdr:colOff>
      <xdr:row>93</xdr:row>
      <xdr:rowOff>38100</xdr:rowOff>
    </xdr:to>
    <xdr:sp macro="" textlink="">
      <xdr:nvSpPr>
        <xdr:cNvPr id="20347" name="Line 105">
          <a:extLst>
            <a:ext uri="{FF2B5EF4-FFF2-40B4-BE49-F238E27FC236}">
              <a16:creationId xmlns:a16="http://schemas.microsoft.com/office/drawing/2014/main" id="{00000000-0008-0000-0500-00007B4F0000}"/>
            </a:ext>
          </a:extLst>
        </xdr:cNvPr>
        <xdr:cNvSpPr>
          <a:spLocks noChangeShapeType="1"/>
        </xdr:cNvSpPr>
      </xdr:nvSpPr>
      <xdr:spPr bwMode="auto">
        <a:xfrm>
          <a:off x="4533900" y="14306550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93</xdr:row>
      <xdr:rowOff>114300</xdr:rowOff>
    </xdr:from>
    <xdr:to>
      <xdr:col>8</xdr:col>
      <xdr:colOff>9525</xdr:colOff>
      <xdr:row>95</xdr:row>
      <xdr:rowOff>38100</xdr:rowOff>
    </xdr:to>
    <xdr:sp macro="" textlink="">
      <xdr:nvSpPr>
        <xdr:cNvPr id="20348" name="Line 106">
          <a:extLst>
            <a:ext uri="{FF2B5EF4-FFF2-40B4-BE49-F238E27FC236}">
              <a16:creationId xmlns:a16="http://schemas.microsoft.com/office/drawing/2014/main" id="{00000000-0008-0000-0500-00007C4F0000}"/>
            </a:ext>
          </a:extLst>
        </xdr:cNvPr>
        <xdr:cNvSpPr>
          <a:spLocks noChangeShapeType="1"/>
        </xdr:cNvSpPr>
      </xdr:nvSpPr>
      <xdr:spPr bwMode="auto">
        <a:xfrm>
          <a:off x="4533900" y="14649450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95</xdr:row>
      <xdr:rowOff>114300</xdr:rowOff>
    </xdr:from>
    <xdr:to>
      <xdr:col>8</xdr:col>
      <xdr:colOff>9525</xdr:colOff>
      <xdr:row>97</xdr:row>
      <xdr:rowOff>95250</xdr:rowOff>
    </xdr:to>
    <xdr:sp macro="" textlink="">
      <xdr:nvSpPr>
        <xdr:cNvPr id="20349" name="Line 107">
          <a:extLst>
            <a:ext uri="{FF2B5EF4-FFF2-40B4-BE49-F238E27FC236}">
              <a16:creationId xmlns:a16="http://schemas.microsoft.com/office/drawing/2014/main" id="{00000000-0008-0000-0500-00007D4F0000}"/>
            </a:ext>
          </a:extLst>
        </xdr:cNvPr>
        <xdr:cNvSpPr>
          <a:spLocks noChangeShapeType="1"/>
        </xdr:cNvSpPr>
      </xdr:nvSpPr>
      <xdr:spPr bwMode="auto">
        <a:xfrm>
          <a:off x="4533900" y="14973300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98</xdr:row>
      <xdr:rowOff>9525</xdr:rowOff>
    </xdr:from>
    <xdr:to>
      <xdr:col>8</xdr:col>
      <xdr:colOff>19050</xdr:colOff>
      <xdr:row>100</xdr:row>
      <xdr:rowOff>76200</xdr:rowOff>
    </xdr:to>
    <xdr:sp macro="" textlink="">
      <xdr:nvSpPr>
        <xdr:cNvPr id="20350" name="Line 108">
          <a:extLst>
            <a:ext uri="{FF2B5EF4-FFF2-40B4-BE49-F238E27FC236}">
              <a16:creationId xmlns:a16="http://schemas.microsoft.com/office/drawing/2014/main" id="{00000000-0008-0000-0500-00007E4F0000}"/>
            </a:ext>
          </a:extLst>
        </xdr:cNvPr>
        <xdr:cNvSpPr>
          <a:spLocks noChangeShapeType="1"/>
        </xdr:cNvSpPr>
      </xdr:nvSpPr>
      <xdr:spPr bwMode="auto">
        <a:xfrm flipH="1">
          <a:off x="4533900" y="15354300"/>
          <a:ext cx="9525" cy="390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704850</xdr:colOff>
      <xdr:row>70</xdr:row>
      <xdr:rowOff>133350</xdr:rowOff>
    </xdr:from>
    <xdr:to>
      <xdr:col>10</xdr:col>
      <xdr:colOff>0</xdr:colOff>
      <xdr:row>71</xdr:row>
      <xdr:rowOff>114300</xdr:rowOff>
    </xdr:to>
    <xdr:sp macro="" textlink="">
      <xdr:nvSpPr>
        <xdr:cNvPr id="20351" name="Line 109">
          <a:extLst>
            <a:ext uri="{FF2B5EF4-FFF2-40B4-BE49-F238E27FC236}">
              <a16:creationId xmlns:a16="http://schemas.microsoft.com/office/drawing/2014/main" id="{00000000-0008-0000-0500-00007F4F0000}"/>
            </a:ext>
          </a:extLst>
        </xdr:cNvPr>
        <xdr:cNvSpPr>
          <a:spLocks noChangeShapeType="1"/>
        </xdr:cNvSpPr>
      </xdr:nvSpPr>
      <xdr:spPr bwMode="auto">
        <a:xfrm flipH="1">
          <a:off x="5734050" y="10944225"/>
          <a:ext cx="0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86</xdr:row>
      <xdr:rowOff>19050</xdr:rowOff>
    </xdr:from>
    <xdr:to>
      <xdr:col>10</xdr:col>
      <xdr:colOff>0</xdr:colOff>
      <xdr:row>88</xdr:row>
      <xdr:rowOff>114300</xdr:rowOff>
    </xdr:to>
    <xdr:sp macro="" textlink="">
      <xdr:nvSpPr>
        <xdr:cNvPr id="20352" name="Line 110">
          <a:extLst>
            <a:ext uri="{FF2B5EF4-FFF2-40B4-BE49-F238E27FC236}">
              <a16:creationId xmlns:a16="http://schemas.microsoft.com/office/drawing/2014/main" id="{00000000-0008-0000-0500-0000804F0000}"/>
            </a:ext>
          </a:extLst>
        </xdr:cNvPr>
        <xdr:cNvSpPr>
          <a:spLocks noChangeShapeType="1"/>
        </xdr:cNvSpPr>
      </xdr:nvSpPr>
      <xdr:spPr bwMode="auto">
        <a:xfrm>
          <a:off x="5734050" y="13420725"/>
          <a:ext cx="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89</xdr:row>
      <xdr:rowOff>28575</xdr:rowOff>
    </xdr:from>
    <xdr:to>
      <xdr:col>10</xdr:col>
      <xdr:colOff>0</xdr:colOff>
      <xdr:row>89</xdr:row>
      <xdr:rowOff>152400</xdr:rowOff>
    </xdr:to>
    <xdr:sp macro="" textlink="">
      <xdr:nvSpPr>
        <xdr:cNvPr id="20353" name="Line 112">
          <a:extLst>
            <a:ext uri="{FF2B5EF4-FFF2-40B4-BE49-F238E27FC236}">
              <a16:creationId xmlns:a16="http://schemas.microsoft.com/office/drawing/2014/main" id="{00000000-0008-0000-0500-0000814F0000}"/>
            </a:ext>
          </a:extLst>
        </xdr:cNvPr>
        <xdr:cNvSpPr>
          <a:spLocks noChangeShapeType="1"/>
        </xdr:cNvSpPr>
      </xdr:nvSpPr>
      <xdr:spPr bwMode="auto">
        <a:xfrm>
          <a:off x="5734050" y="13916025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99</xdr:row>
      <xdr:rowOff>76200</xdr:rowOff>
    </xdr:from>
    <xdr:to>
      <xdr:col>10</xdr:col>
      <xdr:colOff>0</xdr:colOff>
      <xdr:row>100</xdr:row>
      <xdr:rowOff>152400</xdr:rowOff>
    </xdr:to>
    <xdr:sp macro="" textlink="">
      <xdr:nvSpPr>
        <xdr:cNvPr id="20354" name="Line 113">
          <a:extLst>
            <a:ext uri="{FF2B5EF4-FFF2-40B4-BE49-F238E27FC236}">
              <a16:creationId xmlns:a16="http://schemas.microsoft.com/office/drawing/2014/main" id="{00000000-0008-0000-0500-0000824F0000}"/>
            </a:ext>
          </a:extLst>
        </xdr:cNvPr>
        <xdr:cNvSpPr>
          <a:spLocks noChangeShapeType="1"/>
        </xdr:cNvSpPr>
      </xdr:nvSpPr>
      <xdr:spPr bwMode="auto">
        <a:xfrm>
          <a:off x="5734050" y="155829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333374</xdr:colOff>
      <xdr:row>101</xdr:row>
      <xdr:rowOff>9525</xdr:rowOff>
    </xdr:from>
    <xdr:to>
      <xdr:col>2</xdr:col>
      <xdr:colOff>342899</xdr:colOff>
      <xdr:row>104</xdr:row>
      <xdr:rowOff>9525</xdr:rowOff>
    </xdr:to>
    <xdr:sp macro="" textlink="">
      <xdr:nvSpPr>
        <xdr:cNvPr id="20355" name="Line 114">
          <a:extLst>
            <a:ext uri="{FF2B5EF4-FFF2-40B4-BE49-F238E27FC236}">
              <a16:creationId xmlns:a16="http://schemas.microsoft.com/office/drawing/2014/main" id="{00000000-0008-0000-0500-0000834F0000}"/>
            </a:ext>
          </a:extLst>
        </xdr:cNvPr>
        <xdr:cNvSpPr>
          <a:spLocks noChangeShapeType="1"/>
        </xdr:cNvSpPr>
      </xdr:nvSpPr>
      <xdr:spPr bwMode="auto">
        <a:xfrm>
          <a:off x="1095374" y="16259175"/>
          <a:ext cx="9525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9524</xdr:colOff>
      <xdr:row>101</xdr:row>
      <xdr:rowOff>28576</xdr:rowOff>
    </xdr:from>
    <xdr:to>
      <xdr:col>6</xdr:col>
      <xdr:colOff>19049</xdr:colOff>
      <xdr:row>104</xdr:row>
      <xdr:rowOff>19051</xdr:rowOff>
    </xdr:to>
    <xdr:sp macro="" textlink="">
      <xdr:nvSpPr>
        <xdr:cNvPr id="20356" name="Line 115">
          <a:extLst>
            <a:ext uri="{FF2B5EF4-FFF2-40B4-BE49-F238E27FC236}">
              <a16:creationId xmlns:a16="http://schemas.microsoft.com/office/drawing/2014/main" id="{00000000-0008-0000-0500-0000844F0000}"/>
            </a:ext>
          </a:extLst>
        </xdr:cNvPr>
        <xdr:cNvSpPr>
          <a:spLocks noChangeShapeType="1"/>
        </xdr:cNvSpPr>
      </xdr:nvSpPr>
      <xdr:spPr bwMode="auto">
        <a:xfrm>
          <a:off x="3314699" y="18078451"/>
          <a:ext cx="9525" cy="476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101</xdr:row>
      <xdr:rowOff>9525</xdr:rowOff>
    </xdr:from>
    <xdr:to>
      <xdr:col>8</xdr:col>
      <xdr:colOff>19050</xdr:colOff>
      <xdr:row>104</xdr:row>
      <xdr:rowOff>28575</xdr:rowOff>
    </xdr:to>
    <xdr:sp macro="" textlink="">
      <xdr:nvSpPr>
        <xdr:cNvPr id="20357" name="Line 116">
          <a:extLst>
            <a:ext uri="{FF2B5EF4-FFF2-40B4-BE49-F238E27FC236}">
              <a16:creationId xmlns:a16="http://schemas.microsoft.com/office/drawing/2014/main" id="{00000000-0008-0000-0500-0000854F0000}"/>
            </a:ext>
          </a:extLst>
        </xdr:cNvPr>
        <xdr:cNvSpPr>
          <a:spLocks noChangeShapeType="1"/>
        </xdr:cNvSpPr>
      </xdr:nvSpPr>
      <xdr:spPr bwMode="auto">
        <a:xfrm>
          <a:off x="4524375" y="16259175"/>
          <a:ext cx="19050" cy="504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101</xdr:row>
      <xdr:rowOff>47625</xdr:rowOff>
    </xdr:from>
    <xdr:to>
      <xdr:col>10</xdr:col>
      <xdr:colOff>9525</xdr:colOff>
      <xdr:row>103</xdr:row>
      <xdr:rowOff>152400</xdr:rowOff>
    </xdr:to>
    <xdr:sp macro="" textlink="">
      <xdr:nvSpPr>
        <xdr:cNvPr id="20358" name="Line 117">
          <a:extLst>
            <a:ext uri="{FF2B5EF4-FFF2-40B4-BE49-F238E27FC236}">
              <a16:creationId xmlns:a16="http://schemas.microsoft.com/office/drawing/2014/main" id="{00000000-0008-0000-0500-0000864F0000}"/>
            </a:ext>
          </a:extLst>
        </xdr:cNvPr>
        <xdr:cNvSpPr>
          <a:spLocks noChangeShapeType="1"/>
        </xdr:cNvSpPr>
      </xdr:nvSpPr>
      <xdr:spPr bwMode="auto">
        <a:xfrm>
          <a:off x="5743575" y="16297275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76200</xdr:colOff>
      <xdr:row>101</xdr:row>
      <xdr:rowOff>152400</xdr:rowOff>
    </xdr:from>
    <xdr:to>
      <xdr:col>10</xdr:col>
      <xdr:colOff>85725</xdr:colOff>
      <xdr:row>102</xdr:row>
      <xdr:rowOff>0</xdr:rowOff>
    </xdr:to>
    <xdr:sp macro="" textlink="">
      <xdr:nvSpPr>
        <xdr:cNvPr id="20359" name="Line 118">
          <a:extLst>
            <a:ext uri="{FF2B5EF4-FFF2-40B4-BE49-F238E27FC236}">
              <a16:creationId xmlns:a16="http://schemas.microsoft.com/office/drawing/2014/main" id="{00000000-0008-0000-0500-0000874F0000}"/>
            </a:ext>
          </a:extLst>
        </xdr:cNvPr>
        <xdr:cNvSpPr>
          <a:spLocks noChangeShapeType="1"/>
        </xdr:cNvSpPr>
      </xdr:nvSpPr>
      <xdr:spPr bwMode="auto">
        <a:xfrm>
          <a:off x="838200" y="15982950"/>
          <a:ext cx="49815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276225</xdr:colOff>
      <xdr:row>101</xdr:row>
      <xdr:rowOff>95250</xdr:rowOff>
    </xdr:from>
    <xdr:to>
      <xdr:col>2</xdr:col>
      <xdr:colOff>390525</xdr:colOff>
      <xdr:row>102</xdr:row>
      <xdr:rowOff>38100</xdr:rowOff>
    </xdr:to>
    <xdr:sp macro="" textlink="">
      <xdr:nvSpPr>
        <xdr:cNvPr id="20360" name="Line 119">
          <a:extLst>
            <a:ext uri="{FF2B5EF4-FFF2-40B4-BE49-F238E27FC236}">
              <a16:creationId xmlns:a16="http://schemas.microsoft.com/office/drawing/2014/main" id="{00000000-0008-0000-0500-0000884F0000}"/>
            </a:ext>
          </a:extLst>
        </xdr:cNvPr>
        <xdr:cNvSpPr>
          <a:spLocks noChangeShapeType="1"/>
        </xdr:cNvSpPr>
      </xdr:nvSpPr>
      <xdr:spPr bwMode="auto">
        <a:xfrm flipH="1">
          <a:off x="1038225" y="15925800"/>
          <a:ext cx="11430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523875</xdr:colOff>
      <xdr:row>101</xdr:row>
      <xdr:rowOff>104775</xdr:rowOff>
    </xdr:from>
    <xdr:to>
      <xdr:col>6</xdr:col>
      <xdr:colOff>47625</xdr:colOff>
      <xdr:row>102</xdr:row>
      <xdr:rowOff>57150</xdr:rowOff>
    </xdr:to>
    <xdr:sp macro="" textlink="">
      <xdr:nvSpPr>
        <xdr:cNvPr id="20362" name="Line 121">
          <a:extLst>
            <a:ext uri="{FF2B5EF4-FFF2-40B4-BE49-F238E27FC236}">
              <a16:creationId xmlns:a16="http://schemas.microsoft.com/office/drawing/2014/main" id="{00000000-0008-0000-0500-00008A4F0000}"/>
            </a:ext>
          </a:extLst>
        </xdr:cNvPr>
        <xdr:cNvSpPr>
          <a:spLocks noChangeShapeType="1"/>
        </xdr:cNvSpPr>
      </xdr:nvSpPr>
      <xdr:spPr bwMode="auto">
        <a:xfrm flipH="1">
          <a:off x="3209925" y="18154650"/>
          <a:ext cx="142875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571500</xdr:colOff>
      <xdr:row>101</xdr:row>
      <xdr:rowOff>114300</xdr:rowOff>
    </xdr:from>
    <xdr:to>
      <xdr:col>8</xdr:col>
      <xdr:colOff>76200</xdr:colOff>
      <xdr:row>102</xdr:row>
      <xdr:rowOff>85725</xdr:rowOff>
    </xdr:to>
    <xdr:sp macro="" textlink="">
      <xdr:nvSpPr>
        <xdr:cNvPr id="20363" name="Line 122">
          <a:extLst>
            <a:ext uri="{FF2B5EF4-FFF2-40B4-BE49-F238E27FC236}">
              <a16:creationId xmlns:a16="http://schemas.microsoft.com/office/drawing/2014/main" id="{00000000-0008-0000-0500-00008B4F0000}"/>
            </a:ext>
          </a:extLst>
        </xdr:cNvPr>
        <xdr:cNvSpPr>
          <a:spLocks noChangeShapeType="1"/>
        </xdr:cNvSpPr>
      </xdr:nvSpPr>
      <xdr:spPr bwMode="auto">
        <a:xfrm flipH="1">
          <a:off x="4457700" y="15944850"/>
          <a:ext cx="142875" cy="133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514350</xdr:colOff>
      <xdr:row>101</xdr:row>
      <xdr:rowOff>123825</xdr:rowOff>
    </xdr:from>
    <xdr:to>
      <xdr:col>10</xdr:col>
      <xdr:colOff>38100</xdr:colOff>
      <xdr:row>102</xdr:row>
      <xdr:rowOff>57150</xdr:rowOff>
    </xdr:to>
    <xdr:sp macro="" textlink="">
      <xdr:nvSpPr>
        <xdr:cNvPr id="20364" name="Line 123">
          <a:extLst>
            <a:ext uri="{FF2B5EF4-FFF2-40B4-BE49-F238E27FC236}">
              <a16:creationId xmlns:a16="http://schemas.microsoft.com/office/drawing/2014/main" id="{00000000-0008-0000-0500-00008C4F0000}"/>
            </a:ext>
          </a:extLst>
        </xdr:cNvPr>
        <xdr:cNvSpPr>
          <a:spLocks noChangeShapeType="1"/>
        </xdr:cNvSpPr>
      </xdr:nvSpPr>
      <xdr:spPr bwMode="auto">
        <a:xfrm flipH="1">
          <a:off x="5715000" y="18173700"/>
          <a:ext cx="10477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276225</xdr:colOff>
      <xdr:row>82</xdr:row>
      <xdr:rowOff>123825</xdr:rowOff>
    </xdr:from>
    <xdr:to>
      <xdr:col>2</xdr:col>
      <xdr:colOff>209550</xdr:colOff>
      <xdr:row>82</xdr:row>
      <xdr:rowOff>123825</xdr:rowOff>
    </xdr:to>
    <xdr:sp macro="" textlink="">
      <xdr:nvSpPr>
        <xdr:cNvPr id="20367" name="Line 126">
          <a:extLst>
            <a:ext uri="{FF2B5EF4-FFF2-40B4-BE49-F238E27FC236}">
              <a16:creationId xmlns:a16="http://schemas.microsoft.com/office/drawing/2014/main" id="{00000000-0008-0000-0500-00008F4F0000}"/>
            </a:ext>
          </a:extLst>
        </xdr:cNvPr>
        <xdr:cNvSpPr>
          <a:spLocks noChangeShapeType="1"/>
        </xdr:cNvSpPr>
      </xdr:nvSpPr>
      <xdr:spPr bwMode="auto">
        <a:xfrm>
          <a:off x="457200" y="128778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390525</xdr:colOff>
      <xdr:row>74</xdr:row>
      <xdr:rowOff>142875</xdr:rowOff>
    </xdr:from>
    <xdr:to>
      <xdr:col>2</xdr:col>
      <xdr:colOff>247650</xdr:colOff>
      <xdr:row>74</xdr:row>
      <xdr:rowOff>142875</xdr:rowOff>
    </xdr:to>
    <xdr:sp macro="" textlink="">
      <xdr:nvSpPr>
        <xdr:cNvPr id="20368" name="Line 127">
          <a:extLst>
            <a:ext uri="{FF2B5EF4-FFF2-40B4-BE49-F238E27FC236}">
              <a16:creationId xmlns:a16="http://schemas.microsoft.com/office/drawing/2014/main" id="{00000000-0008-0000-0500-0000904F0000}"/>
            </a:ext>
          </a:extLst>
        </xdr:cNvPr>
        <xdr:cNvSpPr>
          <a:spLocks noChangeShapeType="1"/>
        </xdr:cNvSpPr>
      </xdr:nvSpPr>
      <xdr:spPr bwMode="auto">
        <a:xfrm>
          <a:off x="571500" y="11601450"/>
          <a:ext cx="438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75</xdr:row>
      <xdr:rowOff>0</xdr:rowOff>
    </xdr:from>
    <xdr:to>
      <xdr:col>2</xdr:col>
      <xdr:colOff>0</xdr:colOff>
      <xdr:row>77</xdr:row>
      <xdr:rowOff>114300</xdr:rowOff>
    </xdr:to>
    <xdr:sp macro="" textlink="">
      <xdr:nvSpPr>
        <xdr:cNvPr id="20369" name="Line 128">
          <a:extLst>
            <a:ext uri="{FF2B5EF4-FFF2-40B4-BE49-F238E27FC236}">
              <a16:creationId xmlns:a16="http://schemas.microsoft.com/office/drawing/2014/main" id="{00000000-0008-0000-0500-0000914F0000}"/>
            </a:ext>
          </a:extLst>
        </xdr:cNvPr>
        <xdr:cNvSpPr>
          <a:spLocks noChangeShapeType="1"/>
        </xdr:cNvSpPr>
      </xdr:nvSpPr>
      <xdr:spPr bwMode="auto">
        <a:xfrm flipV="1">
          <a:off x="762000" y="11620500"/>
          <a:ext cx="0" cy="438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628649</xdr:colOff>
      <xdr:row>79</xdr:row>
      <xdr:rowOff>38101</xdr:rowOff>
    </xdr:from>
    <xdr:to>
      <xdr:col>2</xdr:col>
      <xdr:colOff>9524</xdr:colOff>
      <xdr:row>82</xdr:row>
      <xdr:rowOff>95250</xdr:rowOff>
    </xdr:to>
    <xdr:sp macro="" textlink="">
      <xdr:nvSpPr>
        <xdr:cNvPr id="20370" name="Line 129">
          <a:extLst>
            <a:ext uri="{FF2B5EF4-FFF2-40B4-BE49-F238E27FC236}">
              <a16:creationId xmlns:a16="http://schemas.microsoft.com/office/drawing/2014/main" id="{00000000-0008-0000-0500-0000924F0000}"/>
            </a:ext>
          </a:extLst>
        </xdr:cNvPr>
        <xdr:cNvSpPr>
          <a:spLocks noChangeShapeType="1"/>
        </xdr:cNvSpPr>
      </xdr:nvSpPr>
      <xdr:spPr bwMode="auto">
        <a:xfrm>
          <a:off x="809624" y="13144501"/>
          <a:ext cx="9525" cy="54292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104775</xdr:colOff>
      <xdr:row>72</xdr:row>
      <xdr:rowOff>19050</xdr:rowOff>
    </xdr:from>
    <xdr:to>
      <xdr:col>10</xdr:col>
      <xdr:colOff>552450</xdr:colOff>
      <xdr:row>72</xdr:row>
      <xdr:rowOff>28575</xdr:rowOff>
    </xdr:to>
    <xdr:sp macro="" textlink="">
      <xdr:nvSpPr>
        <xdr:cNvPr id="20371" name="Line 130">
          <a:extLst>
            <a:ext uri="{FF2B5EF4-FFF2-40B4-BE49-F238E27FC236}">
              <a16:creationId xmlns:a16="http://schemas.microsoft.com/office/drawing/2014/main" id="{00000000-0008-0000-0500-0000934F0000}"/>
            </a:ext>
          </a:extLst>
        </xdr:cNvPr>
        <xdr:cNvSpPr>
          <a:spLocks noChangeShapeType="1"/>
        </xdr:cNvSpPr>
      </xdr:nvSpPr>
      <xdr:spPr bwMode="auto">
        <a:xfrm>
          <a:off x="5838825" y="11153775"/>
          <a:ext cx="4476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85725</xdr:colOff>
      <xdr:row>85</xdr:row>
      <xdr:rowOff>76200</xdr:rowOff>
    </xdr:from>
    <xdr:to>
      <xdr:col>10</xdr:col>
      <xdr:colOff>514350</xdr:colOff>
      <xdr:row>85</xdr:row>
      <xdr:rowOff>76200</xdr:rowOff>
    </xdr:to>
    <xdr:sp macro="" textlink="">
      <xdr:nvSpPr>
        <xdr:cNvPr id="20372" name="Line 131">
          <a:extLst>
            <a:ext uri="{FF2B5EF4-FFF2-40B4-BE49-F238E27FC236}">
              <a16:creationId xmlns:a16="http://schemas.microsoft.com/office/drawing/2014/main" id="{00000000-0008-0000-0500-0000944F0000}"/>
            </a:ext>
          </a:extLst>
        </xdr:cNvPr>
        <xdr:cNvSpPr>
          <a:spLocks noChangeShapeType="1"/>
        </xdr:cNvSpPr>
      </xdr:nvSpPr>
      <xdr:spPr bwMode="auto">
        <a:xfrm>
          <a:off x="5819775" y="13315950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361950</xdr:colOff>
      <xdr:row>72</xdr:row>
      <xdr:rowOff>0</xdr:rowOff>
    </xdr:from>
    <xdr:to>
      <xdr:col>10</xdr:col>
      <xdr:colOff>371475</xdr:colOff>
      <xdr:row>77</xdr:row>
      <xdr:rowOff>104775</xdr:rowOff>
    </xdr:to>
    <xdr:sp macro="" textlink="">
      <xdr:nvSpPr>
        <xdr:cNvPr id="20373" name="Line 132">
          <a:extLst>
            <a:ext uri="{FF2B5EF4-FFF2-40B4-BE49-F238E27FC236}">
              <a16:creationId xmlns:a16="http://schemas.microsoft.com/office/drawing/2014/main" id="{00000000-0008-0000-0500-0000954F0000}"/>
            </a:ext>
          </a:extLst>
        </xdr:cNvPr>
        <xdr:cNvSpPr>
          <a:spLocks noChangeShapeType="1"/>
        </xdr:cNvSpPr>
      </xdr:nvSpPr>
      <xdr:spPr bwMode="auto">
        <a:xfrm flipH="1" flipV="1">
          <a:off x="6096000" y="11134725"/>
          <a:ext cx="9525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361950</xdr:colOff>
      <xdr:row>79</xdr:row>
      <xdr:rowOff>76200</xdr:rowOff>
    </xdr:from>
    <xdr:to>
      <xdr:col>10</xdr:col>
      <xdr:colOff>361950</xdr:colOff>
      <xdr:row>85</xdr:row>
      <xdr:rowOff>47625</xdr:rowOff>
    </xdr:to>
    <xdr:sp macro="" textlink="">
      <xdr:nvSpPr>
        <xdr:cNvPr id="20374" name="Line 133">
          <a:extLst>
            <a:ext uri="{FF2B5EF4-FFF2-40B4-BE49-F238E27FC236}">
              <a16:creationId xmlns:a16="http://schemas.microsoft.com/office/drawing/2014/main" id="{00000000-0008-0000-0500-0000964F0000}"/>
            </a:ext>
          </a:extLst>
        </xdr:cNvPr>
        <xdr:cNvSpPr>
          <a:spLocks noChangeShapeType="1"/>
        </xdr:cNvSpPr>
      </xdr:nvSpPr>
      <xdr:spPr bwMode="auto">
        <a:xfrm>
          <a:off x="6096000" y="12344400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171450</xdr:colOff>
      <xdr:row>97</xdr:row>
      <xdr:rowOff>114300</xdr:rowOff>
    </xdr:from>
    <xdr:to>
      <xdr:col>2</xdr:col>
      <xdr:colOff>180975</xdr:colOff>
      <xdr:row>104</xdr:row>
      <xdr:rowOff>0</xdr:rowOff>
    </xdr:to>
    <xdr:cxnSp macro="">
      <xdr:nvCxnSpPr>
        <xdr:cNvPr id="134" name="Straight Arrow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/>
      </xdr:nvCxnSpPr>
      <xdr:spPr bwMode="auto">
        <a:xfrm>
          <a:off x="981075" y="17354550"/>
          <a:ext cx="9525" cy="101917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arrow"/>
          <a:tailEnd type="arrow"/>
        </a:ln>
        <a:effectLst/>
      </xdr:spPr>
    </xdr:cxnSp>
    <xdr:clientData/>
  </xdr:twoCellAnchor>
  <xdr:twoCellAnchor>
    <xdr:from>
      <xdr:col>2</xdr:col>
      <xdr:colOff>95250</xdr:colOff>
      <xdr:row>101</xdr:row>
      <xdr:rowOff>95250</xdr:rowOff>
    </xdr:from>
    <xdr:to>
      <xdr:col>2</xdr:col>
      <xdr:colOff>247650</xdr:colOff>
      <xdr:row>102</xdr:row>
      <xdr:rowOff>66675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 bwMode="auto">
        <a:xfrm flipH="1">
          <a:off x="904875" y="17983200"/>
          <a:ext cx="152400" cy="1333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600075</xdr:colOff>
      <xdr:row>101</xdr:row>
      <xdr:rowOff>95250</xdr:rowOff>
    </xdr:from>
    <xdr:to>
      <xdr:col>4</xdr:col>
      <xdr:colOff>57150</xdr:colOff>
      <xdr:row>102</xdr:row>
      <xdr:rowOff>47625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CxnSpPr/>
      </xdr:nvCxnSpPr>
      <xdr:spPr bwMode="auto">
        <a:xfrm flipV="1">
          <a:off x="2057400" y="18145125"/>
          <a:ext cx="95250" cy="11430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</xdr:col>
      <xdr:colOff>600075</xdr:colOff>
      <xdr:row>89</xdr:row>
      <xdr:rowOff>142875</xdr:rowOff>
    </xdr:from>
    <xdr:to>
      <xdr:col>10</xdr:col>
      <xdr:colOff>38100</xdr:colOff>
      <xdr:row>90</xdr:row>
      <xdr:rowOff>0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CxnSpPr/>
      </xdr:nvCxnSpPr>
      <xdr:spPr bwMode="auto">
        <a:xfrm>
          <a:off x="3286125" y="16249650"/>
          <a:ext cx="2533650" cy="19050"/>
        </a:xfrm>
        <a:prstGeom prst="line">
          <a:avLst/>
        </a:prstGeom>
        <a:ln w="19050"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86</xdr:row>
      <xdr:rowOff>95250</xdr:rowOff>
    </xdr:from>
    <xdr:to>
      <xdr:col>2</xdr:col>
      <xdr:colOff>333375</xdr:colOff>
      <xdr:row>86</xdr:row>
      <xdr:rowOff>142875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CxnSpPr>
          <a:stCxn id="20292" idx="0"/>
          <a:endCxn id="20327" idx="1"/>
        </xdr:cNvCxnSpPr>
      </xdr:nvCxnSpPr>
      <xdr:spPr bwMode="auto">
        <a:xfrm flipH="1" flipV="1">
          <a:off x="1000125" y="15201900"/>
          <a:ext cx="142875" cy="476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333375</xdr:colOff>
      <xdr:row>86</xdr:row>
      <xdr:rowOff>142875</xdr:rowOff>
    </xdr:from>
    <xdr:to>
      <xdr:col>6</xdr:col>
      <xdr:colOff>38100</xdr:colOff>
      <xdr:row>89</xdr:row>
      <xdr:rowOff>142875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>
          <a:stCxn id="20292" idx="0"/>
        </xdr:cNvCxnSpPr>
      </xdr:nvCxnSpPr>
      <xdr:spPr bwMode="auto">
        <a:xfrm>
          <a:off x="1143000" y="15278100"/>
          <a:ext cx="2200275" cy="485775"/>
        </a:xfrm>
        <a:prstGeom prst="line">
          <a:avLst/>
        </a:prstGeom>
        <a:ln w="19050"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102</xdr:row>
      <xdr:rowOff>142875</xdr:rowOff>
    </xdr:from>
    <xdr:to>
      <xdr:col>2</xdr:col>
      <xdr:colOff>333375</xdr:colOff>
      <xdr:row>115</xdr:row>
      <xdr:rowOff>114300</xdr:rowOff>
    </xdr:to>
    <xdr:sp macro="" textlink="">
      <xdr:nvSpPr>
        <xdr:cNvPr id="22125" name="Line 1">
          <a:extLst>
            <a:ext uri="{FF2B5EF4-FFF2-40B4-BE49-F238E27FC236}">
              <a16:creationId xmlns:a16="http://schemas.microsoft.com/office/drawing/2014/main" id="{00000000-0008-0000-0600-00006D560000}"/>
            </a:ext>
          </a:extLst>
        </xdr:cNvPr>
        <xdr:cNvSpPr>
          <a:spLocks noChangeShapeType="1"/>
        </xdr:cNvSpPr>
      </xdr:nvSpPr>
      <xdr:spPr bwMode="auto">
        <a:xfrm flipH="1">
          <a:off x="752475" y="16459200"/>
          <a:ext cx="342900" cy="20764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333375</xdr:colOff>
      <xdr:row>103</xdr:row>
      <xdr:rowOff>0</xdr:rowOff>
    </xdr:from>
    <xdr:to>
      <xdr:col>3</xdr:col>
      <xdr:colOff>19050</xdr:colOff>
      <xdr:row>103</xdr:row>
      <xdr:rowOff>19050</xdr:rowOff>
    </xdr:to>
    <xdr:sp macro="" textlink="">
      <xdr:nvSpPr>
        <xdr:cNvPr id="22126" name="Line 2">
          <a:extLst>
            <a:ext uri="{FF2B5EF4-FFF2-40B4-BE49-F238E27FC236}">
              <a16:creationId xmlns:a16="http://schemas.microsoft.com/office/drawing/2014/main" id="{00000000-0008-0000-0600-00006E560000}"/>
            </a:ext>
          </a:extLst>
        </xdr:cNvPr>
        <xdr:cNvSpPr>
          <a:spLocks noChangeShapeType="1"/>
        </xdr:cNvSpPr>
      </xdr:nvSpPr>
      <xdr:spPr bwMode="auto">
        <a:xfrm>
          <a:off x="1095375" y="16478250"/>
          <a:ext cx="333375" cy="190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</xdr:colOff>
      <xdr:row>103</xdr:row>
      <xdr:rowOff>9525</xdr:rowOff>
    </xdr:from>
    <xdr:to>
      <xdr:col>3</xdr:col>
      <xdr:colOff>9525</xdr:colOff>
      <xdr:row>115</xdr:row>
      <xdr:rowOff>95250</xdr:rowOff>
    </xdr:to>
    <xdr:sp macro="" textlink="">
      <xdr:nvSpPr>
        <xdr:cNvPr id="22127" name="Line 3">
          <a:extLst>
            <a:ext uri="{FF2B5EF4-FFF2-40B4-BE49-F238E27FC236}">
              <a16:creationId xmlns:a16="http://schemas.microsoft.com/office/drawing/2014/main" id="{00000000-0008-0000-0600-00006F560000}"/>
            </a:ext>
          </a:extLst>
        </xdr:cNvPr>
        <xdr:cNvSpPr>
          <a:spLocks noChangeShapeType="1"/>
        </xdr:cNvSpPr>
      </xdr:nvSpPr>
      <xdr:spPr bwMode="auto">
        <a:xfrm>
          <a:off x="1419225" y="16487775"/>
          <a:ext cx="0" cy="20288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115</xdr:row>
      <xdr:rowOff>104775</xdr:rowOff>
    </xdr:from>
    <xdr:to>
      <xdr:col>9</xdr:col>
      <xdr:colOff>38100</xdr:colOff>
      <xdr:row>115</xdr:row>
      <xdr:rowOff>104775</xdr:rowOff>
    </xdr:to>
    <xdr:sp macro="" textlink="">
      <xdr:nvSpPr>
        <xdr:cNvPr id="22128" name="Line 4">
          <a:extLst>
            <a:ext uri="{FF2B5EF4-FFF2-40B4-BE49-F238E27FC236}">
              <a16:creationId xmlns:a16="http://schemas.microsoft.com/office/drawing/2014/main" id="{00000000-0008-0000-0600-000070560000}"/>
            </a:ext>
          </a:extLst>
        </xdr:cNvPr>
        <xdr:cNvSpPr>
          <a:spLocks noChangeShapeType="1"/>
        </xdr:cNvSpPr>
      </xdr:nvSpPr>
      <xdr:spPr bwMode="auto">
        <a:xfrm>
          <a:off x="1428750" y="18526125"/>
          <a:ext cx="37623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19050</xdr:colOff>
      <xdr:row>102</xdr:row>
      <xdr:rowOff>152400</xdr:rowOff>
    </xdr:from>
    <xdr:to>
      <xdr:col>9</xdr:col>
      <xdr:colOff>19050</xdr:colOff>
      <xdr:row>115</xdr:row>
      <xdr:rowOff>114300</xdr:rowOff>
    </xdr:to>
    <xdr:sp macro="" textlink="">
      <xdr:nvSpPr>
        <xdr:cNvPr id="22129" name="Line 6">
          <a:extLst>
            <a:ext uri="{FF2B5EF4-FFF2-40B4-BE49-F238E27FC236}">
              <a16:creationId xmlns:a16="http://schemas.microsoft.com/office/drawing/2014/main" id="{00000000-0008-0000-0600-000071560000}"/>
            </a:ext>
          </a:extLst>
        </xdr:cNvPr>
        <xdr:cNvSpPr>
          <a:spLocks noChangeShapeType="1"/>
        </xdr:cNvSpPr>
      </xdr:nvSpPr>
      <xdr:spPr bwMode="auto">
        <a:xfrm flipV="1">
          <a:off x="5172075" y="16468725"/>
          <a:ext cx="0" cy="20669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9525</xdr:colOff>
      <xdr:row>102</xdr:row>
      <xdr:rowOff>142875</xdr:rowOff>
    </xdr:from>
    <xdr:to>
      <xdr:col>9</xdr:col>
      <xdr:colOff>390525</xdr:colOff>
      <xdr:row>103</xdr:row>
      <xdr:rowOff>0</xdr:rowOff>
    </xdr:to>
    <xdr:sp macro="" textlink="">
      <xdr:nvSpPr>
        <xdr:cNvPr id="22130" name="Line 7">
          <a:extLst>
            <a:ext uri="{FF2B5EF4-FFF2-40B4-BE49-F238E27FC236}">
              <a16:creationId xmlns:a16="http://schemas.microsoft.com/office/drawing/2014/main" id="{00000000-0008-0000-0600-000072560000}"/>
            </a:ext>
          </a:extLst>
        </xdr:cNvPr>
        <xdr:cNvSpPr>
          <a:spLocks noChangeShapeType="1"/>
        </xdr:cNvSpPr>
      </xdr:nvSpPr>
      <xdr:spPr bwMode="auto">
        <a:xfrm>
          <a:off x="5162550" y="16459200"/>
          <a:ext cx="381000" cy="190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361950</xdr:colOff>
      <xdr:row>103</xdr:row>
      <xdr:rowOff>9525</xdr:rowOff>
    </xdr:from>
    <xdr:to>
      <xdr:col>10</xdr:col>
      <xdr:colOff>9525</xdr:colOff>
      <xdr:row>115</xdr:row>
      <xdr:rowOff>95250</xdr:rowOff>
    </xdr:to>
    <xdr:sp macro="" textlink="">
      <xdr:nvSpPr>
        <xdr:cNvPr id="22131" name="Line 8">
          <a:extLst>
            <a:ext uri="{FF2B5EF4-FFF2-40B4-BE49-F238E27FC236}">
              <a16:creationId xmlns:a16="http://schemas.microsoft.com/office/drawing/2014/main" id="{00000000-0008-0000-0600-000073560000}"/>
            </a:ext>
          </a:extLst>
        </xdr:cNvPr>
        <xdr:cNvSpPr>
          <a:spLocks noChangeShapeType="1"/>
        </xdr:cNvSpPr>
      </xdr:nvSpPr>
      <xdr:spPr bwMode="auto">
        <a:xfrm>
          <a:off x="5514975" y="16487775"/>
          <a:ext cx="228600" cy="20288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561975</xdr:colOff>
      <xdr:row>119</xdr:row>
      <xdr:rowOff>47625</xdr:rowOff>
    </xdr:from>
    <xdr:to>
      <xdr:col>10</xdr:col>
      <xdr:colOff>28575</xdr:colOff>
      <xdr:row>119</xdr:row>
      <xdr:rowOff>57150</xdr:rowOff>
    </xdr:to>
    <xdr:sp macro="" textlink="">
      <xdr:nvSpPr>
        <xdr:cNvPr id="22132" name="Line 9">
          <a:extLst>
            <a:ext uri="{FF2B5EF4-FFF2-40B4-BE49-F238E27FC236}">
              <a16:creationId xmlns:a16="http://schemas.microsoft.com/office/drawing/2014/main" id="{00000000-0008-0000-0600-000074560000}"/>
            </a:ext>
          </a:extLst>
        </xdr:cNvPr>
        <xdr:cNvSpPr>
          <a:spLocks noChangeShapeType="1"/>
        </xdr:cNvSpPr>
      </xdr:nvSpPr>
      <xdr:spPr bwMode="auto">
        <a:xfrm flipH="1" flipV="1">
          <a:off x="742950" y="19116675"/>
          <a:ext cx="5019675" cy="95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314325</xdr:colOff>
      <xdr:row>101</xdr:row>
      <xdr:rowOff>114300</xdr:rowOff>
    </xdr:from>
    <xdr:to>
      <xdr:col>2</xdr:col>
      <xdr:colOff>390525</xdr:colOff>
      <xdr:row>101</xdr:row>
      <xdr:rowOff>133350</xdr:rowOff>
    </xdr:to>
    <xdr:sp macro="" textlink="">
      <xdr:nvSpPr>
        <xdr:cNvPr id="22133" name="Line 11">
          <a:extLst>
            <a:ext uri="{FF2B5EF4-FFF2-40B4-BE49-F238E27FC236}">
              <a16:creationId xmlns:a16="http://schemas.microsoft.com/office/drawing/2014/main" id="{00000000-0008-0000-0600-000075560000}"/>
            </a:ext>
          </a:extLst>
        </xdr:cNvPr>
        <xdr:cNvSpPr>
          <a:spLocks noChangeShapeType="1"/>
        </xdr:cNvSpPr>
      </xdr:nvSpPr>
      <xdr:spPr bwMode="auto">
        <a:xfrm flipH="1">
          <a:off x="1076325" y="16268700"/>
          <a:ext cx="762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419100</xdr:colOff>
      <xdr:row>101</xdr:row>
      <xdr:rowOff>133350</xdr:rowOff>
    </xdr:from>
    <xdr:to>
      <xdr:col>3</xdr:col>
      <xdr:colOff>0</xdr:colOff>
      <xdr:row>101</xdr:row>
      <xdr:rowOff>133350</xdr:rowOff>
    </xdr:to>
    <xdr:sp macro="" textlink="">
      <xdr:nvSpPr>
        <xdr:cNvPr id="22134" name="Line 12">
          <a:extLst>
            <a:ext uri="{FF2B5EF4-FFF2-40B4-BE49-F238E27FC236}">
              <a16:creationId xmlns:a16="http://schemas.microsoft.com/office/drawing/2014/main" id="{00000000-0008-0000-0600-000076560000}"/>
            </a:ext>
          </a:extLst>
        </xdr:cNvPr>
        <xdr:cNvSpPr>
          <a:spLocks noChangeShapeType="1"/>
        </xdr:cNvSpPr>
      </xdr:nvSpPr>
      <xdr:spPr bwMode="auto">
        <a:xfrm>
          <a:off x="1181100" y="16287750"/>
          <a:ext cx="228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676275</xdr:colOff>
      <xdr:row>101</xdr:row>
      <xdr:rowOff>123825</xdr:rowOff>
    </xdr:from>
    <xdr:to>
      <xdr:col>9</xdr:col>
      <xdr:colOff>295275</xdr:colOff>
      <xdr:row>101</xdr:row>
      <xdr:rowOff>123825</xdr:rowOff>
    </xdr:to>
    <xdr:sp macro="" textlink="">
      <xdr:nvSpPr>
        <xdr:cNvPr id="22135" name="Line 13">
          <a:extLst>
            <a:ext uri="{FF2B5EF4-FFF2-40B4-BE49-F238E27FC236}">
              <a16:creationId xmlns:a16="http://schemas.microsoft.com/office/drawing/2014/main" id="{00000000-0008-0000-0600-000077560000}"/>
            </a:ext>
          </a:extLst>
        </xdr:cNvPr>
        <xdr:cNvSpPr>
          <a:spLocks noChangeShapeType="1"/>
        </xdr:cNvSpPr>
      </xdr:nvSpPr>
      <xdr:spPr bwMode="auto">
        <a:xfrm flipH="1">
          <a:off x="5153025" y="16278225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266700</xdr:colOff>
      <xdr:row>101</xdr:row>
      <xdr:rowOff>123825</xdr:rowOff>
    </xdr:from>
    <xdr:to>
      <xdr:col>9</xdr:col>
      <xdr:colOff>438150</xdr:colOff>
      <xdr:row>101</xdr:row>
      <xdr:rowOff>133350</xdr:rowOff>
    </xdr:to>
    <xdr:sp macro="" textlink="">
      <xdr:nvSpPr>
        <xdr:cNvPr id="22136" name="Line 14">
          <a:extLst>
            <a:ext uri="{FF2B5EF4-FFF2-40B4-BE49-F238E27FC236}">
              <a16:creationId xmlns:a16="http://schemas.microsoft.com/office/drawing/2014/main" id="{00000000-0008-0000-0600-000078560000}"/>
            </a:ext>
          </a:extLst>
        </xdr:cNvPr>
        <xdr:cNvSpPr>
          <a:spLocks noChangeShapeType="1"/>
        </xdr:cNvSpPr>
      </xdr:nvSpPr>
      <xdr:spPr bwMode="auto">
        <a:xfrm>
          <a:off x="5419725" y="16278225"/>
          <a:ext cx="1714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19050</xdr:colOff>
      <xdr:row>112</xdr:row>
      <xdr:rowOff>9525</xdr:rowOff>
    </xdr:from>
    <xdr:to>
      <xdr:col>5</xdr:col>
      <xdr:colOff>552450</xdr:colOff>
      <xdr:row>112</xdr:row>
      <xdr:rowOff>9525</xdr:rowOff>
    </xdr:to>
    <xdr:sp macro="" textlink="">
      <xdr:nvSpPr>
        <xdr:cNvPr id="22137" name="Line 15">
          <a:extLst>
            <a:ext uri="{FF2B5EF4-FFF2-40B4-BE49-F238E27FC236}">
              <a16:creationId xmlns:a16="http://schemas.microsoft.com/office/drawing/2014/main" id="{00000000-0008-0000-0600-000079560000}"/>
            </a:ext>
          </a:extLst>
        </xdr:cNvPr>
        <xdr:cNvSpPr>
          <a:spLocks noChangeShapeType="1"/>
        </xdr:cNvSpPr>
      </xdr:nvSpPr>
      <xdr:spPr bwMode="auto">
        <a:xfrm flipH="1">
          <a:off x="1428750" y="17945100"/>
          <a:ext cx="1762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6</xdr:col>
      <xdr:colOff>381000</xdr:colOff>
      <xdr:row>112</xdr:row>
      <xdr:rowOff>9525</xdr:rowOff>
    </xdr:from>
    <xdr:to>
      <xdr:col>9</xdr:col>
      <xdr:colOff>0</xdr:colOff>
      <xdr:row>112</xdr:row>
      <xdr:rowOff>9525</xdr:rowOff>
    </xdr:to>
    <xdr:sp macro="" textlink="">
      <xdr:nvSpPr>
        <xdr:cNvPr id="22138" name="Line 16">
          <a:extLst>
            <a:ext uri="{FF2B5EF4-FFF2-40B4-BE49-F238E27FC236}">
              <a16:creationId xmlns:a16="http://schemas.microsoft.com/office/drawing/2014/main" id="{00000000-0008-0000-0600-00007A560000}"/>
            </a:ext>
          </a:extLst>
        </xdr:cNvPr>
        <xdr:cNvSpPr>
          <a:spLocks noChangeShapeType="1"/>
        </xdr:cNvSpPr>
      </xdr:nvSpPr>
      <xdr:spPr bwMode="auto">
        <a:xfrm>
          <a:off x="3638550" y="17945100"/>
          <a:ext cx="1514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361950</xdr:colOff>
      <xdr:row>103</xdr:row>
      <xdr:rowOff>19050</xdr:rowOff>
    </xdr:from>
    <xdr:to>
      <xdr:col>8</xdr:col>
      <xdr:colOff>361950</xdr:colOff>
      <xdr:row>108</xdr:row>
      <xdr:rowOff>28575</xdr:rowOff>
    </xdr:to>
    <xdr:sp macro="" textlink="">
      <xdr:nvSpPr>
        <xdr:cNvPr id="22139" name="Line 18">
          <a:extLst>
            <a:ext uri="{FF2B5EF4-FFF2-40B4-BE49-F238E27FC236}">
              <a16:creationId xmlns:a16="http://schemas.microsoft.com/office/drawing/2014/main" id="{00000000-0008-0000-0600-00007B560000}"/>
            </a:ext>
          </a:extLst>
        </xdr:cNvPr>
        <xdr:cNvSpPr>
          <a:spLocks noChangeShapeType="1"/>
        </xdr:cNvSpPr>
      </xdr:nvSpPr>
      <xdr:spPr bwMode="auto">
        <a:xfrm flipV="1">
          <a:off x="4886325" y="16497300"/>
          <a:ext cx="0" cy="819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381000</xdr:colOff>
      <xdr:row>110</xdr:row>
      <xdr:rowOff>19050</xdr:rowOff>
    </xdr:from>
    <xdr:to>
      <xdr:col>8</xdr:col>
      <xdr:colOff>381000</xdr:colOff>
      <xdr:row>115</xdr:row>
      <xdr:rowOff>114300</xdr:rowOff>
    </xdr:to>
    <xdr:sp macro="" textlink="">
      <xdr:nvSpPr>
        <xdr:cNvPr id="22140" name="Line 19">
          <a:extLst>
            <a:ext uri="{FF2B5EF4-FFF2-40B4-BE49-F238E27FC236}">
              <a16:creationId xmlns:a16="http://schemas.microsoft.com/office/drawing/2014/main" id="{00000000-0008-0000-0600-00007C560000}"/>
            </a:ext>
          </a:extLst>
        </xdr:cNvPr>
        <xdr:cNvSpPr>
          <a:spLocks noChangeShapeType="1"/>
        </xdr:cNvSpPr>
      </xdr:nvSpPr>
      <xdr:spPr bwMode="auto">
        <a:xfrm>
          <a:off x="4905375" y="17630775"/>
          <a:ext cx="0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323850</xdr:colOff>
      <xdr:row>103</xdr:row>
      <xdr:rowOff>28575</xdr:rowOff>
    </xdr:from>
    <xdr:to>
      <xdr:col>10</xdr:col>
      <xdr:colOff>323850</xdr:colOff>
      <xdr:row>109</xdr:row>
      <xdr:rowOff>19050</xdr:rowOff>
    </xdr:to>
    <xdr:sp macro="" textlink="">
      <xdr:nvSpPr>
        <xdr:cNvPr id="22141" name="Line 20">
          <a:extLst>
            <a:ext uri="{FF2B5EF4-FFF2-40B4-BE49-F238E27FC236}">
              <a16:creationId xmlns:a16="http://schemas.microsoft.com/office/drawing/2014/main" id="{00000000-0008-0000-0600-00007D560000}"/>
            </a:ext>
          </a:extLst>
        </xdr:cNvPr>
        <xdr:cNvSpPr>
          <a:spLocks noChangeShapeType="1"/>
        </xdr:cNvSpPr>
      </xdr:nvSpPr>
      <xdr:spPr bwMode="auto">
        <a:xfrm flipV="1">
          <a:off x="6057900" y="16506825"/>
          <a:ext cx="0" cy="962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333375</xdr:colOff>
      <xdr:row>112</xdr:row>
      <xdr:rowOff>19050</xdr:rowOff>
    </xdr:from>
    <xdr:to>
      <xdr:col>10</xdr:col>
      <xdr:colOff>333375</xdr:colOff>
      <xdr:row>117</xdr:row>
      <xdr:rowOff>152400</xdr:rowOff>
    </xdr:to>
    <xdr:sp macro="" textlink="">
      <xdr:nvSpPr>
        <xdr:cNvPr id="22142" name="Line 23">
          <a:extLst>
            <a:ext uri="{FF2B5EF4-FFF2-40B4-BE49-F238E27FC236}">
              <a16:creationId xmlns:a16="http://schemas.microsoft.com/office/drawing/2014/main" id="{00000000-0008-0000-0600-00007E560000}"/>
            </a:ext>
          </a:extLst>
        </xdr:cNvPr>
        <xdr:cNvSpPr>
          <a:spLocks noChangeShapeType="1"/>
        </xdr:cNvSpPr>
      </xdr:nvSpPr>
      <xdr:spPr bwMode="auto">
        <a:xfrm>
          <a:off x="6067425" y="179546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247650</xdr:colOff>
      <xdr:row>115</xdr:row>
      <xdr:rowOff>104775</xdr:rowOff>
    </xdr:from>
    <xdr:to>
      <xdr:col>1</xdr:col>
      <xdr:colOff>247650</xdr:colOff>
      <xdr:row>116</xdr:row>
      <xdr:rowOff>123825</xdr:rowOff>
    </xdr:to>
    <xdr:sp macro="" textlink="">
      <xdr:nvSpPr>
        <xdr:cNvPr id="22143" name="Line 24">
          <a:extLst>
            <a:ext uri="{FF2B5EF4-FFF2-40B4-BE49-F238E27FC236}">
              <a16:creationId xmlns:a16="http://schemas.microsoft.com/office/drawing/2014/main" id="{00000000-0008-0000-0600-00007F560000}"/>
            </a:ext>
          </a:extLst>
        </xdr:cNvPr>
        <xdr:cNvSpPr>
          <a:spLocks noChangeShapeType="1"/>
        </xdr:cNvSpPr>
      </xdr:nvSpPr>
      <xdr:spPr bwMode="auto">
        <a:xfrm flipV="1">
          <a:off x="428625" y="1852612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257175</xdr:colOff>
      <xdr:row>118</xdr:row>
      <xdr:rowOff>66675</xdr:rowOff>
    </xdr:from>
    <xdr:to>
      <xdr:col>1</xdr:col>
      <xdr:colOff>257175</xdr:colOff>
      <xdr:row>119</xdr:row>
      <xdr:rowOff>123825</xdr:rowOff>
    </xdr:to>
    <xdr:sp macro="" textlink="">
      <xdr:nvSpPr>
        <xdr:cNvPr id="22144" name="Line 25">
          <a:extLst>
            <a:ext uri="{FF2B5EF4-FFF2-40B4-BE49-F238E27FC236}">
              <a16:creationId xmlns:a16="http://schemas.microsoft.com/office/drawing/2014/main" id="{00000000-0008-0000-0600-000080560000}"/>
            </a:ext>
          </a:extLst>
        </xdr:cNvPr>
        <xdr:cNvSpPr>
          <a:spLocks noChangeShapeType="1"/>
        </xdr:cNvSpPr>
      </xdr:nvSpPr>
      <xdr:spPr bwMode="auto">
        <a:xfrm>
          <a:off x="438150" y="18973800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352425</xdr:colOff>
      <xdr:row>72</xdr:row>
      <xdr:rowOff>142875</xdr:rowOff>
    </xdr:from>
    <xdr:to>
      <xdr:col>2</xdr:col>
      <xdr:colOff>352425</xdr:colOff>
      <xdr:row>81</xdr:row>
      <xdr:rowOff>0</xdr:rowOff>
    </xdr:to>
    <xdr:sp macro="" textlink="">
      <xdr:nvSpPr>
        <xdr:cNvPr id="22147" name="Line 28">
          <a:extLst>
            <a:ext uri="{FF2B5EF4-FFF2-40B4-BE49-F238E27FC236}">
              <a16:creationId xmlns:a16="http://schemas.microsoft.com/office/drawing/2014/main" id="{00000000-0008-0000-0600-000083560000}"/>
            </a:ext>
          </a:extLst>
        </xdr:cNvPr>
        <xdr:cNvSpPr>
          <a:spLocks noChangeShapeType="1"/>
        </xdr:cNvSpPr>
      </xdr:nvSpPr>
      <xdr:spPr bwMode="auto">
        <a:xfrm>
          <a:off x="1114425" y="11601450"/>
          <a:ext cx="0" cy="13144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352425</xdr:colOff>
      <xdr:row>70</xdr:row>
      <xdr:rowOff>19050</xdr:rowOff>
    </xdr:from>
    <xdr:to>
      <xdr:col>10</xdr:col>
      <xdr:colOff>9525</xdr:colOff>
      <xdr:row>73</xdr:row>
      <xdr:rowOff>9525</xdr:rowOff>
    </xdr:to>
    <xdr:sp macro="" textlink="">
      <xdr:nvSpPr>
        <xdr:cNvPr id="22148" name="Line 29">
          <a:extLst>
            <a:ext uri="{FF2B5EF4-FFF2-40B4-BE49-F238E27FC236}">
              <a16:creationId xmlns:a16="http://schemas.microsoft.com/office/drawing/2014/main" id="{00000000-0008-0000-0600-000084560000}"/>
            </a:ext>
          </a:extLst>
        </xdr:cNvPr>
        <xdr:cNvSpPr>
          <a:spLocks noChangeShapeType="1"/>
        </xdr:cNvSpPr>
      </xdr:nvSpPr>
      <xdr:spPr bwMode="auto">
        <a:xfrm flipV="1">
          <a:off x="1114425" y="11153775"/>
          <a:ext cx="4629150" cy="4762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333375</xdr:colOff>
      <xdr:row>80</xdr:row>
      <xdr:rowOff>133350</xdr:rowOff>
    </xdr:from>
    <xdr:to>
      <xdr:col>10</xdr:col>
      <xdr:colOff>28575</xdr:colOff>
      <xdr:row>83</xdr:row>
      <xdr:rowOff>57150</xdr:rowOff>
    </xdr:to>
    <xdr:sp macro="" textlink="">
      <xdr:nvSpPr>
        <xdr:cNvPr id="22149" name="Line 30">
          <a:extLst>
            <a:ext uri="{FF2B5EF4-FFF2-40B4-BE49-F238E27FC236}">
              <a16:creationId xmlns:a16="http://schemas.microsoft.com/office/drawing/2014/main" id="{00000000-0008-0000-0600-000085560000}"/>
            </a:ext>
          </a:extLst>
        </xdr:cNvPr>
        <xdr:cNvSpPr>
          <a:spLocks noChangeShapeType="1"/>
        </xdr:cNvSpPr>
      </xdr:nvSpPr>
      <xdr:spPr bwMode="auto">
        <a:xfrm>
          <a:off x="1095375" y="12887325"/>
          <a:ext cx="4667250" cy="40957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70</xdr:row>
      <xdr:rowOff>28575</xdr:rowOff>
    </xdr:from>
    <xdr:to>
      <xdr:col>10</xdr:col>
      <xdr:colOff>9525</xdr:colOff>
      <xdr:row>83</xdr:row>
      <xdr:rowOff>28575</xdr:rowOff>
    </xdr:to>
    <xdr:sp macro="" textlink="">
      <xdr:nvSpPr>
        <xdr:cNvPr id="22150" name="Line 33">
          <a:extLst>
            <a:ext uri="{FF2B5EF4-FFF2-40B4-BE49-F238E27FC236}">
              <a16:creationId xmlns:a16="http://schemas.microsoft.com/office/drawing/2014/main" id="{00000000-0008-0000-0600-000086560000}"/>
            </a:ext>
          </a:extLst>
        </xdr:cNvPr>
        <xdr:cNvSpPr>
          <a:spLocks noChangeShapeType="1"/>
        </xdr:cNvSpPr>
      </xdr:nvSpPr>
      <xdr:spPr bwMode="auto">
        <a:xfrm>
          <a:off x="5734050" y="11163300"/>
          <a:ext cx="9525" cy="21050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115</xdr:row>
      <xdr:rowOff>85725</xdr:rowOff>
    </xdr:from>
    <xdr:to>
      <xdr:col>10</xdr:col>
      <xdr:colOff>9525</xdr:colOff>
      <xdr:row>119</xdr:row>
      <xdr:rowOff>57150</xdr:rowOff>
    </xdr:to>
    <xdr:sp macro="" textlink="">
      <xdr:nvSpPr>
        <xdr:cNvPr id="22151" name="Line 34">
          <a:extLst>
            <a:ext uri="{FF2B5EF4-FFF2-40B4-BE49-F238E27FC236}">
              <a16:creationId xmlns:a16="http://schemas.microsoft.com/office/drawing/2014/main" id="{00000000-0008-0000-0600-000087560000}"/>
            </a:ext>
          </a:extLst>
        </xdr:cNvPr>
        <xdr:cNvSpPr>
          <a:spLocks noChangeShapeType="1"/>
        </xdr:cNvSpPr>
      </xdr:nvSpPr>
      <xdr:spPr bwMode="auto">
        <a:xfrm flipV="1">
          <a:off x="5743575" y="18507075"/>
          <a:ext cx="0" cy="6191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571500</xdr:colOff>
      <xdr:row>115</xdr:row>
      <xdr:rowOff>114300</xdr:rowOff>
    </xdr:from>
    <xdr:to>
      <xdr:col>1</xdr:col>
      <xdr:colOff>571500</xdr:colOff>
      <xdr:row>119</xdr:row>
      <xdr:rowOff>28575</xdr:rowOff>
    </xdr:to>
    <xdr:sp macro="" textlink="">
      <xdr:nvSpPr>
        <xdr:cNvPr id="22152" name="Line 35">
          <a:extLst>
            <a:ext uri="{FF2B5EF4-FFF2-40B4-BE49-F238E27FC236}">
              <a16:creationId xmlns:a16="http://schemas.microsoft.com/office/drawing/2014/main" id="{00000000-0008-0000-0600-000088560000}"/>
            </a:ext>
          </a:extLst>
        </xdr:cNvPr>
        <xdr:cNvSpPr>
          <a:spLocks noChangeShapeType="1"/>
        </xdr:cNvSpPr>
      </xdr:nvSpPr>
      <xdr:spPr bwMode="auto">
        <a:xfrm>
          <a:off x="752475" y="18535650"/>
          <a:ext cx="0" cy="56197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93</xdr:row>
      <xdr:rowOff>152400</xdr:rowOff>
    </xdr:from>
    <xdr:to>
      <xdr:col>4</xdr:col>
      <xdr:colOff>9525</xdr:colOff>
      <xdr:row>96</xdr:row>
      <xdr:rowOff>9525</xdr:rowOff>
    </xdr:to>
    <xdr:sp macro="" textlink="">
      <xdr:nvSpPr>
        <xdr:cNvPr id="22153" name="Line 36">
          <a:extLst>
            <a:ext uri="{FF2B5EF4-FFF2-40B4-BE49-F238E27FC236}">
              <a16:creationId xmlns:a16="http://schemas.microsoft.com/office/drawing/2014/main" id="{00000000-0008-0000-0600-000089560000}"/>
            </a:ext>
          </a:extLst>
        </xdr:cNvPr>
        <xdr:cNvSpPr>
          <a:spLocks noChangeShapeType="1"/>
        </xdr:cNvSpPr>
      </xdr:nvSpPr>
      <xdr:spPr bwMode="auto">
        <a:xfrm>
          <a:off x="1104900" y="15011400"/>
          <a:ext cx="95250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</xdr:colOff>
      <xdr:row>96</xdr:row>
      <xdr:rowOff>9525</xdr:rowOff>
    </xdr:from>
    <xdr:to>
      <xdr:col>10</xdr:col>
      <xdr:colOff>9525</xdr:colOff>
      <xdr:row>96</xdr:row>
      <xdr:rowOff>9525</xdr:rowOff>
    </xdr:to>
    <xdr:sp macro="" textlink="">
      <xdr:nvSpPr>
        <xdr:cNvPr id="22154" name="Line 38">
          <a:extLst>
            <a:ext uri="{FF2B5EF4-FFF2-40B4-BE49-F238E27FC236}">
              <a16:creationId xmlns:a16="http://schemas.microsoft.com/office/drawing/2014/main" id="{00000000-0008-0000-0600-00008A560000}"/>
            </a:ext>
          </a:extLst>
        </xdr:cNvPr>
        <xdr:cNvSpPr>
          <a:spLocks noChangeShapeType="1"/>
        </xdr:cNvSpPr>
      </xdr:nvSpPr>
      <xdr:spPr bwMode="auto">
        <a:xfrm>
          <a:off x="2066925" y="15354300"/>
          <a:ext cx="3676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333375</xdr:colOff>
      <xdr:row>93</xdr:row>
      <xdr:rowOff>152400</xdr:rowOff>
    </xdr:from>
    <xdr:to>
      <xdr:col>2</xdr:col>
      <xdr:colOff>352425</xdr:colOff>
      <xdr:row>95</xdr:row>
      <xdr:rowOff>104775</xdr:rowOff>
    </xdr:to>
    <xdr:sp macro="" textlink="">
      <xdr:nvSpPr>
        <xdr:cNvPr id="22155" name="Line 40">
          <a:extLst>
            <a:ext uri="{FF2B5EF4-FFF2-40B4-BE49-F238E27FC236}">
              <a16:creationId xmlns:a16="http://schemas.microsoft.com/office/drawing/2014/main" id="{00000000-0008-0000-0600-00008B560000}"/>
            </a:ext>
          </a:extLst>
        </xdr:cNvPr>
        <xdr:cNvSpPr>
          <a:spLocks noChangeShapeType="1"/>
        </xdr:cNvSpPr>
      </xdr:nvSpPr>
      <xdr:spPr bwMode="auto">
        <a:xfrm flipH="1">
          <a:off x="1095375" y="15011400"/>
          <a:ext cx="19050" cy="27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323850</xdr:colOff>
      <xdr:row>95</xdr:row>
      <xdr:rowOff>95250</xdr:rowOff>
    </xdr:from>
    <xdr:to>
      <xdr:col>4</xdr:col>
      <xdr:colOff>0</xdr:colOff>
      <xdr:row>97</xdr:row>
      <xdr:rowOff>123825</xdr:rowOff>
    </xdr:to>
    <xdr:sp macro="" textlink="">
      <xdr:nvSpPr>
        <xdr:cNvPr id="22156" name="Line 41">
          <a:extLst>
            <a:ext uri="{FF2B5EF4-FFF2-40B4-BE49-F238E27FC236}">
              <a16:creationId xmlns:a16="http://schemas.microsoft.com/office/drawing/2014/main" id="{00000000-0008-0000-0600-00008C560000}"/>
            </a:ext>
          </a:extLst>
        </xdr:cNvPr>
        <xdr:cNvSpPr>
          <a:spLocks noChangeShapeType="1"/>
        </xdr:cNvSpPr>
      </xdr:nvSpPr>
      <xdr:spPr bwMode="auto">
        <a:xfrm>
          <a:off x="1085850" y="15278100"/>
          <a:ext cx="962025" cy="352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590550</xdr:colOff>
      <xdr:row>96</xdr:row>
      <xdr:rowOff>152400</xdr:rowOff>
    </xdr:from>
    <xdr:to>
      <xdr:col>10</xdr:col>
      <xdr:colOff>9525</xdr:colOff>
      <xdr:row>97</xdr:row>
      <xdr:rowOff>114300</xdr:rowOff>
    </xdr:to>
    <xdr:sp macro="" textlink="">
      <xdr:nvSpPr>
        <xdr:cNvPr id="22157" name="Line 42">
          <a:extLst>
            <a:ext uri="{FF2B5EF4-FFF2-40B4-BE49-F238E27FC236}">
              <a16:creationId xmlns:a16="http://schemas.microsoft.com/office/drawing/2014/main" id="{00000000-0008-0000-0600-00008D560000}"/>
            </a:ext>
          </a:extLst>
        </xdr:cNvPr>
        <xdr:cNvSpPr>
          <a:spLocks noChangeShapeType="1"/>
        </xdr:cNvSpPr>
      </xdr:nvSpPr>
      <xdr:spPr bwMode="auto">
        <a:xfrm flipV="1">
          <a:off x="2000250" y="15497175"/>
          <a:ext cx="3743325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96</xdr:row>
      <xdr:rowOff>0</xdr:rowOff>
    </xdr:from>
    <xdr:to>
      <xdr:col>10</xdr:col>
      <xdr:colOff>9525</xdr:colOff>
      <xdr:row>97</xdr:row>
      <xdr:rowOff>9525</xdr:rowOff>
    </xdr:to>
    <xdr:sp macro="" textlink="">
      <xdr:nvSpPr>
        <xdr:cNvPr id="22158" name="Line 43">
          <a:extLst>
            <a:ext uri="{FF2B5EF4-FFF2-40B4-BE49-F238E27FC236}">
              <a16:creationId xmlns:a16="http://schemas.microsoft.com/office/drawing/2014/main" id="{00000000-0008-0000-0600-00008E560000}"/>
            </a:ext>
          </a:extLst>
        </xdr:cNvPr>
        <xdr:cNvSpPr>
          <a:spLocks noChangeShapeType="1"/>
        </xdr:cNvSpPr>
      </xdr:nvSpPr>
      <xdr:spPr bwMode="auto">
        <a:xfrm>
          <a:off x="5743575" y="15344775"/>
          <a:ext cx="0" cy="171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200025</xdr:colOff>
      <xdr:row>87</xdr:row>
      <xdr:rowOff>152400</xdr:rowOff>
    </xdr:from>
    <xdr:to>
      <xdr:col>10</xdr:col>
      <xdr:colOff>0</xdr:colOff>
      <xdr:row>88</xdr:row>
      <xdr:rowOff>0</xdr:rowOff>
    </xdr:to>
    <xdr:sp macro="" textlink="">
      <xdr:nvSpPr>
        <xdr:cNvPr id="22161" name="Line 46">
          <a:extLst>
            <a:ext uri="{FF2B5EF4-FFF2-40B4-BE49-F238E27FC236}">
              <a16:creationId xmlns:a16="http://schemas.microsoft.com/office/drawing/2014/main" id="{00000000-0008-0000-0600-000091560000}"/>
            </a:ext>
          </a:extLst>
        </xdr:cNvPr>
        <xdr:cNvSpPr>
          <a:spLocks noChangeShapeType="1"/>
        </xdr:cNvSpPr>
      </xdr:nvSpPr>
      <xdr:spPr bwMode="auto">
        <a:xfrm>
          <a:off x="2838450" y="14039850"/>
          <a:ext cx="28956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88</xdr:row>
      <xdr:rowOff>28575</xdr:rowOff>
    </xdr:from>
    <xdr:to>
      <xdr:col>10</xdr:col>
      <xdr:colOff>19050</xdr:colOff>
      <xdr:row>96</xdr:row>
      <xdr:rowOff>9525</xdr:rowOff>
    </xdr:to>
    <xdr:sp macro="" textlink="">
      <xdr:nvSpPr>
        <xdr:cNvPr id="22162" name="Line 47">
          <a:extLst>
            <a:ext uri="{FF2B5EF4-FFF2-40B4-BE49-F238E27FC236}">
              <a16:creationId xmlns:a16="http://schemas.microsoft.com/office/drawing/2014/main" id="{00000000-0008-0000-0600-000092560000}"/>
            </a:ext>
          </a:extLst>
        </xdr:cNvPr>
        <xdr:cNvSpPr>
          <a:spLocks noChangeShapeType="1"/>
        </xdr:cNvSpPr>
      </xdr:nvSpPr>
      <xdr:spPr bwMode="auto">
        <a:xfrm>
          <a:off x="5734050" y="14077950"/>
          <a:ext cx="19050" cy="1276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94</xdr:row>
      <xdr:rowOff>95250</xdr:rowOff>
    </xdr:from>
    <xdr:to>
      <xdr:col>4</xdr:col>
      <xdr:colOff>9525</xdr:colOff>
      <xdr:row>96</xdr:row>
      <xdr:rowOff>0</xdr:rowOff>
    </xdr:to>
    <xdr:sp macro="" textlink="">
      <xdr:nvSpPr>
        <xdr:cNvPr id="22163" name="Line 51">
          <a:extLst>
            <a:ext uri="{FF2B5EF4-FFF2-40B4-BE49-F238E27FC236}">
              <a16:creationId xmlns:a16="http://schemas.microsoft.com/office/drawing/2014/main" id="{00000000-0008-0000-0600-000093560000}"/>
            </a:ext>
          </a:extLst>
        </xdr:cNvPr>
        <xdr:cNvSpPr>
          <a:spLocks noChangeShapeType="1"/>
        </xdr:cNvSpPr>
      </xdr:nvSpPr>
      <xdr:spPr bwMode="auto">
        <a:xfrm>
          <a:off x="2047875" y="15116175"/>
          <a:ext cx="9525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</xdr:col>
      <xdr:colOff>0</xdr:colOff>
      <xdr:row>97</xdr:row>
      <xdr:rowOff>123825</xdr:rowOff>
    </xdr:from>
    <xdr:to>
      <xdr:col>4</xdr:col>
      <xdr:colOff>0</xdr:colOff>
      <xdr:row>99</xdr:row>
      <xdr:rowOff>9525</xdr:rowOff>
    </xdr:to>
    <xdr:sp macro="" textlink="">
      <xdr:nvSpPr>
        <xdr:cNvPr id="22164" name="Line 52">
          <a:extLst>
            <a:ext uri="{FF2B5EF4-FFF2-40B4-BE49-F238E27FC236}">
              <a16:creationId xmlns:a16="http://schemas.microsoft.com/office/drawing/2014/main" id="{00000000-0008-0000-0600-000094560000}"/>
            </a:ext>
          </a:extLst>
        </xdr:cNvPr>
        <xdr:cNvSpPr>
          <a:spLocks noChangeShapeType="1"/>
        </xdr:cNvSpPr>
      </xdr:nvSpPr>
      <xdr:spPr bwMode="auto">
        <a:xfrm flipV="1">
          <a:off x="2047875" y="1563052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342900</xdr:colOff>
      <xdr:row>95</xdr:row>
      <xdr:rowOff>123825</xdr:rowOff>
    </xdr:from>
    <xdr:to>
      <xdr:col>2</xdr:col>
      <xdr:colOff>342900</xdr:colOff>
      <xdr:row>97</xdr:row>
      <xdr:rowOff>9525</xdr:rowOff>
    </xdr:to>
    <xdr:sp macro="" textlink="">
      <xdr:nvSpPr>
        <xdr:cNvPr id="22165" name="Line 55">
          <a:extLst>
            <a:ext uri="{FF2B5EF4-FFF2-40B4-BE49-F238E27FC236}">
              <a16:creationId xmlns:a16="http://schemas.microsoft.com/office/drawing/2014/main" id="{00000000-0008-0000-0600-000095560000}"/>
            </a:ext>
          </a:extLst>
        </xdr:cNvPr>
        <xdr:cNvSpPr>
          <a:spLocks noChangeShapeType="1"/>
        </xdr:cNvSpPr>
      </xdr:nvSpPr>
      <xdr:spPr bwMode="auto">
        <a:xfrm flipV="1">
          <a:off x="1104900" y="1530667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19050</xdr:colOff>
      <xdr:row>93</xdr:row>
      <xdr:rowOff>152400</xdr:rowOff>
    </xdr:from>
    <xdr:to>
      <xdr:col>2</xdr:col>
      <xdr:colOff>314325</xdr:colOff>
      <xdr:row>94</xdr:row>
      <xdr:rowOff>0</xdr:rowOff>
    </xdr:to>
    <xdr:sp macro="" textlink="">
      <xdr:nvSpPr>
        <xdr:cNvPr id="22167" name="Line 57">
          <a:extLst>
            <a:ext uri="{FF2B5EF4-FFF2-40B4-BE49-F238E27FC236}">
              <a16:creationId xmlns:a16="http://schemas.microsoft.com/office/drawing/2014/main" id="{00000000-0008-0000-0600-000097560000}"/>
            </a:ext>
          </a:extLst>
        </xdr:cNvPr>
        <xdr:cNvSpPr>
          <a:spLocks noChangeShapeType="1"/>
        </xdr:cNvSpPr>
      </xdr:nvSpPr>
      <xdr:spPr bwMode="auto">
        <a:xfrm>
          <a:off x="781050" y="16316325"/>
          <a:ext cx="295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514350</xdr:colOff>
      <xdr:row>95</xdr:row>
      <xdr:rowOff>104775</xdr:rowOff>
    </xdr:from>
    <xdr:to>
      <xdr:col>2</xdr:col>
      <xdr:colOff>285750</xdr:colOff>
      <xdr:row>95</xdr:row>
      <xdr:rowOff>104775</xdr:rowOff>
    </xdr:to>
    <xdr:sp macro="" textlink="">
      <xdr:nvSpPr>
        <xdr:cNvPr id="22168" name="Line 58">
          <a:extLst>
            <a:ext uri="{FF2B5EF4-FFF2-40B4-BE49-F238E27FC236}">
              <a16:creationId xmlns:a16="http://schemas.microsoft.com/office/drawing/2014/main" id="{00000000-0008-0000-0600-000098560000}"/>
            </a:ext>
          </a:extLst>
        </xdr:cNvPr>
        <xdr:cNvSpPr>
          <a:spLocks noChangeShapeType="1"/>
        </xdr:cNvSpPr>
      </xdr:nvSpPr>
      <xdr:spPr bwMode="auto">
        <a:xfrm>
          <a:off x="695325" y="15287625"/>
          <a:ext cx="352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89</xdr:row>
      <xdr:rowOff>76200</xdr:rowOff>
    </xdr:from>
    <xdr:to>
      <xdr:col>2</xdr:col>
      <xdr:colOff>142875</xdr:colOff>
      <xdr:row>94</xdr:row>
      <xdr:rowOff>0</xdr:rowOff>
    </xdr:to>
    <xdr:sp macro="" textlink="">
      <xdr:nvSpPr>
        <xdr:cNvPr id="22169" name="Line 59">
          <a:extLst>
            <a:ext uri="{FF2B5EF4-FFF2-40B4-BE49-F238E27FC236}">
              <a16:creationId xmlns:a16="http://schemas.microsoft.com/office/drawing/2014/main" id="{00000000-0008-0000-0600-000099560000}"/>
            </a:ext>
          </a:extLst>
        </xdr:cNvPr>
        <xdr:cNvSpPr>
          <a:spLocks noChangeShapeType="1"/>
        </xdr:cNvSpPr>
      </xdr:nvSpPr>
      <xdr:spPr bwMode="auto">
        <a:xfrm>
          <a:off x="895350" y="15592425"/>
          <a:ext cx="9525" cy="733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76200</xdr:colOff>
      <xdr:row>95</xdr:row>
      <xdr:rowOff>114300</xdr:rowOff>
    </xdr:from>
    <xdr:to>
      <xdr:col>2</xdr:col>
      <xdr:colOff>76200</xdr:colOff>
      <xdr:row>97</xdr:row>
      <xdr:rowOff>9525</xdr:rowOff>
    </xdr:to>
    <xdr:sp macro="" textlink="">
      <xdr:nvSpPr>
        <xdr:cNvPr id="22170" name="Line 60">
          <a:extLst>
            <a:ext uri="{FF2B5EF4-FFF2-40B4-BE49-F238E27FC236}">
              <a16:creationId xmlns:a16="http://schemas.microsoft.com/office/drawing/2014/main" id="{00000000-0008-0000-0600-00009A560000}"/>
            </a:ext>
          </a:extLst>
        </xdr:cNvPr>
        <xdr:cNvSpPr>
          <a:spLocks noChangeShapeType="1"/>
        </xdr:cNvSpPr>
      </xdr:nvSpPr>
      <xdr:spPr bwMode="auto">
        <a:xfrm flipV="1">
          <a:off x="838200" y="15297150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533400</xdr:colOff>
      <xdr:row>85</xdr:row>
      <xdr:rowOff>133350</xdr:rowOff>
    </xdr:from>
    <xdr:to>
      <xdr:col>2</xdr:col>
      <xdr:colOff>333375</xdr:colOff>
      <xdr:row>85</xdr:row>
      <xdr:rowOff>133350</xdr:rowOff>
    </xdr:to>
    <xdr:sp macro="" textlink="">
      <xdr:nvSpPr>
        <xdr:cNvPr id="22171" name="Line 61">
          <a:extLst>
            <a:ext uri="{FF2B5EF4-FFF2-40B4-BE49-F238E27FC236}">
              <a16:creationId xmlns:a16="http://schemas.microsoft.com/office/drawing/2014/main" id="{00000000-0008-0000-0600-00009B560000}"/>
            </a:ext>
          </a:extLst>
        </xdr:cNvPr>
        <xdr:cNvSpPr>
          <a:spLocks noChangeShapeType="1"/>
        </xdr:cNvSpPr>
      </xdr:nvSpPr>
      <xdr:spPr bwMode="auto">
        <a:xfrm>
          <a:off x="714375" y="15001875"/>
          <a:ext cx="381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86</xdr:row>
      <xdr:rowOff>0</xdr:rowOff>
    </xdr:from>
    <xdr:to>
      <xdr:col>2</xdr:col>
      <xdr:colOff>133350</xdr:colOff>
      <xdr:row>88</xdr:row>
      <xdr:rowOff>152400</xdr:rowOff>
    </xdr:to>
    <xdr:sp macro="" textlink="">
      <xdr:nvSpPr>
        <xdr:cNvPr id="22172" name="Line 62">
          <a:extLst>
            <a:ext uri="{FF2B5EF4-FFF2-40B4-BE49-F238E27FC236}">
              <a16:creationId xmlns:a16="http://schemas.microsoft.com/office/drawing/2014/main" id="{00000000-0008-0000-0600-00009C560000}"/>
            </a:ext>
          </a:extLst>
        </xdr:cNvPr>
        <xdr:cNvSpPr>
          <a:spLocks noChangeShapeType="1"/>
        </xdr:cNvSpPr>
      </xdr:nvSpPr>
      <xdr:spPr bwMode="auto">
        <a:xfrm flipV="1">
          <a:off x="895350" y="15030450"/>
          <a:ext cx="0" cy="476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180975</xdr:colOff>
      <xdr:row>95</xdr:row>
      <xdr:rowOff>152400</xdr:rowOff>
    </xdr:from>
    <xdr:to>
      <xdr:col>10</xdr:col>
      <xdr:colOff>485775</xdr:colOff>
      <xdr:row>95</xdr:row>
      <xdr:rowOff>152400</xdr:rowOff>
    </xdr:to>
    <xdr:sp macro="" textlink="">
      <xdr:nvSpPr>
        <xdr:cNvPr id="22173" name="Line 63">
          <a:extLst>
            <a:ext uri="{FF2B5EF4-FFF2-40B4-BE49-F238E27FC236}">
              <a16:creationId xmlns:a16="http://schemas.microsoft.com/office/drawing/2014/main" id="{00000000-0008-0000-0600-00009D560000}"/>
            </a:ext>
          </a:extLst>
        </xdr:cNvPr>
        <xdr:cNvSpPr>
          <a:spLocks noChangeShapeType="1"/>
        </xdr:cNvSpPr>
      </xdr:nvSpPr>
      <xdr:spPr bwMode="auto">
        <a:xfrm>
          <a:off x="5915025" y="15335250"/>
          <a:ext cx="304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190500</xdr:colOff>
      <xdr:row>97</xdr:row>
      <xdr:rowOff>9525</xdr:rowOff>
    </xdr:from>
    <xdr:to>
      <xdr:col>10</xdr:col>
      <xdr:colOff>495300</xdr:colOff>
      <xdr:row>97</xdr:row>
      <xdr:rowOff>9525</xdr:rowOff>
    </xdr:to>
    <xdr:sp macro="" textlink="">
      <xdr:nvSpPr>
        <xdr:cNvPr id="22174" name="Line 64">
          <a:extLst>
            <a:ext uri="{FF2B5EF4-FFF2-40B4-BE49-F238E27FC236}">
              <a16:creationId xmlns:a16="http://schemas.microsoft.com/office/drawing/2014/main" id="{00000000-0008-0000-0600-00009E560000}"/>
            </a:ext>
          </a:extLst>
        </xdr:cNvPr>
        <xdr:cNvSpPr>
          <a:spLocks noChangeShapeType="1"/>
        </xdr:cNvSpPr>
      </xdr:nvSpPr>
      <xdr:spPr bwMode="auto">
        <a:xfrm>
          <a:off x="5924550" y="15516225"/>
          <a:ext cx="304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180975</xdr:colOff>
      <xdr:row>88</xdr:row>
      <xdr:rowOff>0</xdr:rowOff>
    </xdr:from>
    <xdr:to>
      <xdr:col>10</xdr:col>
      <xdr:colOff>466725</xdr:colOff>
      <xdr:row>88</xdr:row>
      <xdr:rowOff>0</xdr:rowOff>
    </xdr:to>
    <xdr:sp macro="" textlink="">
      <xdr:nvSpPr>
        <xdr:cNvPr id="22175" name="Line 65">
          <a:extLst>
            <a:ext uri="{FF2B5EF4-FFF2-40B4-BE49-F238E27FC236}">
              <a16:creationId xmlns:a16="http://schemas.microsoft.com/office/drawing/2014/main" id="{00000000-0008-0000-0600-00009F560000}"/>
            </a:ext>
          </a:extLst>
        </xdr:cNvPr>
        <xdr:cNvSpPr>
          <a:spLocks noChangeShapeType="1"/>
        </xdr:cNvSpPr>
      </xdr:nvSpPr>
      <xdr:spPr bwMode="auto">
        <a:xfrm>
          <a:off x="5915025" y="14049375"/>
          <a:ext cx="285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352425</xdr:colOff>
      <xdr:row>87</xdr:row>
      <xdr:rowOff>142875</xdr:rowOff>
    </xdr:from>
    <xdr:to>
      <xdr:col>10</xdr:col>
      <xdr:colOff>352425</xdr:colOff>
      <xdr:row>90</xdr:row>
      <xdr:rowOff>123825</xdr:rowOff>
    </xdr:to>
    <xdr:sp macro="" textlink="">
      <xdr:nvSpPr>
        <xdr:cNvPr id="22176" name="Line 66">
          <a:extLst>
            <a:ext uri="{FF2B5EF4-FFF2-40B4-BE49-F238E27FC236}">
              <a16:creationId xmlns:a16="http://schemas.microsoft.com/office/drawing/2014/main" id="{00000000-0008-0000-0600-0000A0560000}"/>
            </a:ext>
          </a:extLst>
        </xdr:cNvPr>
        <xdr:cNvSpPr>
          <a:spLocks noChangeShapeType="1"/>
        </xdr:cNvSpPr>
      </xdr:nvSpPr>
      <xdr:spPr bwMode="auto">
        <a:xfrm flipV="1">
          <a:off x="6086475" y="15354300"/>
          <a:ext cx="0" cy="466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371475</xdr:colOff>
      <xdr:row>92</xdr:row>
      <xdr:rowOff>9525</xdr:rowOff>
    </xdr:from>
    <xdr:to>
      <xdr:col>10</xdr:col>
      <xdr:colOff>371475</xdr:colOff>
      <xdr:row>95</xdr:row>
      <xdr:rowOff>133350</xdr:rowOff>
    </xdr:to>
    <xdr:sp macro="" textlink="">
      <xdr:nvSpPr>
        <xdr:cNvPr id="22177" name="Line 67">
          <a:extLst>
            <a:ext uri="{FF2B5EF4-FFF2-40B4-BE49-F238E27FC236}">
              <a16:creationId xmlns:a16="http://schemas.microsoft.com/office/drawing/2014/main" id="{00000000-0008-0000-0600-0000A1560000}"/>
            </a:ext>
          </a:extLst>
        </xdr:cNvPr>
        <xdr:cNvSpPr>
          <a:spLocks noChangeShapeType="1"/>
        </xdr:cNvSpPr>
      </xdr:nvSpPr>
      <xdr:spPr bwMode="auto">
        <a:xfrm>
          <a:off x="6105525" y="1603057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333375</xdr:colOff>
      <xdr:row>96</xdr:row>
      <xdr:rowOff>142875</xdr:rowOff>
    </xdr:from>
    <xdr:to>
      <xdr:col>10</xdr:col>
      <xdr:colOff>333375</xdr:colOff>
      <xdr:row>98</xdr:row>
      <xdr:rowOff>28575</xdr:rowOff>
    </xdr:to>
    <xdr:sp macro="" textlink="">
      <xdr:nvSpPr>
        <xdr:cNvPr id="22178" name="Line 68">
          <a:extLst>
            <a:ext uri="{FF2B5EF4-FFF2-40B4-BE49-F238E27FC236}">
              <a16:creationId xmlns:a16="http://schemas.microsoft.com/office/drawing/2014/main" id="{00000000-0008-0000-0600-0000A2560000}"/>
            </a:ext>
          </a:extLst>
        </xdr:cNvPr>
        <xdr:cNvSpPr>
          <a:spLocks noChangeShapeType="1"/>
        </xdr:cNvSpPr>
      </xdr:nvSpPr>
      <xdr:spPr bwMode="auto">
        <a:xfrm flipV="1">
          <a:off x="6067425" y="15487650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</xdr:col>
      <xdr:colOff>0</xdr:colOff>
      <xdr:row>70</xdr:row>
      <xdr:rowOff>133350</xdr:rowOff>
    </xdr:from>
    <xdr:to>
      <xdr:col>4</xdr:col>
      <xdr:colOff>0</xdr:colOff>
      <xdr:row>73</xdr:row>
      <xdr:rowOff>47625</xdr:rowOff>
    </xdr:to>
    <xdr:sp macro="" textlink="">
      <xdr:nvSpPr>
        <xdr:cNvPr id="22179" name="Line 69">
          <a:extLst>
            <a:ext uri="{FF2B5EF4-FFF2-40B4-BE49-F238E27FC236}">
              <a16:creationId xmlns:a16="http://schemas.microsoft.com/office/drawing/2014/main" id="{00000000-0008-0000-0600-0000A3560000}"/>
            </a:ext>
          </a:extLst>
        </xdr:cNvPr>
        <xdr:cNvSpPr>
          <a:spLocks noChangeShapeType="1"/>
        </xdr:cNvSpPr>
      </xdr:nvSpPr>
      <xdr:spPr bwMode="auto">
        <a:xfrm>
          <a:off x="2047875" y="1126807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73</xdr:row>
      <xdr:rowOff>133350</xdr:rowOff>
    </xdr:from>
    <xdr:to>
      <xdr:col>4</xdr:col>
      <xdr:colOff>0</xdr:colOff>
      <xdr:row>74</xdr:row>
      <xdr:rowOff>66675</xdr:rowOff>
    </xdr:to>
    <xdr:sp macro="" textlink="">
      <xdr:nvSpPr>
        <xdr:cNvPr id="22180" name="Line 70">
          <a:extLst>
            <a:ext uri="{FF2B5EF4-FFF2-40B4-BE49-F238E27FC236}">
              <a16:creationId xmlns:a16="http://schemas.microsoft.com/office/drawing/2014/main" id="{00000000-0008-0000-0600-0000A4560000}"/>
            </a:ext>
          </a:extLst>
        </xdr:cNvPr>
        <xdr:cNvSpPr>
          <a:spLocks noChangeShapeType="1"/>
        </xdr:cNvSpPr>
      </xdr:nvSpPr>
      <xdr:spPr bwMode="auto">
        <a:xfrm>
          <a:off x="2047875" y="1175385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75</xdr:row>
      <xdr:rowOff>0</xdr:rowOff>
    </xdr:from>
    <xdr:to>
      <xdr:col>4</xdr:col>
      <xdr:colOff>0</xdr:colOff>
      <xdr:row>76</xdr:row>
      <xdr:rowOff>142875</xdr:rowOff>
    </xdr:to>
    <xdr:sp macro="" textlink="">
      <xdr:nvSpPr>
        <xdr:cNvPr id="22181" name="Line 71">
          <a:extLst>
            <a:ext uri="{FF2B5EF4-FFF2-40B4-BE49-F238E27FC236}">
              <a16:creationId xmlns:a16="http://schemas.microsoft.com/office/drawing/2014/main" id="{00000000-0008-0000-0600-0000A5560000}"/>
            </a:ext>
          </a:extLst>
        </xdr:cNvPr>
        <xdr:cNvSpPr>
          <a:spLocks noChangeShapeType="1"/>
        </xdr:cNvSpPr>
      </xdr:nvSpPr>
      <xdr:spPr bwMode="auto">
        <a:xfrm>
          <a:off x="2047875" y="11944350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85725</xdr:rowOff>
    </xdr:from>
    <xdr:to>
      <xdr:col>4</xdr:col>
      <xdr:colOff>0</xdr:colOff>
      <xdr:row>78</xdr:row>
      <xdr:rowOff>9525</xdr:rowOff>
    </xdr:to>
    <xdr:sp macro="" textlink="">
      <xdr:nvSpPr>
        <xdr:cNvPr id="22182" name="Line 72">
          <a:extLst>
            <a:ext uri="{FF2B5EF4-FFF2-40B4-BE49-F238E27FC236}">
              <a16:creationId xmlns:a16="http://schemas.microsoft.com/office/drawing/2014/main" id="{00000000-0008-0000-0600-0000A6560000}"/>
            </a:ext>
          </a:extLst>
        </xdr:cNvPr>
        <xdr:cNvSpPr>
          <a:spLocks noChangeShapeType="1"/>
        </xdr:cNvSpPr>
      </xdr:nvSpPr>
      <xdr:spPr bwMode="auto">
        <a:xfrm>
          <a:off x="2047875" y="1235392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78</xdr:row>
      <xdr:rowOff>85725</xdr:rowOff>
    </xdr:from>
    <xdr:to>
      <xdr:col>4</xdr:col>
      <xdr:colOff>0</xdr:colOff>
      <xdr:row>80</xdr:row>
      <xdr:rowOff>76200</xdr:rowOff>
    </xdr:to>
    <xdr:sp macro="" textlink="">
      <xdr:nvSpPr>
        <xdr:cNvPr id="22183" name="Line 73">
          <a:extLst>
            <a:ext uri="{FF2B5EF4-FFF2-40B4-BE49-F238E27FC236}">
              <a16:creationId xmlns:a16="http://schemas.microsoft.com/office/drawing/2014/main" id="{00000000-0008-0000-0600-0000A7560000}"/>
            </a:ext>
          </a:extLst>
        </xdr:cNvPr>
        <xdr:cNvSpPr>
          <a:spLocks noChangeShapeType="1"/>
        </xdr:cNvSpPr>
      </xdr:nvSpPr>
      <xdr:spPr bwMode="auto">
        <a:xfrm>
          <a:off x="2047875" y="12515850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80</xdr:row>
      <xdr:rowOff>152400</xdr:rowOff>
    </xdr:from>
    <xdr:to>
      <xdr:col>4</xdr:col>
      <xdr:colOff>0</xdr:colOff>
      <xdr:row>82</xdr:row>
      <xdr:rowOff>9525</xdr:rowOff>
    </xdr:to>
    <xdr:sp macro="" textlink="">
      <xdr:nvSpPr>
        <xdr:cNvPr id="22184" name="Line 74">
          <a:extLst>
            <a:ext uri="{FF2B5EF4-FFF2-40B4-BE49-F238E27FC236}">
              <a16:creationId xmlns:a16="http://schemas.microsoft.com/office/drawing/2014/main" id="{00000000-0008-0000-0600-0000A8560000}"/>
            </a:ext>
          </a:extLst>
        </xdr:cNvPr>
        <xdr:cNvSpPr>
          <a:spLocks noChangeShapeType="1"/>
        </xdr:cNvSpPr>
      </xdr:nvSpPr>
      <xdr:spPr bwMode="auto">
        <a:xfrm>
          <a:off x="2047875" y="1290637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82</xdr:row>
      <xdr:rowOff>85725</xdr:rowOff>
    </xdr:from>
    <xdr:to>
      <xdr:col>4</xdr:col>
      <xdr:colOff>0</xdr:colOff>
      <xdr:row>84</xdr:row>
      <xdr:rowOff>9525</xdr:rowOff>
    </xdr:to>
    <xdr:sp macro="" textlink="">
      <xdr:nvSpPr>
        <xdr:cNvPr id="22185" name="Line 75">
          <a:extLst>
            <a:ext uri="{FF2B5EF4-FFF2-40B4-BE49-F238E27FC236}">
              <a16:creationId xmlns:a16="http://schemas.microsoft.com/office/drawing/2014/main" id="{00000000-0008-0000-0600-0000A9560000}"/>
            </a:ext>
          </a:extLst>
        </xdr:cNvPr>
        <xdr:cNvSpPr>
          <a:spLocks noChangeShapeType="1"/>
        </xdr:cNvSpPr>
      </xdr:nvSpPr>
      <xdr:spPr bwMode="auto">
        <a:xfrm>
          <a:off x="2047875" y="13163550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628650</xdr:colOff>
      <xdr:row>85</xdr:row>
      <xdr:rowOff>19050</xdr:rowOff>
    </xdr:from>
    <xdr:to>
      <xdr:col>3</xdr:col>
      <xdr:colOff>628650</xdr:colOff>
      <xdr:row>88</xdr:row>
      <xdr:rowOff>28575</xdr:rowOff>
    </xdr:to>
    <xdr:sp macro="" textlink="">
      <xdr:nvSpPr>
        <xdr:cNvPr id="22186" name="Line 76">
          <a:extLst>
            <a:ext uri="{FF2B5EF4-FFF2-40B4-BE49-F238E27FC236}">
              <a16:creationId xmlns:a16="http://schemas.microsoft.com/office/drawing/2014/main" id="{00000000-0008-0000-0600-0000AA560000}"/>
            </a:ext>
          </a:extLst>
        </xdr:cNvPr>
        <xdr:cNvSpPr>
          <a:spLocks noChangeShapeType="1"/>
        </xdr:cNvSpPr>
      </xdr:nvSpPr>
      <xdr:spPr bwMode="auto">
        <a:xfrm>
          <a:off x="2038350" y="13582650"/>
          <a:ext cx="0" cy="495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88</xdr:row>
      <xdr:rowOff>142875</xdr:rowOff>
    </xdr:from>
    <xdr:to>
      <xdr:col>4</xdr:col>
      <xdr:colOff>0</xdr:colOff>
      <xdr:row>89</xdr:row>
      <xdr:rowOff>104775</xdr:rowOff>
    </xdr:to>
    <xdr:sp macro="" textlink="">
      <xdr:nvSpPr>
        <xdr:cNvPr id="22187" name="Line 77">
          <a:extLst>
            <a:ext uri="{FF2B5EF4-FFF2-40B4-BE49-F238E27FC236}">
              <a16:creationId xmlns:a16="http://schemas.microsoft.com/office/drawing/2014/main" id="{00000000-0008-0000-0600-0000AB560000}"/>
            </a:ext>
          </a:extLst>
        </xdr:cNvPr>
        <xdr:cNvSpPr>
          <a:spLocks noChangeShapeType="1"/>
        </xdr:cNvSpPr>
      </xdr:nvSpPr>
      <xdr:spPr bwMode="auto">
        <a:xfrm>
          <a:off x="2047875" y="14192250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90</xdr:row>
      <xdr:rowOff>57150</xdr:rowOff>
    </xdr:from>
    <xdr:to>
      <xdr:col>4</xdr:col>
      <xdr:colOff>0</xdr:colOff>
      <xdr:row>92</xdr:row>
      <xdr:rowOff>9525</xdr:rowOff>
    </xdr:to>
    <xdr:sp macro="" textlink="">
      <xdr:nvSpPr>
        <xdr:cNvPr id="22188" name="Line 78">
          <a:extLst>
            <a:ext uri="{FF2B5EF4-FFF2-40B4-BE49-F238E27FC236}">
              <a16:creationId xmlns:a16="http://schemas.microsoft.com/office/drawing/2014/main" id="{00000000-0008-0000-0600-0000AC560000}"/>
            </a:ext>
          </a:extLst>
        </xdr:cNvPr>
        <xdr:cNvSpPr>
          <a:spLocks noChangeShapeType="1"/>
        </xdr:cNvSpPr>
      </xdr:nvSpPr>
      <xdr:spPr bwMode="auto">
        <a:xfrm>
          <a:off x="2047875" y="14430375"/>
          <a:ext cx="0" cy="27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92</xdr:row>
      <xdr:rowOff>95250</xdr:rowOff>
    </xdr:from>
    <xdr:to>
      <xdr:col>4</xdr:col>
      <xdr:colOff>0</xdr:colOff>
      <xdr:row>94</xdr:row>
      <xdr:rowOff>0</xdr:rowOff>
    </xdr:to>
    <xdr:sp macro="" textlink="">
      <xdr:nvSpPr>
        <xdr:cNvPr id="22189" name="Line 79">
          <a:extLst>
            <a:ext uri="{FF2B5EF4-FFF2-40B4-BE49-F238E27FC236}">
              <a16:creationId xmlns:a16="http://schemas.microsoft.com/office/drawing/2014/main" id="{00000000-0008-0000-0600-0000AD560000}"/>
            </a:ext>
          </a:extLst>
        </xdr:cNvPr>
        <xdr:cNvSpPr>
          <a:spLocks noChangeShapeType="1"/>
        </xdr:cNvSpPr>
      </xdr:nvSpPr>
      <xdr:spPr bwMode="auto">
        <a:xfrm>
          <a:off x="2047875" y="14792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99</xdr:row>
      <xdr:rowOff>85725</xdr:rowOff>
    </xdr:from>
    <xdr:to>
      <xdr:col>4</xdr:col>
      <xdr:colOff>0</xdr:colOff>
      <xdr:row>101</xdr:row>
      <xdr:rowOff>28575</xdr:rowOff>
    </xdr:to>
    <xdr:sp macro="" textlink="">
      <xdr:nvSpPr>
        <xdr:cNvPr id="22190" name="Line 80">
          <a:extLst>
            <a:ext uri="{FF2B5EF4-FFF2-40B4-BE49-F238E27FC236}">
              <a16:creationId xmlns:a16="http://schemas.microsoft.com/office/drawing/2014/main" id="{00000000-0008-0000-0600-0000AE560000}"/>
            </a:ext>
          </a:extLst>
        </xdr:cNvPr>
        <xdr:cNvSpPr>
          <a:spLocks noChangeShapeType="1"/>
        </xdr:cNvSpPr>
      </xdr:nvSpPr>
      <xdr:spPr bwMode="auto">
        <a:xfrm>
          <a:off x="2047875" y="15916275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69</xdr:row>
      <xdr:rowOff>85725</xdr:rowOff>
    </xdr:from>
    <xdr:to>
      <xdr:col>2</xdr:col>
      <xdr:colOff>342900</xdr:colOff>
      <xdr:row>71</xdr:row>
      <xdr:rowOff>47625</xdr:rowOff>
    </xdr:to>
    <xdr:sp macro="" textlink="">
      <xdr:nvSpPr>
        <xdr:cNvPr id="22191" name="Line 81">
          <a:extLst>
            <a:ext uri="{FF2B5EF4-FFF2-40B4-BE49-F238E27FC236}">
              <a16:creationId xmlns:a16="http://schemas.microsoft.com/office/drawing/2014/main" id="{00000000-0008-0000-0600-0000AF560000}"/>
            </a:ext>
          </a:extLst>
        </xdr:cNvPr>
        <xdr:cNvSpPr>
          <a:spLocks noChangeShapeType="1"/>
        </xdr:cNvSpPr>
      </xdr:nvSpPr>
      <xdr:spPr bwMode="auto">
        <a:xfrm>
          <a:off x="1104900" y="11058525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71</xdr:row>
      <xdr:rowOff>123825</xdr:rowOff>
    </xdr:from>
    <xdr:to>
      <xdr:col>2</xdr:col>
      <xdr:colOff>342900</xdr:colOff>
      <xdr:row>72</xdr:row>
      <xdr:rowOff>114300</xdr:rowOff>
    </xdr:to>
    <xdr:sp macro="" textlink="">
      <xdr:nvSpPr>
        <xdr:cNvPr id="22192" name="Line 82">
          <a:extLst>
            <a:ext uri="{FF2B5EF4-FFF2-40B4-BE49-F238E27FC236}">
              <a16:creationId xmlns:a16="http://schemas.microsoft.com/office/drawing/2014/main" id="{00000000-0008-0000-0600-0000B0560000}"/>
            </a:ext>
          </a:extLst>
        </xdr:cNvPr>
        <xdr:cNvSpPr>
          <a:spLocks noChangeShapeType="1"/>
        </xdr:cNvSpPr>
      </xdr:nvSpPr>
      <xdr:spPr bwMode="auto">
        <a:xfrm>
          <a:off x="1104900" y="1142047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81</xdr:row>
      <xdr:rowOff>38100</xdr:rowOff>
    </xdr:from>
    <xdr:to>
      <xdr:col>2</xdr:col>
      <xdr:colOff>342900</xdr:colOff>
      <xdr:row>82</xdr:row>
      <xdr:rowOff>66675</xdr:rowOff>
    </xdr:to>
    <xdr:sp macro="" textlink="">
      <xdr:nvSpPr>
        <xdr:cNvPr id="22193" name="Line 83">
          <a:extLst>
            <a:ext uri="{FF2B5EF4-FFF2-40B4-BE49-F238E27FC236}">
              <a16:creationId xmlns:a16="http://schemas.microsoft.com/office/drawing/2014/main" id="{00000000-0008-0000-0600-0000B1560000}"/>
            </a:ext>
          </a:extLst>
        </xdr:cNvPr>
        <xdr:cNvSpPr>
          <a:spLocks noChangeShapeType="1"/>
        </xdr:cNvSpPr>
      </xdr:nvSpPr>
      <xdr:spPr bwMode="auto">
        <a:xfrm>
          <a:off x="1104900" y="12954000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342900</xdr:colOff>
      <xdr:row>97</xdr:row>
      <xdr:rowOff>57150</xdr:rowOff>
    </xdr:from>
    <xdr:to>
      <xdr:col>2</xdr:col>
      <xdr:colOff>342900</xdr:colOff>
      <xdr:row>98</xdr:row>
      <xdr:rowOff>114300</xdr:rowOff>
    </xdr:to>
    <xdr:sp macro="" textlink="">
      <xdr:nvSpPr>
        <xdr:cNvPr id="22195" name="Line 85">
          <a:extLst>
            <a:ext uri="{FF2B5EF4-FFF2-40B4-BE49-F238E27FC236}">
              <a16:creationId xmlns:a16="http://schemas.microsoft.com/office/drawing/2014/main" id="{00000000-0008-0000-0600-0000B3560000}"/>
            </a:ext>
          </a:extLst>
        </xdr:cNvPr>
        <xdr:cNvSpPr>
          <a:spLocks noChangeShapeType="1"/>
        </xdr:cNvSpPr>
      </xdr:nvSpPr>
      <xdr:spPr bwMode="auto">
        <a:xfrm>
          <a:off x="1104900" y="15563850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69</xdr:row>
      <xdr:rowOff>123825</xdr:rowOff>
    </xdr:from>
    <xdr:to>
      <xdr:col>6</xdr:col>
      <xdr:colOff>0</xdr:colOff>
      <xdr:row>71</xdr:row>
      <xdr:rowOff>85725</xdr:rowOff>
    </xdr:to>
    <xdr:sp macro="" textlink="">
      <xdr:nvSpPr>
        <xdr:cNvPr id="22196" name="Line 86">
          <a:extLst>
            <a:ext uri="{FF2B5EF4-FFF2-40B4-BE49-F238E27FC236}">
              <a16:creationId xmlns:a16="http://schemas.microsoft.com/office/drawing/2014/main" id="{00000000-0008-0000-0600-0000B4560000}"/>
            </a:ext>
          </a:extLst>
        </xdr:cNvPr>
        <xdr:cNvSpPr>
          <a:spLocks noChangeShapeType="1"/>
        </xdr:cNvSpPr>
      </xdr:nvSpPr>
      <xdr:spPr bwMode="auto">
        <a:xfrm>
          <a:off x="3257550" y="11096625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72</xdr:row>
      <xdr:rowOff>38100</xdr:rowOff>
    </xdr:from>
    <xdr:to>
      <xdr:col>6</xdr:col>
      <xdr:colOff>9525</xdr:colOff>
      <xdr:row>73</xdr:row>
      <xdr:rowOff>104775</xdr:rowOff>
    </xdr:to>
    <xdr:sp macro="" textlink="">
      <xdr:nvSpPr>
        <xdr:cNvPr id="22197" name="Line 87">
          <a:extLst>
            <a:ext uri="{FF2B5EF4-FFF2-40B4-BE49-F238E27FC236}">
              <a16:creationId xmlns:a16="http://schemas.microsoft.com/office/drawing/2014/main" id="{00000000-0008-0000-0600-0000B5560000}"/>
            </a:ext>
          </a:extLst>
        </xdr:cNvPr>
        <xdr:cNvSpPr>
          <a:spLocks noChangeShapeType="1"/>
        </xdr:cNvSpPr>
      </xdr:nvSpPr>
      <xdr:spPr bwMode="auto">
        <a:xfrm>
          <a:off x="3267075" y="114966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74</xdr:row>
      <xdr:rowOff>28575</xdr:rowOff>
    </xdr:from>
    <xdr:to>
      <xdr:col>6</xdr:col>
      <xdr:colOff>9525</xdr:colOff>
      <xdr:row>74</xdr:row>
      <xdr:rowOff>123825</xdr:rowOff>
    </xdr:to>
    <xdr:sp macro="" textlink="">
      <xdr:nvSpPr>
        <xdr:cNvPr id="22198" name="Line 88">
          <a:extLst>
            <a:ext uri="{FF2B5EF4-FFF2-40B4-BE49-F238E27FC236}">
              <a16:creationId xmlns:a16="http://schemas.microsoft.com/office/drawing/2014/main" id="{00000000-0008-0000-0600-0000B6560000}"/>
            </a:ext>
          </a:extLst>
        </xdr:cNvPr>
        <xdr:cNvSpPr>
          <a:spLocks noChangeShapeType="1"/>
        </xdr:cNvSpPr>
      </xdr:nvSpPr>
      <xdr:spPr bwMode="auto">
        <a:xfrm>
          <a:off x="3267075" y="1181100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75</xdr:row>
      <xdr:rowOff>57150</xdr:rowOff>
    </xdr:from>
    <xdr:to>
      <xdr:col>6</xdr:col>
      <xdr:colOff>9525</xdr:colOff>
      <xdr:row>77</xdr:row>
      <xdr:rowOff>142875</xdr:rowOff>
    </xdr:to>
    <xdr:sp macro="" textlink="">
      <xdr:nvSpPr>
        <xdr:cNvPr id="22199" name="Line 89">
          <a:extLst>
            <a:ext uri="{FF2B5EF4-FFF2-40B4-BE49-F238E27FC236}">
              <a16:creationId xmlns:a16="http://schemas.microsoft.com/office/drawing/2014/main" id="{00000000-0008-0000-0600-0000B7560000}"/>
            </a:ext>
          </a:extLst>
        </xdr:cNvPr>
        <xdr:cNvSpPr>
          <a:spLocks noChangeShapeType="1"/>
        </xdr:cNvSpPr>
      </xdr:nvSpPr>
      <xdr:spPr bwMode="auto">
        <a:xfrm flipH="1">
          <a:off x="3257550" y="12001500"/>
          <a:ext cx="9525" cy="40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78</xdr:row>
      <xdr:rowOff>47625</xdr:rowOff>
    </xdr:from>
    <xdr:to>
      <xdr:col>6</xdr:col>
      <xdr:colOff>9525</xdr:colOff>
      <xdr:row>80</xdr:row>
      <xdr:rowOff>9525</xdr:rowOff>
    </xdr:to>
    <xdr:sp macro="" textlink="">
      <xdr:nvSpPr>
        <xdr:cNvPr id="22200" name="Line 90">
          <a:extLst>
            <a:ext uri="{FF2B5EF4-FFF2-40B4-BE49-F238E27FC236}">
              <a16:creationId xmlns:a16="http://schemas.microsoft.com/office/drawing/2014/main" id="{00000000-0008-0000-0600-0000B8560000}"/>
            </a:ext>
          </a:extLst>
        </xdr:cNvPr>
        <xdr:cNvSpPr>
          <a:spLocks noChangeShapeType="1"/>
        </xdr:cNvSpPr>
      </xdr:nvSpPr>
      <xdr:spPr bwMode="auto">
        <a:xfrm>
          <a:off x="3267075" y="12477750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80</xdr:row>
      <xdr:rowOff>85725</xdr:rowOff>
    </xdr:from>
    <xdr:to>
      <xdr:col>6</xdr:col>
      <xdr:colOff>0</xdr:colOff>
      <xdr:row>83</xdr:row>
      <xdr:rowOff>9525</xdr:rowOff>
    </xdr:to>
    <xdr:sp macro="" textlink="">
      <xdr:nvSpPr>
        <xdr:cNvPr id="22201" name="Line 91">
          <a:extLst>
            <a:ext uri="{FF2B5EF4-FFF2-40B4-BE49-F238E27FC236}">
              <a16:creationId xmlns:a16="http://schemas.microsoft.com/office/drawing/2014/main" id="{00000000-0008-0000-0600-0000B9560000}"/>
            </a:ext>
          </a:extLst>
        </xdr:cNvPr>
        <xdr:cNvSpPr>
          <a:spLocks noChangeShapeType="1"/>
        </xdr:cNvSpPr>
      </xdr:nvSpPr>
      <xdr:spPr bwMode="auto">
        <a:xfrm>
          <a:off x="3257550" y="12839700"/>
          <a:ext cx="0" cy="40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84</xdr:row>
      <xdr:rowOff>66675</xdr:rowOff>
    </xdr:from>
    <xdr:to>
      <xdr:col>6</xdr:col>
      <xdr:colOff>0</xdr:colOff>
      <xdr:row>86</xdr:row>
      <xdr:rowOff>95250</xdr:rowOff>
    </xdr:to>
    <xdr:sp macro="" textlink="">
      <xdr:nvSpPr>
        <xdr:cNvPr id="22202" name="Line 92">
          <a:extLst>
            <a:ext uri="{FF2B5EF4-FFF2-40B4-BE49-F238E27FC236}">
              <a16:creationId xmlns:a16="http://schemas.microsoft.com/office/drawing/2014/main" id="{00000000-0008-0000-0600-0000BA560000}"/>
            </a:ext>
          </a:extLst>
        </xdr:cNvPr>
        <xdr:cNvSpPr>
          <a:spLocks noChangeShapeType="1"/>
        </xdr:cNvSpPr>
      </xdr:nvSpPr>
      <xdr:spPr bwMode="auto">
        <a:xfrm>
          <a:off x="3257550" y="13468350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87</xdr:row>
      <xdr:rowOff>9525</xdr:rowOff>
    </xdr:from>
    <xdr:to>
      <xdr:col>6</xdr:col>
      <xdr:colOff>0</xdr:colOff>
      <xdr:row>88</xdr:row>
      <xdr:rowOff>95250</xdr:rowOff>
    </xdr:to>
    <xdr:sp macro="" textlink="">
      <xdr:nvSpPr>
        <xdr:cNvPr id="22203" name="Line 93">
          <a:extLst>
            <a:ext uri="{FF2B5EF4-FFF2-40B4-BE49-F238E27FC236}">
              <a16:creationId xmlns:a16="http://schemas.microsoft.com/office/drawing/2014/main" id="{00000000-0008-0000-0600-0000BB560000}"/>
            </a:ext>
          </a:extLst>
        </xdr:cNvPr>
        <xdr:cNvSpPr>
          <a:spLocks noChangeShapeType="1"/>
        </xdr:cNvSpPr>
      </xdr:nvSpPr>
      <xdr:spPr bwMode="auto">
        <a:xfrm>
          <a:off x="3257550" y="13896975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723900</xdr:colOff>
      <xdr:row>89</xdr:row>
      <xdr:rowOff>19050</xdr:rowOff>
    </xdr:from>
    <xdr:to>
      <xdr:col>5</xdr:col>
      <xdr:colOff>723900</xdr:colOff>
      <xdr:row>90</xdr:row>
      <xdr:rowOff>38100</xdr:rowOff>
    </xdr:to>
    <xdr:sp macro="" textlink="">
      <xdr:nvSpPr>
        <xdr:cNvPr id="22204" name="Line 94">
          <a:extLst>
            <a:ext uri="{FF2B5EF4-FFF2-40B4-BE49-F238E27FC236}">
              <a16:creationId xmlns:a16="http://schemas.microsoft.com/office/drawing/2014/main" id="{00000000-0008-0000-0600-0000BC560000}"/>
            </a:ext>
          </a:extLst>
        </xdr:cNvPr>
        <xdr:cNvSpPr>
          <a:spLocks noChangeShapeType="1"/>
        </xdr:cNvSpPr>
      </xdr:nvSpPr>
      <xdr:spPr bwMode="auto">
        <a:xfrm>
          <a:off x="3257550" y="14230350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723900</xdr:colOff>
      <xdr:row>90</xdr:row>
      <xdr:rowOff>133350</xdr:rowOff>
    </xdr:from>
    <xdr:to>
      <xdr:col>5</xdr:col>
      <xdr:colOff>723900</xdr:colOff>
      <xdr:row>91</xdr:row>
      <xdr:rowOff>152400</xdr:rowOff>
    </xdr:to>
    <xdr:sp macro="" textlink="">
      <xdr:nvSpPr>
        <xdr:cNvPr id="22205" name="Line 96">
          <a:extLst>
            <a:ext uri="{FF2B5EF4-FFF2-40B4-BE49-F238E27FC236}">
              <a16:creationId xmlns:a16="http://schemas.microsoft.com/office/drawing/2014/main" id="{00000000-0008-0000-0600-0000BD560000}"/>
            </a:ext>
          </a:extLst>
        </xdr:cNvPr>
        <xdr:cNvSpPr>
          <a:spLocks noChangeShapeType="1"/>
        </xdr:cNvSpPr>
      </xdr:nvSpPr>
      <xdr:spPr bwMode="auto">
        <a:xfrm>
          <a:off x="3257550" y="1450657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92</xdr:row>
      <xdr:rowOff>95250</xdr:rowOff>
    </xdr:from>
    <xdr:to>
      <xdr:col>6</xdr:col>
      <xdr:colOff>0</xdr:colOff>
      <xdr:row>95</xdr:row>
      <xdr:rowOff>9525</xdr:rowOff>
    </xdr:to>
    <xdr:sp macro="" textlink="">
      <xdr:nvSpPr>
        <xdr:cNvPr id="22206" name="Line 97">
          <a:extLst>
            <a:ext uri="{FF2B5EF4-FFF2-40B4-BE49-F238E27FC236}">
              <a16:creationId xmlns:a16="http://schemas.microsoft.com/office/drawing/2014/main" id="{00000000-0008-0000-0600-0000BE560000}"/>
            </a:ext>
          </a:extLst>
        </xdr:cNvPr>
        <xdr:cNvSpPr>
          <a:spLocks noChangeShapeType="1"/>
        </xdr:cNvSpPr>
      </xdr:nvSpPr>
      <xdr:spPr bwMode="auto">
        <a:xfrm>
          <a:off x="3257550" y="147923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723900</xdr:colOff>
      <xdr:row>95</xdr:row>
      <xdr:rowOff>85725</xdr:rowOff>
    </xdr:from>
    <xdr:to>
      <xdr:col>5</xdr:col>
      <xdr:colOff>723900</xdr:colOff>
      <xdr:row>98</xdr:row>
      <xdr:rowOff>76200</xdr:rowOff>
    </xdr:to>
    <xdr:sp macro="" textlink="">
      <xdr:nvSpPr>
        <xdr:cNvPr id="22207" name="Line 98">
          <a:extLst>
            <a:ext uri="{FF2B5EF4-FFF2-40B4-BE49-F238E27FC236}">
              <a16:creationId xmlns:a16="http://schemas.microsoft.com/office/drawing/2014/main" id="{00000000-0008-0000-0600-0000BF560000}"/>
            </a:ext>
          </a:extLst>
        </xdr:cNvPr>
        <xdr:cNvSpPr>
          <a:spLocks noChangeShapeType="1"/>
        </xdr:cNvSpPr>
      </xdr:nvSpPr>
      <xdr:spPr bwMode="auto">
        <a:xfrm>
          <a:off x="3257550" y="15268575"/>
          <a:ext cx="0" cy="476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69</xdr:row>
      <xdr:rowOff>76200</xdr:rowOff>
    </xdr:from>
    <xdr:to>
      <xdr:col>8</xdr:col>
      <xdr:colOff>9525</xdr:colOff>
      <xdr:row>72</xdr:row>
      <xdr:rowOff>9525</xdr:rowOff>
    </xdr:to>
    <xdr:sp macro="" textlink="">
      <xdr:nvSpPr>
        <xdr:cNvPr id="22208" name="Line 99">
          <a:extLst>
            <a:ext uri="{FF2B5EF4-FFF2-40B4-BE49-F238E27FC236}">
              <a16:creationId xmlns:a16="http://schemas.microsoft.com/office/drawing/2014/main" id="{00000000-0008-0000-0600-0000C0560000}"/>
            </a:ext>
          </a:extLst>
        </xdr:cNvPr>
        <xdr:cNvSpPr>
          <a:spLocks noChangeShapeType="1"/>
        </xdr:cNvSpPr>
      </xdr:nvSpPr>
      <xdr:spPr bwMode="auto">
        <a:xfrm>
          <a:off x="4533900" y="11049000"/>
          <a:ext cx="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72</xdr:row>
      <xdr:rowOff>123825</xdr:rowOff>
    </xdr:from>
    <xdr:to>
      <xdr:col>8</xdr:col>
      <xdr:colOff>9525</xdr:colOff>
      <xdr:row>74</xdr:row>
      <xdr:rowOff>95250</xdr:rowOff>
    </xdr:to>
    <xdr:sp macro="" textlink="">
      <xdr:nvSpPr>
        <xdr:cNvPr id="22209" name="Line 100">
          <a:extLst>
            <a:ext uri="{FF2B5EF4-FFF2-40B4-BE49-F238E27FC236}">
              <a16:creationId xmlns:a16="http://schemas.microsoft.com/office/drawing/2014/main" id="{00000000-0008-0000-0600-0000C1560000}"/>
            </a:ext>
          </a:extLst>
        </xdr:cNvPr>
        <xdr:cNvSpPr>
          <a:spLocks noChangeShapeType="1"/>
        </xdr:cNvSpPr>
      </xdr:nvSpPr>
      <xdr:spPr bwMode="auto">
        <a:xfrm>
          <a:off x="4533900" y="1158240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75</xdr:row>
      <xdr:rowOff>9525</xdr:rowOff>
    </xdr:from>
    <xdr:to>
      <xdr:col>8</xdr:col>
      <xdr:colOff>0</xdr:colOff>
      <xdr:row>78</xdr:row>
      <xdr:rowOff>95250</xdr:rowOff>
    </xdr:to>
    <xdr:sp macro="" textlink="">
      <xdr:nvSpPr>
        <xdr:cNvPr id="22210" name="Line 101">
          <a:extLst>
            <a:ext uri="{FF2B5EF4-FFF2-40B4-BE49-F238E27FC236}">
              <a16:creationId xmlns:a16="http://schemas.microsoft.com/office/drawing/2014/main" id="{00000000-0008-0000-0600-0000C2560000}"/>
            </a:ext>
          </a:extLst>
        </xdr:cNvPr>
        <xdr:cNvSpPr>
          <a:spLocks noChangeShapeType="1"/>
        </xdr:cNvSpPr>
      </xdr:nvSpPr>
      <xdr:spPr bwMode="auto">
        <a:xfrm>
          <a:off x="4524375" y="11953875"/>
          <a:ext cx="0" cy="571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79</xdr:row>
      <xdr:rowOff>66675</xdr:rowOff>
    </xdr:from>
    <xdr:to>
      <xdr:col>8</xdr:col>
      <xdr:colOff>0</xdr:colOff>
      <xdr:row>81</xdr:row>
      <xdr:rowOff>142875</xdr:rowOff>
    </xdr:to>
    <xdr:sp macro="" textlink="">
      <xdr:nvSpPr>
        <xdr:cNvPr id="22211" name="Line 102">
          <a:extLst>
            <a:ext uri="{FF2B5EF4-FFF2-40B4-BE49-F238E27FC236}">
              <a16:creationId xmlns:a16="http://schemas.microsoft.com/office/drawing/2014/main" id="{00000000-0008-0000-0600-0000C3560000}"/>
            </a:ext>
          </a:extLst>
        </xdr:cNvPr>
        <xdr:cNvSpPr>
          <a:spLocks noChangeShapeType="1"/>
        </xdr:cNvSpPr>
      </xdr:nvSpPr>
      <xdr:spPr bwMode="auto">
        <a:xfrm>
          <a:off x="4524375" y="126587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82</xdr:row>
      <xdr:rowOff>47625</xdr:rowOff>
    </xdr:from>
    <xdr:to>
      <xdr:col>8</xdr:col>
      <xdr:colOff>0</xdr:colOff>
      <xdr:row>85</xdr:row>
      <xdr:rowOff>47625</xdr:rowOff>
    </xdr:to>
    <xdr:sp macro="" textlink="">
      <xdr:nvSpPr>
        <xdr:cNvPr id="22212" name="Line 103">
          <a:extLst>
            <a:ext uri="{FF2B5EF4-FFF2-40B4-BE49-F238E27FC236}">
              <a16:creationId xmlns:a16="http://schemas.microsoft.com/office/drawing/2014/main" id="{00000000-0008-0000-0600-0000C4560000}"/>
            </a:ext>
          </a:extLst>
        </xdr:cNvPr>
        <xdr:cNvSpPr>
          <a:spLocks noChangeShapeType="1"/>
        </xdr:cNvSpPr>
      </xdr:nvSpPr>
      <xdr:spPr bwMode="auto">
        <a:xfrm>
          <a:off x="4524375" y="1312545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666750</xdr:colOff>
      <xdr:row>86</xdr:row>
      <xdr:rowOff>76200</xdr:rowOff>
    </xdr:from>
    <xdr:to>
      <xdr:col>7</xdr:col>
      <xdr:colOff>666750</xdr:colOff>
      <xdr:row>89</xdr:row>
      <xdr:rowOff>9525</xdr:rowOff>
    </xdr:to>
    <xdr:sp macro="" textlink="">
      <xdr:nvSpPr>
        <xdr:cNvPr id="22213" name="Line 104">
          <a:extLst>
            <a:ext uri="{FF2B5EF4-FFF2-40B4-BE49-F238E27FC236}">
              <a16:creationId xmlns:a16="http://schemas.microsoft.com/office/drawing/2014/main" id="{00000000-0008-0000-0600-0000C5560000}"/>
            </a:ext>
          </a:extLst>
        </xdr:cNvPr>
        <xdr:cNvSpPr>
          <a:spLocks noChangeShapeType="1"/>
        </xdr:cNvSpPr>
      </xdr:nvSpPr>
      <xdr:spPr bwMode="auto">
        <a:xfrm>
          <a:off x="4524375" y="13801725"/>
          <a:ext cx="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89</xdr:row>
      <xdr:rowOff>95250</xdr:rowOff>
    </xdr:from>
    <xdr:to>
      <xdr:col>8</xdr:col>
      <xdr:colOff>9525</xdr:colOff>
      <xdr:row>91</xdr:row>
      <xdr:rowOff>38100</xdr:rowOff>
    </xdr:to>
    <xdr:sp macro="" textlink="">
      <xdr:nvSpPr>
        <xdr:cNvPr id="22214" name="Line 105">
          <a:extLst>
            <a:ext uri="{FF2B5EF4-FFF2-40B4-BE49-F238E27FC236}">
              <a16:creationId xmlns:a16="http://schemas.microsoft.com/office/drawing/2014/main" id="{00000000-0008-0000-0600-0000C6560000}"/>
            </a:ext>
          </a:extLst>
        </xdr:cNvPr>
        <xdr:cNvSpPr>
          <a:spLocks noChangeShapeType="1"/>
        </xdr:cNvSpPr>
      </xdr:nvSpPr>
      <xdr:spPr bwMode="auto">
        <a:xfrm>
          <a:off x="4533900" y="14306550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91</xdr:row>
      <xdr:rowOff>114300</xdr:rowOff>
    </xdr:from>
    <xdr:to>
      <xdr:col>8</xdr:col>
      <xdr:colOff>9525</xdr:colOff>
      <xdr:row>93</xdr:row>
      <xdr:rowOff>38100</xdr:rowOff>
    </xdr:to>
    <xdr:sp macro="" textlink="">
      <xdr:nvSpPr>
        <xdr:cNvPr id="22215" name="Line 106">
          <a:extLst>
            <a:ext uri="{FF2B5EF4-FFF2-40B4-BE49-F238E27FC236}">
              <a16:creationId xmlns:a16="http://schemas.microsoft.com/office/drawing/2014/main" id="{00000000-0008-0000-0600-0000C7560000}"/>
            </a:ext>
          </a:extLst>
        </xdr:cNvPr>
        <xdr:cNvSpPr>
          <a:spLocks noChangeShapeType="1"/>
        </xdr:cNvSpPr>
      </xdr:nvSpPr>
      <xdr:spPr bwMode="auto">
        <a:xfrm>
          <a:off x="4533900" y="14649450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93</xdr:row>
      <xdr:rowOff>114300</xdr:rowOff>
    </xdr:from>
    <xdr:to>
      <xdr:col>8</xdr:col>
      <xdr:colOff>9525</xdr:colOff>
      <xdr:row>95</xdr:row>
      <xdr:rowOff>95250</xdr:rowOff>
    </xdr:to>
    <xdr:sp macro="" textlink="">
      <xdr:nvSpPr>
        <xdr:cNvPr id="22216" name="Line 107">
          <a:extLst>
            <a:ext uri="{FF2B5EF4-FFF2-40B4-BE49-F238E27FC236}">
              <a16:creationId xmlns:a16="http://schemas.microsoft.com/office/drawing/2014/main" id="{00000000-0008-0000-0600-0000C8560000}"/>
            </a:ext>
          </a:extLst>
        </xdr:cNvPr>
        <xdr:cNvSpPr>
          <a:spLocks noChangeShapeType="1"/>
        </xdr:cNvSpPr>
      </xdr:nvSpPr>
      <xdr:spPr bwMode="auto">
        <a:xfrm>
          <a:off x="4533900" y="14973300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96</xdr:row>
      <xdr:rowOff>9525</xdr:rowOff>
    </xdr:from>
    <xdr:to>
      <xdr:col>8</xdr:col>
      <xdr:colOff>19050</xdr:colOff>
      <xdr:row>98</xdr:row>
      <xdr:rowOff>76200</xdr:rowOff>
    </xdr:to>
    <xdr:sp macro="" textlink="">
      <xdr:nvSpPr>
        <xdr:cNvPr id="22217" name="Line 108">
          <a:extLst>
            <a:ext uri="{FF2B5EF4-FFF2-40B4-BE49-F238E27FC236}">
              <a16:creationId xmlns:a16="http://schemas.microsoft.com/office/drawing/2014/main" id="{00000000-0008-0000-0600-0000C9560000}"/>
            </a:ext>
          </a:extLst>
        </xdr:cNvPr>
        <xdr:cNvSpPr>
          <a:spLocks noChangeShapeType="1"/>
        </xdr:cNvSpPr>
      </xdr:nvSpPr>
      <xdr:spPr bwMode="auto">
        <a:xfrm flipH="1">
          <a:off x="4533900" y="15354300"/>
          <a:ext cx="9525" cy="390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704850</xdr:colOff>
      <xdr:row>68</xdr:row>
      <xdr:rowOff>133350</xdr:rowOff>
    </xdr:from>
    <xdr:to>
      <xdr:col>10</xdr:col>
      <xdr:colOff>0</xdr:colOff>
      <xdr:row>69</xdr:row>
      <xdr:rowOff>114300</xdr:rowOff>
    </xdr:to>
    <xdr:sp macro="" textlink="">
      <xdr:nvSpPr>
        <xdr:cNvPr id="22218" name="Line 109">
          <a:extLst>
            <a:ext uri="{FF2B5EF4-FFF2-40B4-BE49-F238E27FC236}">
              <a16:creationId xmlns:a16="http://schemas.microsoft.com/office/drawing/2014/main" id="{00000000-0008-0000-0600-0000CA560000}"/>
            </a:ext>
          </a:extLst>
        </xdr:cNvPr>
        <xdr:cNvSpPr>
          <a:spLocks noChangeShapeType="1"/>
        </xdr:cNvSpPr>
      </xdr:nvSpPr>
      <xdr:spPr bwMode="auto">
        <a:xfrm flipH="1">
          <a:off x="5734050" y="10944225"/>
          <a:ext cx="0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84</xdr:row>
      <xdr:rowOff>19050</xdr:rowOff>
    </xdr:from>
    <xdr:to>
      <xdr:col>10</xdr:col>
      <xdr:colOff>0</xdr:colOff>
      <xdr:row>86</xdr:row>
      <xdr:rowOff>114300</xdr:rowOff>
    </xdr:to>
    <xdr:sp macro="" textlink="">
      <xdr:nvSpPr>
        <xdr:cNvPr id="22219" name="Line 110">
          <a:extLst>
            <a:ext uri="{FF2B5EF4-FFF2-40B4-BE49-F238E27FC236}">
              <a16:creationId xmlns:a16="http://schemas.microsoft.com/office/drawing/2014/main" id="{00000000-0008-0000-0600-0000CB560000}"/>
            </a:ext>
          </a:extLst>
        </xdr:cNvPr>
        <xdr:cNvSpPr>
          <a:spLocks noChangeShapeType="1"/>
        </xdr:cNvSpPr>
      </xdr:nvSpPr>
      <xdr:spPr bwMode="auto">
        <a:xfrm>
          <a:off x="5734050" y="13420725"/>
          <a:ext cx="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87</xdr:row>
      <xdr:rowOff>28575</xdr:rowOff>
    </xdr:from>
    <xdr:to>
      <xdr:col>10</xdr:col>
      <xdr:colOff>0</xdr:colOff>
      <xdr:row>87</xdr:row>
      <xdr:rowOff>152400</xdr:rowOff>
    </xdr:to>
    <xdr:sp macro="" textlink="">
      <xdr:nvSpPr>
        <xdr:cNvPr id="22220" name="Line 112">
          <a:extLst>
            <a:ext uri="{FF2B5EF4-FFF2-40B4-BE49-F238E27FC236}">
              <a16:creationId xmlns:a16="http://schemas.microsoft.com/office/drawing/2014/main" id="{00000000-0008-0000-0600-0000CC560000}"/>
            </a:ext>
          </a:extLst>
        </xdr:cNvPr>
        <xdr:cNvSpPr>
          <a:spLocks noChangeShapeType="1"/>
        </xdr:cNvSpPr>
      </xdr:nvSpPr>
      <xdr:spPr bwMode="auto">
        <a:xfrm>
          <a:off x="5734050" y="13916025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97</xdr:row>
      <xdr:rowOff>76200</xdr:rowOff>
    </xdr:from>
    <xdr:to>
      <xdr:col>10</xdr:col>
      <xdr:colOff>0</xdr:colOff>
      <xdr:row>98</xdr:row>
      <xdr:rowOff>152400</xdr:rowOff>
    </xdr:to>
    <xdr:sp macro="" textlink="">
      <xdr:nvSpPr>
        <xdr:cNvPr id="22221" name="Line 113">
          <a:extLst>
            <a:ext uri="{FF2B5EF4-FFF2-40B4-BE49-F238E27FC236}">
              <a16:creationId xmlns:a16="http://schemas.microsoft.com/office/drawing/2014/main" id="{00000000-0008-0000-0600-0000CD560000}"/>
            </a:ext>
          </a:extLst>
        </xdr:cNvPr>
        <xdr:cNvSpPr>
          <a:spLocks noChangeShapeType="1"/>
        </xdr:cNvSpPr>
      </xdr:nvSpPr>
      <xdr:spPr bwMode="auto">
        <a:xfrm>
          <a:off x="5734050" y="155829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333375</xdr:colOff>
      <xdr:row>99</xdr:row>
      <xdr:rowOff>9525</xdr:rowOff>
    </xdr:from>
    <xdr:to>
      <xdr:col>2</xdr:col>
      <xdr:colOff>333375</xdr:colOff>
      <xdr:row>100</xdr:row>
      <xdr:rowOff>85725</xdr:rowOff>
    </xdr:to>
    <xdr:sp macro="" textlink="">
      <xdr:nvSpPr>
        <xdr:cNvPr id="22222" name="Line 114">
          <a:extLst>
            <a:ext uri="{FF2B5EF4-FFF2-40B4-BE49-F238E27FC236}">
              <a16:creationId xmlns:a16="http://schemas.microsoft.com/office/drawing/2014/main" id="{00000000-0008-0000-0600-0000CE560000}"/>
            </a:ext>
          </a:extLst>
        </xdr:cNvPr>
        <xdr:cNvSpPr>
          <a:spLocks noChangeShapeType="1"/>
        </xdr:cNvSpPr>
      </xdr:nvSpPr>
      <xdr:spPr bwMode="auto">
        <a:xfrm>
          <a:off x="1095375" y="15840075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714375</xdr:colOff>
      <xdr:row>99</xdr:row>
      <xdr:rowOff>9525</xdr:rowOff>
    </xdr:from>
    <xdr:to>
      <xdr:col>5</xdr:col>
      <xdr:colOff>723900</xdr:colOff>
      <xdr:row>101</xdr:row>
      <xdr:rowOff>57150</xdr:rowOff>
    </xdr:to>
    <xdr:sp macro="" textlink="">
      <xdr:nvSpPr>
        <xdr:cNvPr id="22223" name="Line 115">
          <a:extLst>
            <a:ext uri="{FF2B5EF4-FFF2-40B4-BE49-F238E27FC236}">
              <a16:creationId xmlns:a16="http://schemas.microsoft.com/office/drawing/2014/main" id="{00000000-0008-0000-0600-0000CF560000}"/>
            </a:ext>
          </a:extLst>
        </xdr:cNvPr>
        <xdr:cNvSpPr>
          <a:spLocks noChangeShapeType="1"/>
        </xdr:cNvSpPr>
      </xdr:nvSpPr>
      <xdr:spPr bwMode="auto">
        <a:xfrm flipH="1">
          <a:off x="3257550" y="15840075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98</xdr:row>
      <xdr:rowOff>152400</xdr:rowOff>
    </xdr:from>
    <xdr:to>
      <xdr:col>8</xdr:col>
      <xdr:colOff>9525</xdr:colOff>
      <xdr:row>100</xdr:row>
      <xdr:rowOff>142875</xdr:rowOff>
    </xdr:to>
    <xdr:sp macro="" textlink="">
      <xdr:nvSpPr>
        <xdr:cNvPr id="22224" name="Line 116">
          <a:extLst>
            <a:ext uri="{FF2B5EF4-FFF2-40B4-BE49-F238E27FC236}">
              <a16:creationId xmlns:a16="http://schemas.microsoft.com/office/drawing/2014/main" id="{00000000-0008-0000-0600-0000D0560000}"/>
            </a:ext>
          </a:extLst>
        </xdr:cNvPr>
        <xdr:cNvSpPr>
          <a:spLocks noChangeShapeType="1"/>
        </xdr:cNvSpPr>
      </xdr:nvSpPr>
      <xdr:spPr bwMode="auto">
        <a:xfrm>
          <a:off x="4533900" y="17145000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99</xdr:row>
      <xdr:rowOff>47625</xdr:rowOff>
    </xdr:from>
    <xdr:to>
      <xdr:col>10</xdr:col>
      <xdr:colOff>9525</xdr:colOff>
      <xdr:row>101</xdr:row>
      <xdr:rowOff>0</xdr:rowOff>
    </xdr:to>
    <xdr:sp macro="" textlink="">
      <xdr:nvSpPr>
        <xdr:cNvPr id="22225" name="Line 117">
          <a:extLst>
            <a:ext uri="{FF2B5EF4-FFF2-40B4-BE49-F238E27FC236}">
              <a16:creationId xmlns:a16="http://schemas.microsoft.com/office/drawing/2014/main" id="{00000000-0008-0000-0600-0000D1560000}"/>
            </a:ext>
          </a:extLst>
        </xdr:cNvPr>
        <xdr:cNvSpPr>
          <a:spLocks noChangeShapeType="1"/>
        </xdr:cNvSpPr>
      </xdr:nvSpPr>
      <xdr:spPr bwMode="auto">
        <a:xfrm>
          <a:off x="5743575" y="15878175"/>
          <a:ext cx="0" cy="27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76200</xdr:colOff>
      <xdr:row>99</xdr:row>
      <xdr:rowOff>152400</xdr:rowOff>
    </xdr:from>
    <xdr:to>
      <xdr:col>10</xdr:col>
      <xdr:colOff>85725</xdr:colOff>
      <xdr:row>100</xdr:row>
      <xdr:rowOff>0</xdr:rowOff>
    </xdr:to>
    <xdr:sp macro="" textlink="">
      <xdr:nvSpPr>
        <xdr:cNvPr id="22226" name="Line 118">
          <a:extLst>
            <a:ext uri="{FF2B5EF4-FFF2-40B4-BE49-F238E27FC236}">
              <a16:creationId xmlns:a16="http://schemas.microsoft.com/office/drawing/2014/main" id="{00000000-0008-0000-0600-0000D2560000}"/>
            </a:ext>
          </a:extLst>
        </xdr:cNvPr>
        <xdr:cNvSpPr>
          <a:spLocks noChangeShapeType="1"/>
        </xdr:cNvSpPr>
      </xdr:nvSpPr>
      <xdr:spPr bwMode="auto">
        <a:xfrm>
          <a:off x="838200" y="15982950"/>
          <a:ext cx="49815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276225</xdr:colOff>
      <xdr:row>99</xdr:row>
      <xdr:rowOff>95250</xdr:rowOff>
    </xdr:from>
    <xdr:to>
      <xdr:col>2</xdr:col>
      <xdr:colOff>390525</xdr:colOff>
      <xdr:row>100</xdr:row>
      <xdr:rowOff>38100</xdr:rowOff>
    </xdr:to>
    <xdr:sp macro="" textlink="">
      <xdr:nvSpPr>
        <xdr:cNvPr id="22227" name="Line 119">
          <a:extLst>
            <a:ext uri="{FF2B5EF4-FFF2-40B4-BE49-F238E27FC236}">
              <a16:creationId xmlns:a16="http://schemas.microsoft.com/office/drawing/2014/main" id="{00000000-0008-0000-0600-0000D3560000}"/>
            </a:ext>
          </a:extLst>
        </xdr:cNvPr>
        <xdr:cNvSpPr>
          <a:spLocks noChangeShapeType="1"/>
        </xdr:cNvSpPr>
      </xdr:nvSpPr>
      <xdr:spPr bwMode="auto">
        <a:xfrm flipH="1">
          <a:off x="1038225" y="15925800"/>
          <a:ext cx="11430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561975</xdr:colOff>
      <xdr:row>99</xdr:row>
      <xdr:rowOff>85725</xdr:rowOff>
    </xdr:from>
    <xdr:to>
      <xdr:col>2</xdr:col>
      <xdr:colOff>142875</xdr:colOff>
      <xdr:row>100</xdr:row>
      <xdr:rowOff>76200</xdr:rowOff>
    </xdr:to>
    <xdr:sp macro="" textlink="">
      <xdr:nvSpPr>
        <xdr:cNvPr id="22228" name="Line 120">
          <a:extLst>
            <a:ext uri="{FF2B5EF4-FFF2-40B4-BE49-F238E27FC236}">
              <a16:creationId xmlns:a16="http://schemas.microsoft.com/office/drawing/2014/main" id="{00000000-0008-0000-0600-0000D4560000}"/>
            </a:ext>
          </a:extLst>
        </xdr:cNvPr>
        <xdr:cNvSpPr>
          <a:spLocks noChangeShapeType="1"/>
        </xdr:cNvSpPr>
      </xdr:nvSpPr>
      <xdr:spPr bwMode="auto">
        <a:xfrm flipH="1">
          <a:off x="742950" y="17240250"/>
          <a:ext cx="161925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581025</xdr:colOff>
      <xdr:row>99</xdr:row>
      <xdr:rowOff>95250</xdr:rowOff>
    </xdr:from>
    <xdr:to>
      <xdr:col>8</xdr:col>
      <xdr:colOff>76200</xdr:colOff>
      <xdr:row>100</xdr:row>
      <xdr:rowOff>47625</xdr:rowOff>
    </xdr:to>
    <xdr:sp macro="" textlink="">
      <xdr:nvSpPr>
        <xdr:cNvPr id="22229" name="Line 121">
          <a:extLst>
            <a:ext uri="{FF2B5EF4-FFF2-40B4-BE49-F238E27FC236}">
              <a16:creationId xmlns:a16="http://schemas.microsoft.com/office/drawing/2014/main" id="{00000000-0008-0000-0600-0000D5560000}"/>
            </a:ext>
          </a:extLst>
        </xdr:cNvPr>
        <xdr:cNvSpPr>
          <a:spLocks noChangeShapeType="1"/>
        </xdr:cNvSpPr>
      </xdr:nvSpPr>
      <xdr:spPr bwMode="auto">
        <a:xfrm flipH="1">
          <a:off x="4467225" y="17249775"/>
          <a:ext cx="13335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571500</xdr:colOff>
      <xdr:row>99</xdr:row>
      <xdr:rowOff>114300</xdr:rowOff>
    </xdr:from>
    <xdr:to>
      <xdr:col>6</xdr:col>
      <xdr:colOff>76200</xdr:colOff>
      <xdr:row>100</xdr:row>
      <xdr:rowOff>85725</xdr:rowOff>
    </xdr:to>
    <xdr:sp macro="" textlink="">
      <xdr:nvSpPr>
        <xdr:cNvPr id="22230" name="Line 122">
          <a:extLst>
            <a:ext uri="{FF2B5EF4-FFF2-40B4-BE49-F238E27FC236}">
              <a16:creationId xmlns:a16="http://schemas.microsoft.com/office/drawing/2014/main" id="{00000000-0008-0000-0600-0000D6560000}"/>
            </a:ext>
          </a:extLst>
        </xdr:cNvPr>
        <xdr:cNvSpPr>
          <a:spLocks noChangeShapeType="1"/>
        </xdr:cNvSpPr>
      </xdr:nvSpPr>
      <xdr:spPr bwMode="auto">
        <a:xfrm flipH="1">
          <a:off x="4457700" y="15944850"/>
          <a:ext cx="142875" cy="133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533400</xdr:colOff>
      <xdr:row>99</xdr:row>
      <xdr:rowOff>114300</xdr:rowOff>
    </xdr:from>
    <xdr:to>
      <xdr:col>10</xdr:col>
      <xdr:colOff>57150</xdr:colOff>
      <xdr:row>100</xdr:row>
      <xdr:rowOff>47625</xdr:rowOff>
    </xdr:to>
    <xdr:sp macro="" textlink="">
      <xdr:nvSpPr>
        <xdr:cNvPr id="22231" name="Line 123">
          <a:extLst>
            <a:ext uri="{FF2B5EF4-FFF2-40B4-BE49-F238E27FC236}">
              <a16:creationId xmlns:a16="http://schemas.microsoft.com/office/drawing/2014/main" id="{00000000-0008-0000-0600-0000D7560000}"/>
            </a:ext>
          </a:extLst>
        </xdr:cNvPr>
        <xdr:cNvSpPr>
          <a:spLocks noChangeShapeType="1"/>
        </xdr:cNvSpPr>
      </xdr:nvSpPr>
      <xdr:spPr bwMode="auto">
        <a:xfrm flipH="1">
          <a:off x="5686425" y="17268825"/>
          <a:ext cx="10477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276225</xdr:colOff>
      <xdr:row>80</xdr:row>
      <xdr:rowOff>123825</xdr:rowOff>
    </xdr:from>
    <xdr:to>
      <xdr:col>2</xdr:col>
      <xdr:colOff>209550</xdr:colOff>
      <xdr:row>80</xdr:row>
      <xdr:rowOff>123825</xdr:rowOff>
    </xdr:to>
    <xdr:sp macro="" textlink="">
      <xdr:nvSpPr>
        <xdr:cNvPr id="22234" name="Line 126">
          <a:extLst>
            <a:ext uri="{FF2B5EF4-FFF2-40B4-BE49-F238E27FC236}">
              <a16:creationId xmlns:a16="http://schemas.microsoft.com/office/drawing/2014/main" id="{00000000-0008-0000-0600-0000DA560000}"/>
            </a:ext>
          </a:extLst>
        </xdr:cNvPr>
        <xdr:cNvSpPr>
          <a:spLocks noChangeShapeType="1"/>
        </xdr:cNvSpPr>
      </xdr:nvSpPr>
      <xdr:spPr bwMode="auto">
        <a:xfrm>
          <a:off x="457200" y="128778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390525</xdr:colOff>
      <xdr:row>72</xdr:row>
      <xdr:rowOff>142875</xdr:rowOff>
    </xdr:from>
    <xdr:to>
      <xdr:col>2</xdr:col>
      <xdr:colOff>247650</xdr:colOff>
      <xdr:row>72</xdr:row>
      <xdr:rowOff>142875</xdr:rowOff>
    </xdr:to>
    <xdr:sp macro="" textlink="">
      <xdr:nvSpPr>
        <xdr:cNvPr id="22235" name="Line 127">
          <a:extLst>
            <a:ext uri="{FF2B5EF4-FFF2-40B4-BE49-F238E27FC236}">
              <a16:creationId xmlns:a16="http://schemas.microsoft.com/office/drawing/2014/main" id="{00000000-0008-0000-0600-0000DB560000}"/>
            </a:ext>
          </a:extLst>
        </xdr:cNvPr>
        <xdr:cNvSpPr>
          <a:spLocks noChangeShapeType="1"/>
        </xdr:cNvSpPr>
      </xdr:nvSpPr>
      <xdr:spPr bwMode="auto">
        <a:xfrm>
          <a:off x="571500" y="11601450"/>
          <a:ext cx="438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73</xdr:row>
      <xdr:rowOff>0</xdr:rowOff>
    </xdr:from>
    <xdr:to>
      <xdr:col>2</xdr:col>
      <xdr:colOff>0</xdr:colOff>
      <xdr:row>75</xdr:row>
      <xdr:rowOff>114300</xdr:rowOff>
    </xdr:to>
    <xdr:sp macro="" textlink="">
      <xdr:nvSpPr>
        <xdr:cNvPr id="22236" name="Line 128">
          <a:extLst>
            <a:ext uri="{FF2B5EF4-FFF2-40B4-BE49-F238E27FC236}">
              <a16:creationId xmlns:a16="http://schemas.microsoft.com/office/drawing/2014/main" id="{00000000-0008-0000-0600-0000DC560000}"/>
            </a:ext>
          </a:extLst>
        </xdr:cNvPr>
        <xdr:cNvSpPr>
          <a:spLocks noChangeShapeType="1"/>
        </xdr:cNvSpPr>
      </xdr:nvSpPr>
      <xdr:spPr bwMode="auto">
        <a:xfrm flipV="1">
          <a:off x="762000" y="11620500"/>
          <a:ext cx="0" cy="438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571500</xdr:colOff>
      <xdr:row>77</xdr:row>
      <xdr:rowOff>38100</xdr:rowOff>
    </xdr:from>
    <xdr:to>
      <xdr:col>2</xdr:col>
      <xdr:colOff>0</xdr:colOff>
      <xdr:row>80</xdr:row>
      <xdr:rowOff>114300</xdr:rowOff>
    </xdr:to>
    <xdr:sp macro="" textlink="">
      <xdr:nvSpPr>
        <xdr:cNvPr id="22237" name="Line 129">
          <a:extLst>
            <a:ext uri="{FF2B5EF4-FFF2-40B4-BE49-F238E27FC236}">
              <a16:creationId xmlns:a16="http://schemas.microsoft.com/office/drawing/2014/main" id="{00000000-0008-0000-0600-0000DD560000}"/>
            </a:ext>
          </a:extLst>
        </xdr:cNvPr>
        <xdr:cNvSpPr>
          <a:spLocks noChangeShapeType="1"/>
        </xdr:cNvSpPr>
      </xdr:nvSpPr>
      <xdr:spPr bwMode="auto">
        <a:xfrm flipH="1">
          <a:off x="752475" y="12306300"/>
          <a:ext cx="9525" cy="561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104775</xdr:colOff>
      <xdr:row>70</xdr:row>
      <xdr:rowOff>19050</xdr:rowOff>
    </xdr:from>
    <xdr:to>
      <xdr:col>10</xdr:col>
      <xdr:colOff>552450</xdr:colOff>
      <xdr:row>70</xdr:row>
      <xdr:rowOff>28575</xdr:rowOff>
    </xdr:to>
    <xdr:sp macro="" textlink="">
      <xdr:nvSpPr>
        <xdr:cNvPr id="22238" name="Line 130">
          <a:extLst>
            <a:ext uri="{FF2B5EF4-FFF2-40B4-BE49-F238E27FC236}">
              <a16:creationId xmlns:a16="http://schemas.microsoft.com/office/drawing/2014/main" id="{00000000-0008-0000-0600-0000DE560000}"/>
            </a:ext>
          </a:extLst>
        </xdr:cNvPr>
        <xdr:cNvSpPr>
          <a:spLocks noChangeShapeType="1"/>
        </xdr:cNvSpPr>
      </xdr:nvSpPr>
      <xdr:spPr bwMode="auto">
        <a:xfrm>
          <a:off x="5838825" y="11153775"/>
          <a:ext cx="4476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85725</xdr:colOff>
      <xdr:row>83</xdr:row>
      <xdr:rowOff>76200</xdr:rowOff>
    </xdr:from>
    <xdr:to>
      <xdr:col>10</xdr:col>
      <xdr:colOff>514350</xdr:colOff>
      <xdr:row>83</xdr:row>
      <xdr:rowOff>76200</xdr:rowOff>
    </xdr:to>
    <xdr:sp macro="" textlink="">
      <xdr:nvSpPr>
        <xdr:cNvPr id="22239" name="Line 131">
          <a:extLst>
            <a:ext uri="{FF2B5EF4-FFF2-40B4-BE49-F238E27FC236}">
              <a16:creationId xmlns:a16="http://schemas.microsoft.com/office/drawing/2014/main" id="{00000000-0008-0000-0600-0000DF560000}"/>
            </a:ext>
          </a:extLst>
        </xdr:cNvPr>
        <xdr:cNvSpPr>
          <a:spLocks noChangeShapeType="1"/>
        </xdr:cNvSpPr>
      </xdr:nvSpPr>
      <xdr:spPr bwMode="auto">
        <a:xfrm>
          <a:off x="5819775" y="13315950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361950</xdr:colOff>
      <xdr:row>70</xdr:row>
      <xdr:rowOff>0</xdr:rowOff>
    </xdr:from>
    <xdr:to>
      <xdr:col>10</xdr:col>
      <xdr:colOff>371475</xdr:colOff>
      <xdr:row>75</xdr:row>
      <xdr:rowOff>104775</xdr:rowOff>
    </xdr:to>
    <xdr:sp macro="" textlink="">
      <xdr:nvSpPr>
        <xdr:cNvPr id="22240" name="Line 132">
          <a:extLst>
            <a:ext uri="{FF2B5EF4-FFF2-40B4-BE49-F238E27FC236}">
              <a16:creationId xmlns:a16="http://schemas.microsoft.com/office/drawing/2014/main" id="{00000000-0008-0000-0600-0000E0560000}"/>
            </a:ext>
          </a:extLst>
        </xdr:cNvPr>
        <xdr:cNvSpPr>
          <a:spLocks noChangeShapeType="1"/>
        </xdr:cNvSpPr>
      </xdr:nvSpPr>
      <xdr:spPr bwMode="auto">
        <a:xfrm flipH="1" flipV="1">
          <a:off x="6096000" y="11134725"/>
          <a:ext cx="9525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361950</xdr:colOff>
      <xdr:row>77</xdr:row>
      <xdr:rowOff>76200</xdr:rowOff>
    </xdr:from>
    <xdr:to>
      <xdr:col>10</xdr:col>
      <xdr:colOff>361950</xdr:colOff>
      <xdr:row>83</xdr:row>
      <xdr:rowOff>47625</xdr:rowOff>
    </xdr:to>
    <xdr:sp macro="" textlink="">
      <xdr:nvSpPr>
        <xdr:cNvPr id="22241" name="Line 133">
          <a:extLst>
            <a:ext uri="{FF2B5EF4-FFF2-40B4-BE49-F238E27FC236}">
              <a16:creationId xmlns:a16="http://schemas.microsoft.com/office/drawing/2014/main" id="{00000000-0008-0000-0600-0000E1560000}"/>
            </a:ext>
          </a:extLst>
        </xdr:cNvPr>
        <xdr:cNvSpPr>
          <a:spLocks noChangeShapeType="1"/>
        </xdr:cNvSpPr>
      </xdr:nvSpPr>
      <xdr:spPr bwMode="auto">
        <a:xfrm>
          <a:off x="6096000" y="12344400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66675</xdr:colOff>
      <xdr:row>98</xdr:row>
      <xdr:rowOff>123825</xdr:rowOff>
    </xdr:from>
    <xdr:to>
      <xdr:col>2</xdr:col>
      <xdr:colOff>85725</xdr:colOff>
      <xdr:row>100</xdr:row>
      <xdr:rowOff>142875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 bwMode="auto">
        <a:xfrm flipH="1">
          <a:off x="828675" y="17116425"/>
          <a:ext cx="19050" cy="34290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123825</xdr:colOff>
      <xdr:row>85</xdr:row>
      <xdr:rowOff>133350</xdr:rowOff>
    </xdr:from>
    <xdr:to>
      <xdr:col>4</xdr:col>
      <xdr:colOff>342900</xdr:colOff>
      <xdr:row>88</xdr:row>
      <xdr:rowOff>19050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/>
      </xdr:nvCxnSpPr>
      <xdr:spPr bwMode="auto">
        <a:xfrm>
          <a:off x="885825" y="15020925"/>
          <a:ext cx="1504950" cy="371475"/>
        </a:xfrm>
        <a:prstGeom prst="line">
          <a:avLst/>
        </a:prstGeom>
        <a:solidFill>
          <a:srgbClr val="FF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314325</xdr:colOff>
      <xdr:row>87</xdr:row>
      <xdr:rowOff>152400</xdr:rowOff>
    </xdr:from>
    <xdr:to>
      <xdr:col>5</xdr:col>
      <xdr:colOff>200025</xdr:colOff>
      <xdr:row>88</xdr:row>
      <xdr:rowOff>9525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CxnSpPr>
          <a:endCxn id="22161" idx="0"/>
        </xdr:cNvCxnSpPr>
      </xdr:nvCxnSpPr>
      <xdr:spPr bwMode="auto">
        <a:xfrm flipV="1">
          <a:off x="2362200" y="15363825"/>
          <a:ext cx="476250" cy="19050"/>
        </a:xfrm>
        <a:prstGeom prst="line">
          <a:avLst/>
        </a:prstGeom>
        <a:solidFill>
          <a:srgbClr val="FF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342900</xdr:colOff>
      <xdr:row>86</xdr:row>
      <xdr:rowOff>38100</xdr:rowOff>
    </xdr:from>
    <xdr:to>
      <xdr:col>2</xdr:col>
      <xdr:colOff>342900</xdr:colOff>
      <xdr:row>93</xdr:row>
      <xdr:rowOff>152400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CxnSpPr/>
      </xdr:nvCxnSpPr>
      <xdr:spPr bwMode="auto">
        <a:xfrm flipV="1">
          <a:off x="1104900" y="15087600"/>
          <a:ext cx="0" cy="1247775"/>
        </a:xfrm>
        <a:prstGeom prst="straightConnector1">
          <a:avLst/>
        </a:prstGeom>
        <a:solidFill>
          <a:srgbClr val="FFFFFF"/>
        </a:solidFill>
        <a:ln w="12700" cap="flat" cmpd="sng" algn="ctr">
          <a:solidFill>
            <a:srgbClr val="000000"/>
          </a:solidFill>
          <a:prstDash val="solid"/>
          <a:round/>
          <a:headEnd type="arrow"/>
          <a:tailEnd type="arrow"/>
        </a:ln>
        <a:effectLst/>
      </xdr:spPr>
    </xdr:cxnSp>
    <xdr:clientData/>
  </xdr:twoCellAnchor>
  <xdr:twoCellAnchor>
    <xdr:from>
      <xdr:col>3</xdr:col>
      <xdr:colOff>552450</xdr:colOff>
      <xdr:row>99</xdr:row>
      <xdr:rowOff>76200</xdr:rowOff>
    </xdr:from>
    <xdr:to>
      <xdr:col>4</xdr:col>
      <xdr:colOff>95250</xdr:colOff>
      <xdr:row>100</xdr:row>
      <xdr:rowOff>47625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78E5C98-481C-41EB-A359-FAB87AD83E77}"/>
            </a:ext>
          </a:extLst>
        </xdr:cNvPr>
        <xdr:cNvCxnSpPr/>
      </xdr:nvCxnSpPr>
      <xdr:spPr bwMode="auto">
        <a:xfrm flipV="1">
          <a:off x="1962150" y="17230725"/>
          <a:ext cx="180975" cy="1333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69</xdr:row>
      <xdr:rowOff>0</xdr:rowOff>
    </xdr:from>
    <xdr:to>
      <xdr:col>6</xdr:col>
      <xdr:colOff>19050</xdr:colOff>
      <xdr:row>85</xdr:row>
      <xdr:rowOff>28575</xdr:rowOff>
    </xdr:to>
    <xdr:sp macro="" textlink="">
      <xdr:nvSpPr>
        <xdr:cNvPr id="2" name="Line 3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ShapeType="1"/>
        </xdr:cNvSpPr>
      </xdr:nvSpPr>
      <xdr:spPr bwMode="auto">
        <a:xfrm>
          <a:off x="2952750" y="10067925"/>
          <a:ext cx="371475" cy="261937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647700</xdr:colOff>
      <xdr:row>68</xdr:row>
      <xdr:rowOff>152400</xdr:rowOff>
    </xdr:from>
    <xdr:to>
      <xdr:col>4</xdr:col>
      <xdr:colOff>647700</xdr:colOff>
      <xdr:row>85</xdr:row>
      <xdr:rowOff>28575</xdr:rowOff>
    </xdr:to>
    <xdr:sp macro="" textlink="">
      <xdr:nvSpPr>
        <xdr:cNvPr id="3" name="Line 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ShapeType="1"/>
        </xdr:cNvSpPr>
      </xdr:nvSpPr>
      <xdr:spPr bwMode="auto">
        <a:xfrm>
          <a:off x="2571750" y="10058400"/>
          <a:ext cx="0" cy="2628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628650</xdr:colOff>
      <xdr:row>69</xdr:row>
      <xdr:rowOff>0</xdr:rowOff>
    </xdr:from>
    <xdr:to>
      <xdr:col>5</xdr:col>
      <xdr:colOff>352425</xdr:colOff>
      <xdr:row>69</xdr:row>
      <xdr:rowOff>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ShapeType="1"/>
        </xdr:cNvSpPr>
      </xdr:nvSpPr>
      <xdr:spPr bwMode="auto">
        <a:xfrm>
          <a:off x="2552700" y="10067925"/>
          <a:ext cx="381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85</xdr:row>
      <xdr:rowOff>9525</xdr:rowOff>
    </xdr:from>
    <xdr:to>
      <xdr:col>5</xdr:col>
      <xdr:colOff>9525</xdr:colOff>
      <xdr:row>85</xdr:row>
      <xdr:rowOff>9525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>
          <a:spLocks noChangeShapeType="1"/>
        </xdr:cNvSpPr>
      </xdr:nvSpPr>
      <xdr:spPr bwMode="auto">
        <a:xfrm>
          <a:off x="1714500" y="12668250"/>
          <a:ext cx="8763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447675</xdr:colOff>
      <xdr:row>85</xdr:row>
      <xdr:rowOff>28575</xdr:rowOff>
    </xdr:from>
    <xdr:to>
      <xdr:col>3</xdr:col>
      <xdr:colOff>447675</xdr:colOff>
      <xdr:row>88</xdr:row>
      <xdr:rowOff>142875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>
          <a:spLocks noChangeShapeType="1"/>
        </xdr:cNvSpPr>
      </xdr:nvSpPr>
      <xdr:spPr bwMode="auto">
        <a:xfrm>
          <a:off x="1733550" y="12687300"/>
          <a:ext cx="0" cy="60007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89</xdr:row>
      <xdr:rowOff>0</xdr:rowOff>
    </xdr:from>
    <xdr:to>
      <xdr:col>8</xdr:col>
      <xdr:colOff>666750</xdr:colOff>
      <xdr:row>89</xdr:row>
      <xdr:rowOff>9525</xdr:rowOff>
    </xdr:to>
    <xdr:sp macro="" textlink="">
      <xdr:nvSpPr>
        <xdr:cNvPr id="7" name="Line 10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ShapeType="1"/>
        </xdr:cNvSpPr>
      </xdr:nvSpPr>
      <xdr:spPr bwMode="auto">
        <a:xfrm>
          <a:off x="1714500" y="13306425"/>
          <a:ext cx="3533775" cy="95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84</xdr:row>
      <xdr:rowOff>142875</xdr:rowOff>
    </xdr:from>
    <xdr:to>
      <xdr:col>9</xdr:col>
      <xdr:colOff>0</xdr:colOff>
      <xdr:row>89</xdr:row>
      <xdr:rowOff>0</xdr:rowOff>
    </xdr:to>
    <xdr:sp macro="" textlink="">
      <xdr:nvSpPr>
        <xdr:cNvPr id="8" name="Line 11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ShapeType="1"/>
        </xdr:cNvSpPr>
      </xdr:nvSpPr>
      <xdr:spPr bwMode="auto">
        <a:xfrm flipV="1">
          <a:off x="5267325" y="12639675"/>
          <a:ext cx="0" cy="6667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419100</xdr:colOff>
      <xdr:row>91</xdr:row>
      <xdr:rowOff>0</xdr:rowOff>
    </xdr:from>
    <xdr:to>
      <xdr:col>8</xdr:col>
      <xdr:colOff>666750</xdr:colOff>
      <xdr:row>91</xdr:row>
      <xdr:rowOff>0</xdr:rowOff>
    </xdr:to>
    <xdr:sp macro="" textlink="">
      <xdr:nvSpPr>
        <xdr:cNvPr id="9" name="Line 12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ShapeType="1"/>
        </xdr:cNvSpPr>
      </xdr:nvSpPr>
      <xdr:spPr bwMode="auto">
        <a:xfrm>
          <a:off x="1704975" y="13630275"/>
          <a:ext cx="35433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85</xdr:row>
      <xdr:rowOff>0</xdr:rowOff>
    </xdr:from>
    <xdr:to>
      <xdr:col>8</xdr:col>
      <xdr:colOff>676275</xdr:colOff>
      <xdr:row>85</xdr:row>
      <xdr:rowOff>0</xdr:rowOff>
    </xdr:to>
    <xdr:sp macro="" textlink="">
      <xdr:nvSpPr>
        <xdr:cNvPr id="13" name="Line 16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ShapeType="1"/>
        </xdr:cNvSpPr>
      </xdr:nvSpPr>
      <xdr:spPr bwMode="auto">
        <a:xfrm>
          <a:off x="3314700" y="12658725"/>
          <a:ext cx="19431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381000</xdr:colOff>
      <xdr:row>84</xdr:row>
      <xdr:rowOff>152400</xdr:rowOff>
    </xdr:from>
    <xdr:to>
      <xdr:col>10</xdr:col>
      <xdr:colOff>190500</xdr:colOff>
      <xdr:row>85</xdr:row>
      <xdr:rowOff>9525</xdr:rowOff>
    </xdr:to>
    <xdr:sp macro="" textlink="">
      <xdr:nvSpPr>
        <xdr:cNvPr id="14" name="Line 17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ShapeType="1"/>
        </xdr:cNvSpPr>
      </xdr:nvSpPr>
      <xdr:spPr bwMode="auto">
        <a:xfrm flipV="1">
          <a:off x="5648325" y="12649200"/>
          <a:ext cx="371475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361950</xdr:colOff>
      <xdr:row>89</xdr:row>
      <xdr:rowOff>0</xdr:rowOff>
    </xdr:from>
    <xdr:to>
      <xdr:col>10</xdr:col>
      <xdr:colOff>200025</xdr:colOff>
      <xdr:row>89</xdr:row>
      <xdr:rowOff>0</xdr:rowOff>
    </xdr:to>
    <xdr:sp macro="" textlink="">
      <xdr:nvSpPr>
        <xdr:cNvPr id="15" name="Line 18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>
          <a:spLocks noChangeShapeType="1"/>
        </xdr:cNvSpPr>
      </xdr:nvSpPr>
      <xdr:spPr bwMode="auto">
        <a:xfrm>
          <a:off x="5629275" y="13306425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552450</xdr:colOff>
      <xdr:row>84</xdr:row>
      <xdr:rowOff>95250</xdr:rowOff>
    </xdr:from>
    <xdr:to>
      <xdr:col>9</xdr:col>
      <xdr:colOff>552450</xdr:colOff>
      <xdr:row>89</xdr:row>
      <xdr:rowOff>66675</xdr:rowOff>
    </xdr:to>
    <xdr:sp macro="" textlink="">
      <xdr:nvSpPr>
        <xdr:cNvPr id="16" name="Line 19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>
          <a:spLocks noChangeShapeType="1"/>
        </xdr:cNvSpPr>
      </xdr:nvSpPr>
      <xdr:spPr bwMode="auto">
        <a:xfrm>
          <a:off x="5819775" y="12592050"/>
          <a:ext cx="0" cy="781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514350</xdr:colOff>
      <xdr:row>88</xdr:row>
      <xdr:rowOff>104775</xdr:rowOff>
    </xdr:from>
    <xdr:to>
      <xdr:col>10</xdr:col>
      <xdr:colOff>57150</xdr:colOff>
      <xdr:row>89</xdr:row>
      <xdr:rowOff>66675</xdr:rowOff>
    </xdr:to>
    <xdr:sp macro="" textlink="">
      <xdr:nvSpPr>
        <xdr:cNvPr id="17" name="Line 20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>
          <a:spLocks noChangeShapeType="1"/>
        </xdr:cNvSpPr>
      </xdr:nvSpPr>
      <xdr:spPr bwMode="auto">
        <a:xfrm flipH="1">
          <a:off x="5781675" y="13249275"/>
          <a:ext cx="104775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523875</xdr:colOff>
      <xdr:row>84</xdr:row>
      <xdr:rowOff>142875</xdr:rowOff>
    </xdr:from>
    <xdr:to>
      <xdr:col>10</xdr:col>
      <xdr:colOff>28575</xdr:colOff>
      <xdr:row>85</xdr:row>
      <xdr:rowOff>47625</xdr:rowOff>
    </xdr:to>
    <xdr:sp macro="" textlink="">
      <xdr:nvSpPr>
        <xdr:cNvPr id="18" name="Line 21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>
          <a:spLocks noChangeShapeType="1"/>
        </xdr:cNvSpPr>
      </xdr:nvSpPr>
      <xdr:spPr bwMode="auto">
        <a:xfrm flipH="1">
          <a:off x="5791200" y="12639675"/>
          <a:ext cx="6667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533400</xdr:colOff>
      <xdr:row>89</xdr:row>
      <xdr:rowOff>0</xdr:rowOff>
    </xdr:from>
    <xdr:to>
      <xdr:col>3</xdr:col>
      <xdr:colOff>161925</xdr:colOff>
      <xdr:row>89</xdr:row>
      <xdr:rowOff>0</xdr:rowOff>
    </xdr:to>
    <xdr:sp macro="" textlink="">
      <xdr:nvSpPr>
        <xdr:cNvPr id="19" name="Line 22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>
          <a:spLocks noChangeShapeType="1"/>
        </xdr:cNvSpPr>
      </xdr:nvSpPr>
      <xdr:spPr bwMode="auto">
        <a:xfrm>
          <a:off x="1171575" y="1330642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542925</xdr:colOff>
      <xdr:row>69</xdr:row>
      <xdr:rowOff>9525</xdr:rowOff>
    </xdr:from>
    <xdr:to>
      <xdr:col>3</xdr:col>
      <xdr:colOff>133350</xdr:colOff>
      <xdr:row>69</xdr:row>
      <xdr:rowOff>9525</xdr:rowOff>
    </xdr:to>
    <xdr:sp macro="" textlink="">
      <xdr:nvSpPr>
        <xdr:cNvPr id="20" name="Line 23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>
          <a:spLocks noChangeShapeType="1"/>
        </xdr:cNvSpPr>
      </xdr:nvSpPr>
      <xdr:spPr bwMode="auto">
        <a:xfrm>
          <a:off x="1181100" y="1007745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</xdr:colOff>
      <xdr:row>68</xdr:row>
      <xdr:rowOff>114300</xdr:rowOff>
    </xdr:from>
    <xdr:to>
      <xdr:col>3</xdr:col>
      <xdr:colOff>19050</xdr:colOff>
      <xdr:row>89</xdr:row>
      <xdr:rowOff>19050</xdr:rowOff>
    </xdr:to>
    <xdr:sp macro="" textlink="">
      <xdr:nvSpPr>
        <xdr:cNvPr id="21" name="Line 24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>
          <a:spLocks noChangeShapeType="1"/>
        </xdr:cNvSpPr>
      </xdr:nvSpPr>
      <xdr:spPr bwMode="auto">
        <a:xfrm flipH="1">
          <a:off x="1295400" y="10020300"/>
          <a:ext cx="9525" cy="3305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152400</xdr:colOff>
      <xdr:row>85</xdr:row>
      <xdr:rowOff>0</xdr:rowOff>
    </xdr:from>
    <xdr:to>
      <xdr:col>2</xdr:col>
      <xdr:colOff>571500</xdr:colOff>
      <xdr:row>85</xdr:row>
      <xdr:rowOff>0</xdr:rowOff>
    </xdr:to>
    <xdr:sp macro="" textlink="">
      <xdr:nvSpPr>
        <xdr:cNvPr id="22" name="Line 27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>
          <a:spLocks noChangeShapeType="1"/>
        </xdr:cNvSpPr>
      </xdr:nvSpPr>
      <xdr:spPr bwMode="auto">
        <a:xfrm>
          <a:off x="790575" y="1265872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219075</xdr:colOff>
      <xdr:row>69</xdr:row>
      <xdr:rowOff>9525</xdr:rowOff>
    </xdr:from>
    <xdr:to>
      <xdr:col>2</xdr:col>
      <xdr:colOff>561975</xdr:colOff>
      <xdr:row>69</xdr:row>
      <xdr:rowOff>9525</xdr:rowOff>
    </xdr:to>
    <xdr:sp macro="" textlink="">
      <xdr:nvSpPr>
        <xdr:cNvPr id="23" name="Line 28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>
          <a:spLocks noChangeShapeType="1"/>
        </xdr:cNvSpPr>
      </xdr:nvSpPr>
      <xdr:spPr bwMode="auto">
        <a:xfrm>
          <a:off x="857250" y="10077450"/>
          <a:ext cx="342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352425</xdr:colOff>
      <xdr:row>68</xdr:row>
      <xdr:rowOff>57150</xdr:rowOff>
    </xdr:from>
    <xdr:to>
      <xdr:col>2</xdr:col>
      <xdr:colOff>371475</xdr:colOff>
      <xdr:row>85</xdr:row>
      <xdr:rowOff>19050</xdr:rowOff>
    </xdr:to>
    <xdr:sp macro="" textlink="">
      <xdr:nvSpPr>
        <xdr:cNvPr id="24" name="Line 29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>
          <a:spLocks noChangeShapeType="1"/>
        </xdr:cNvSpPr>
      </xdr:nvSpPr>
      <xdr:spPr bwMode="auto">
        <a:xfrm flipH="1">
          <a:off x="990600" y="9963150"/>
          <a:ext cx="19050" cy="2714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542925</xdr:colOff>
      <xdr:row>69</xdr:row>
      <xdr:rowOff>0</xdr:rowOff>
    </xdr:from>
    <xdr:to>
      <xdr:col>9</xdr:col>
      <xdr:colOff>85725</xdr:colOff>
      <xdr:row>69</xdr:row>
      <xdr:rowOff>0</xdr:rowOff>
    </xdr:to>
    <xdr:sp macro="" textlink="">
      <xdr:nvSpPr>
        <xdr:cNvPr id="25" name="Line 3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>
          <a:spLocks noChangeShapeType="1"/>
        </xdr:cNvSpPr>
      </xdr:nvSpPr>
      <xdr:spPr bwMode="auto">
        <a:xfrm>
          <a:off x="3848100" y="10067925"/>
          <a:ext cx="1504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66</xdr:row>
      <xdr:rowOff>114300</xdr:rowOff>
    </xdr:from>
    <xdr:to>
      <xdr:col>5</xdr:col>
      <xdr:colOff>9525</xdr:colOff>
      <xdr:row>68</xdr:row>
      <xdr:rowOff>76200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>
          <a:spLocks noChangeShapeType="1"/>
        </xdr:cNvSpPr>
      </xdr:nvSpPr>
      <xdr:spPr bwMode="auto">
        <a:xfrm flipH="1">
          <a:off x="2581275" y="9696450"/>
          <a:ext cx="9525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371475</xdr:colOff>
      <xdr:row>66</xdr:row>
      <xdr:rowOff>152400</xdr:rowOff>
    </xdr:from>
    <xdr:to>
      <xdr:col>5</xdr:col>
      <xdr:colOff>371475</xdr:colOff>
      <xdr:row>68</xdr:row>
      <xdr:rowOff>95250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>
          <a:spLocks noChangeShapeType="1"/>
        </xdr:cNvSpPr>
      </xdr:nvSpPr>
      <xdr:spPr bwMode="auto">
        <a:xfrm>
          <a:off x="2952750" y="9734550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152400</xdr:colOff>
      <xdr:row>67</xdr:row>
      <xdr:rowOff>152400</xdr:rowOff>
    </xdr:from>
    <xdr:to>
      <xdr:col>4</xdr:col>
      <xdr:colOff>628650</xdr:colOff>
      <xdr:row>67</xdr:row>
      <xdr:rowOff>152400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>
          <a:spLocks noChangeShapeType="1"/>
        </xdr:cNvSpPr>
      </xdr:nvSpPr>
      <xdr:spPr bwMode="auto">
        <a:xfrm>
          <a:off x="2076450" y="9896475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361950</xdr:colOff>
      <xdr:row>67</xdr:row>
      <xdr:rowOff>152400</xdr:rowOff>
    </xdr:from>
    <xdr:to>
      <xdr:col>6</xdr:col>
      <xdr:colOff>57150</xdr:colOff>
      <xdr:row>67</xdr:row>
      <xdr:rowOff>152400</xdr:rowOff>
    </xdr:to>
    <xdr:sp macro="" textlink="">
      <xdr:nvSpPr>
        <xdr:cNvPr id="29" name="Line 42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>
          <a:spLocks noChangeShapeType="1"/>
        </xdr:cNvSpPr>
      </xdr:nvSpPr>
      <xdr:spPr bwMode="auto">
        <a:xfrm flipH="1">
          <a:off x="2943225" y="989647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38100</xdr:colOff>
      <xdr:row>91</xdr:row>
      <xdr:rowOff>0</xdr:rowOff>
    </xdr:from>
    <xdr:to>
      <xdr:col>9</xdr:col>
      <xdr:colOff>314325</xdr:colOff>
      <xdr:row>91</xdr:row>
      <xdr:rowOff>0</xdr:rowOff>
    </xdr:to>
    <xdr:sp macro="" textlink="">
      <xdr:nvSpPr>
        <xdr:cNvPr id="30" name="Line 43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>
          <a:spLocks noChangeShapeType="1"/>
        </xdr:cNvSpPr>
      </xdr:nvSpPr>
      <xdr:spPr bwMode="auto">
        <a:xfrm>
          <a:off x="5305425" y="1363027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19050</xdr:colOff>
      <xdr:row>94</xdr:row>
      <xdr:rowOff>152400</xdr:rowOff>
    </xdr:from>
    <xdr:to>
      <xdr:col>9</xdr:col>
      <xdr:colOff>371475</xdr:colOff>
      <xdr:row>94</xdr:row>
      <xdr:rowOff>152400</xdr:rowOff>
    </xdr:to>
    <xdr:sp macro="" textlink="">
      <xdr:nvSpPr>
        <xdr:cNvPr id="31" name="Line 44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>
          <a:spLocks noChangeShapeType="1"/>
        </xdr:cNvSpPr>
      </xdr:nvSpPr>
      <xdr:spPr bwMode="auto">
        <a:xfrm>
          <a:off x="5286375" y="15640050"/>
          <a:ext cx="352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57150</xdr:colOff>
      <xdr:row>91</xdr:row>
      <xdr:rowOff>9525</xdr:rowOff>
    </xdr:from>
    <xdr:to>
      <xdr:col>3</xdr:col>
      <xdr:colOff>295275</xdr:colOff>
      <xdr:row>91</xdr:row>
      <xdr:rowOff>9525</xdr:rowOff>
    </xdr:to>
    <xdr:sp macro="" textlink="">
      <xdr:nvSpPr>
        <xdr:cNvPr id="33" name="Line 46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>
          <a:spLocks noChangeShapeType="1"/>
        </xdr:cNvSpPr>
      </xdr:nvSpPr>
      <xdr:spPr bwMode="auto">
        <a:xfrm>
          <a:off x="1343025" y="1363980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94</xdr:row>
      <xdr:rowOff>0</xdr:rowOff>
    </xdr:from>
    <xdr:to>
      <xdr:col>3</xdr:col>
      <xdr:colOff>371475</xdr:colOff>
      <xdr:row>94</xdr:row>
      <xdr:rowOff>0</xdr:rowOff>
    </xdr:to>
    <xdr:sp macro="" textlink="">
      <xdr:nvSpPr>
        <xdr:cNvPr id="34" name="Line 47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>
          <a:spLocks noChangeShapeType="1"/>
        </xdr:cNvSpPr>
      </xdr:nvSpPr>
      <xdr:spPr bwMode="auto">
        <a:xfrm>
          <a:off x="1323975" y="1548765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371475</xdr:colOff>
      <xdr:row>98</xdr:row>
      <xdr:rowOff>152400</xdr:rowOff>
    </xdr:from>
    <xdr:to>
      <xdr:col>8</xdr:col>
      <xdr:colOff>676275</xdr:colOff>
      <xdr:row>99</xdr:row>
      <xdr:rowOff>0</xdr:rowOff>
    </xdr:to>
    <xdr:sp macro="" textlink="">
      <xdr:nvSpPr>
        <xdr:cNvPr id="36" name="Line 51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>
          <a:spLocks noChangeShapeType="1"/>
        </xdr:cNvSpPr>
      </xdr:nvSpPr>
      <xdr:spPr bwMode="auto">
        <a:xfrm>
          <a:off x="1657350" y="14992350"/>
          <a:ext cx="36004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390525</xdr:colOff>
      <xdr:row>98</xdr:row>
      <xdr:rowOff>76200</xdr:rowOff>
    </xdr:from>
    <xdr:to>
      <xdr:col>3</xdr:col>
      <xdr:colOff>390525</xdr:colOff>
      <xdr:row>99</xdr:row>
      <xdr:rowOff>133350</xdr:rowOff>
    </xdr:to>
    <xdr:sp macro="" textlink="">
      <xdr:nvSpPr>
        <xdr:cNvPr id="37" name="Line 52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>
          <a:spLocks noChangeShapeType="1"/>
        </xdr:cNvSpPr>
      </xdr:nvSpPr>
      <xdr:spPr bwMode="auto">
        <a:xfrm>
          <a:off x="1676400" y="14916150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676275</xdr:colOff>
      <xdr:row>98</xdr:row>
      <xdr:rowOff>19050</xdr:rowOff>
    </xdr:from>
    <xdr:to>
      <xdr:col>8</xdr:col>
      <xdr:colOff>676275</xdr:colOff>
      <xdr:row>100</xdr:row>
      <xdr:rowOff>9525</xdr:rowOff>
    </xdr:to>
    <xdr:sp macro="" textlink="">
      <xdr:nvSpPr>
        <xdr:cNvPr id="38" name="Line 5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>
          <a:spLocks noChangeShapeType="1"/>
        </xdr:cNvSpPr>
      </xdr:nvSpPr>
      <xdr:spPr bwMode="auto">
        <a:xfrm>
          <a:off x="5257800" y="14859000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98</xdr:row>
      <xdr:rowOff>66675</xdr:rowOff>
    </xdr:from>
    <xdr:to>
      <xdr:col>5</xdr:col>
      <xdr:colOff>0</xdr:colOff>
      <xdr:row>99</xdr:row>
      <xdr:rowOff>152400</xdr:rowOff>
    </xdr:to>
    <xdr:sp macro="" textlink="">
      <xdr:nvSpPr>
        <xdr:cNvPr id="39" name="Line 5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>
          <a:spLocks noChangeShapeType="1"/>
        </xdr:cNvSpPr>
      </xdr:nvSpPr>
      <xdr:spPr bwMode="auto">
        <a:xfrm>
          <a:off x="2581275" y="14906625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361950</xdr:colOff>
      <xdr:row>98</xdr:row>
      <xdr:rowOff>114300</xdr:rowOff>
    </xdr:from>
    <xdr:to>
      <xdr:col>3</xdr:col>
      <xdr:colOff>457200</xdr:colOff>
      <xdr:row>99</xdr:row>
      <xdr:rowOff>66675</xdr:rowOff>
    </xdr:to>
    <xdr:sp macro="" textlink="">
      <xdr:nvSpPr>
        <xdr:cNvPr id="40" name="Line 56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>
          <a:spLocks noChangeShapeType="1"/>
        </xdr:cNvSpPr>
      </xdr:nvSpPr>
      <xdr:spPr bwMode="auto">
        <a:xfrm flipH="1">
          <a:off x="1647825" y="14954250"/>
          <a:ext cx="9525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628650</xdr:colOff>
      <xdr:row>98</xdr:row>
      <xdr:rowOff>104775</xdr:rowOff>
    </xdr:from>
    <xdr:to>
      <xdr:col>9</xdr:col>
      <xdr:colOff>85725</xdr:colOff>
      <xdr:row>99</xdr:row>
      <xdr:rowOff>47625</xdr:rowOff>
    </xdr:to>
    <xdr:sp macro="" textlink="">
      <xdr:nvSpPr>
        <xdr:cNvPr id="41" name="Line 59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>
          <a:spLocks noChangeShapeType="1"/>
        </xdr:cNvSpPr>
      </xdr:nvSpPr>
      <xdr:spPr bwMode="auto">
        <a:xfrm flipH="1">
          <a:off x="5210175" y="14944725"/>
          <a:ext cx="142875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390525</xdr:colOff>
      <xdr:row>100</xdr:row>
      <xdr:rowOff>152400</xdr:rowOff>
    </xdr:from>
    <xdr:to>
      <xdr:col>9</xdr:col>
      <xdr:colOff>47625</xdr:colOff>
      <xdr:row>101</xdr:row>
      <xdr:rowOff>0</xdr:rowOff>
    </xdr:to>
    <xdr:sp macro="" textlink="">
      <xdr:nvSpPr>
        <xdr:cNvPr id="42" name="Line 60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>
          <a:spLocks noChangeShapeType="1"/>
        </xdr:cNvSpPr>
      </xdr:nvSpPr>
      <xdr:spPr bwMode="auto">
        <a:xfrm>
          <a:off x="1676400" y="15316200"/>
          <a:ext cx="36385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390525</xdr:colOff>
      <xdr:row>100</xdr:row>
      <xdr:rowOff>76200</xdr:rowOff>
    </xdr:from>
    <xdr:to>
      <xdr:col>3</xdr:col>
      <xdr:colOff>390525</xdr:colOff>
      <xdr:row>101</xdr:row>
      <xdr:rowOff>114300</xdr:rowOff>
    </xdr:to>
    <xdr:sp macro="" textlink="">
      <xdr:nvSpPr>
        <xdr:cNvPr id="43" name="Line 61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>
          <a:spLocks noChangeShapeType="1"/>
        </xdr:cNvSpPr>
      </xdr:nvSpPr>
      <xdr:spPr bwMode="auto">
        <a:xfrm>
          <a:off x="1676400" y="15240000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676275</xdr:colOff>
      <xdr:row>100</xdr:row>
      <xdr:rowOff>47625</xdr:rowOff>
    </xdr:from>
    <xdr:to>
      <xdr:col>9</xdr:col>
      <xdr:colOff>0</xdr:colOff>
      <xdr:row>101</xdr:row>
      <xdr:rowOff>123825</xdr:rowOff>
    </xdr:to>
    <xdr:sp macro="" textlink="">
      <xdr:nvSpPr>
        <xdr:cNvPr id="44" name="Line 62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>
          <a:spLocks noChangeShapeType="1"/>
        </xdr:cNvSpPr>
      </xdr:nvSpPr>
      <xdr:spPr bwMode="auto">
        <a:xfrm flipH="1">
          <a:off x="5257800" y="15211425"/>
          <a:ext cx="9525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333375</xdr:colOff>
      <xdr:row>100</xdr:row>
      <xdr:rowOff>123825</xdr:rowOff>
    </xdr:from>
    <xdr:to>
      <xdr:col>3</xdr:col>
      <xdr:colOff>447675</xdr:colOff>
      <xdr:row>101</xdr:row>
      <xdr:rowOff>47625</xdr:rowOff>
    </xdr:to>
    <xdr:sp macro="" textlink="">
      <xdr:nvSpPr>
        <xdr:cNvPr id="45" name="Line 63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>
          <a:spLocks noChangeShapeType="1"/>
        </xdr:cNvSpPr>
      </xdr:nvSpPr>
      <xdr:spPr bwMode="auto">
        <a:xfrm flipH="1">
          <a:off x="1619250" y="15287625"/>
          <a:ext cx="11430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600075</xdr:colOff>
      <xdr:row>100</xdr:row>
      <xdr:rowOff>104775</xdr:rowOff>
    </xdr:from>
    <xdr:to>
      <xdr:col>9</xdr:col>
      <xdr:colOff>76200</xdr:colOff>
      <xdr:row>101</xdr:row>
      <xdr:rowOff>47625</xdr:rowOff>
    </xdr:to>
    <xdr:sp macro="" textlink="">
      <xdr:nvSpPr>
        <xdr:cNvPr id="46" name="Line 64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>
          <a:spLocks noChangeShapeType="1"/>
        </xdr:cNvSpPr>
      </xdr:nvSpPr>
      <xdr:spPr bwMode="auto">
        <a:xfrm flipH="1">
          <a:off x="5181600" y="15268575"/>
          <a:ext cx="161925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98</xdr:row>
      <xdr:rowOff>38100</xdr:rowOff>
    </xdr:from>
    <xdr:to>
      <xdr:col>6</xdr:col>
      <xdr:colOff>9525</xdr:colOff>
      <xdr:row>100</xdr:row>
      <xdr:rowOff>19050</xdr:rowOff>
    </xdr:to>
    <xdr:sp macro="" textlink="">
      <xdr:nvSpPr>
        <xdr:cNvPr id="47" name="Line 65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>
          <a:spLocks noChangeShapeType="1"/>
        </xdr:cNvSpPr>
      </xdr:nvSpPr>
      <xdr:spPr bwMode="auto">
        <a:xfrm>
          <a:off x="3305175" y="14878050"/>
          <a:ext cx="9525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419100</xdr:colOff>
      <xdr:row>91</xdr:row>
      <xdr:rowOff>0</xdr:rowOff>
    </xdr:from>
    <xdr:to>
      <xdr:col>3</xdr:col>
      <xdr:colOff>438150</xdr:colOff>
      <xdr:row>94</xdr:row>
      <xdr:rowOff>9525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CxnSpPr>
          <a:stCxn id="9" idx="0"/>
        </xdr:cNvCxnSpPr>
      </xdr:nvCxnSpPr>
      <xdr:spPr bwMode="auto">
        <a:xfrm>
          <a:off x="1704975" y="14925675"/>
          <a:ext cx="19050" cy="57150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438150</xdr:colOff>
      <xdr:row>94</xdr:row>
      <xdr:rowOff>9525</xdr:rowOff>
    </xdr:from>
    <xdr:to>
      <xdr:col>9</xdr:col>
      <xdr:colOff>9525</xdr:colOff>
      <xdr:row>94</xdr:row>
      <xdr:rowOff>133350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 bwMode="auto">
        <a:xfrm>
          <a:off x="1724025" y="15497175"/>
          <a:ext cx="3552825" cy="123825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0</xdr:colOff>
      <xdr:row>91</xdr:row>
      <xdr:rowOff>9525</xdr:rowOff>
    </xdr:from>
    <xdr:to>
      <xdr:col>9</xdr:col>
      <xdr:colOff>9525</xdr:colOff>
      <xdr:row>94</xdr:row>
      <xdr:rowOff>152400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CxnSpPr/>
      </xdr:nvCxnSpPr>
      <xdr:spPr bwMode="auto">
        <a:xfrm>
          <a:off x="5267325" y="14935200"/>
          <a:ext cx="9525" cy="70485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152400</xdr:colOff>
      <xdr:row>90</xdr:row>
      <xdr:rowOff>38100</xdr:rowOff>
    </xdr:from>
    <xdr:to>
      <xdr:col>9</xdr:col>
      <xdr:colOff>171450</xdr:colOff>
      <xdr:row>95</xdr:row>
      <xdr:rowOff>104775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CxnSpPr/>
      </xdr:nvCxnSpPr>
      <xdr:spPr bwMode="auto">
        <a:xfrm>
          <a:off x="5419725" y="14801850"/>
          <a:ext cx="19050" cy="95250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142875</xdr:colOff>
      <xdr:row>90</xdr:row>
      <xdr:rowOff>66675</xdr:rowOff>
    </xdr:from>
    <xdr:to>
      <xdr:col>3</xdr:col>
      <xdr:colOff>152400</xdr:colOff>
      <xdr:row>94</xdr:row>
      <xdr:rowOff>114300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/>
      </xdr:nvCxnSpPr>
      <xdr:spPr bwMode="auto">
        <a:xfrm>
          <a:off x="1428750" y="14830425"/>
          <a:ext cx="9525" cy="771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72</xdr:row>
      <xdr:rowOff>0</xdr:rowOff>
    </xdr:from>
    <xdr:to>
      <xdr:col>6</xdr:col>
      <xdr:colOff>19050</xdr:colOff>
      <xdr:row>88</xdr:row>
      <xdr:rowOff>28575</xdr:rowOff>
    </xdr:to>
    <xdr:sp macro="" textlink="">
      <xdr:nvSpPr>
        <xdr:cNvPr id="2" name="Line 3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ShapeType="1"/>
        </xdr:cNvSpPr>
      </xdr:nvSpPr>
      <xdr:spPr bwMode="auto">
        <a:xfrm>
          <a:off x="2981325" y="10067925"/>
          <a:ext cx="371475" cy="261937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647700</xdr:colOff>
      <xdr:row>71</xdr:row>
      <xdr:rowOff>152400</xdr:rowOff>
    </xdr:from>
    <xdr:to>
      <xdr:col>4</xdr:col>
      <xdr:colOff>647700</xdr:colOff>
      <xdr:row>88</xdr:row>
      <xdr:rowOff>28575</xdr:rowOff>
    </xdr:to>
    <xdr:sp macro="" textlink="">
      <xdr:nvSpPr>
        <xdr:cNvPr id="3" name="Line 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ShapeType="1"/>
        </xdr:cNvSpPr>
      </xdr:nvSpPr>
      <xdr:spPr bwMode="auto">
        <a:xfrm>
          <a:off x="2600325" y="10058400"/>
          <a:ext cx="0" cy="2628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628650</xdr:colOff>
      <xdr:row>72</xdr:row>
      <xdr:rowOff>0</xdr:rowOff>
    </xdr:from>
    <xdr:to>
      <xdr:col>5</xdr:col>
      <xdr:colOff>352425</xdr:colOff>
      <xdr:row>72</xdr:row>
      <xdr:rowOff>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>
          <a:spLocks noChangeShapeType="1"/>
        </xdr:cNvSpPr>
      </xdr:nvSpPr>
      <xdr:spPr bwMode="auto">
        <a:xfrm>
          <a:off x="2581275" y="10067925"/>
          <a:ext cx="381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88</xdr:row>
      <xdr:rowOff>9525</xdr:rowOff>
    </xdr:from>
    <xdr:to>
      <xdr:col>5</xdr:col>
      <xdr:colOff>9525</xdr:colOff>
      <xdr:row>88</xdr:row>
      <xdr:rowOff>9525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>
          <a:spLocks noChangeShapeType="1"/>
        </xdr:cNvSpPr>
      </xdr:nvSpPr>
      <xdr:spPr bwMode="auto">
        <a:xfrm>
          <a:off x="1714500" y="12668250"/>
          <a:ext cx="904875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447675</xdr:colOff>
      <xdr:row>88</xdr:row>
      <xdr:rowOff>28575</xdr:rowOff>
    </xdr:from>
    <xdr:to>
      <xdr:col>3</xdr:col>
      <xdr:colOff>447675</xdr:colOff>
      <xdr:row>91</xdr:row>
      <xdr:rowOff>142875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>
          <a:spLocks noChangeShapeType="1"/>
        </xdr:cNvSpPr>
      </xdr:nvSpPr>
      <xdr:spPr bwMode="auto">
        <a:xfrm>
          <a:off x="1733550" y="12687300"/>
          <a:ext cx="0" cy="60007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428625</xdr:colOff>
      <xdr:row>92</xdr:row>
      <xdr:rowOff>0</xdr:rowOff>
    </xdr:from>
    <xdr:to>
      <xdr:col>8</xdr:col>
      <xdr:colOff>666750</xdr:colOff>
      <xdr:row>92</xdr:row>
      <xdr:rowOff>9525</xdr:rowOff>
    </xdr:to>
    <xdr:sp macro="" textlink="">
      <xdr:nvSpPr>
        <xdr:cNvPr id="7" name="Line 10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ShapeType="1"/>
        </xdr:cNvSpPr>
      </xdr:nvSpPr>
      <xdr:spPr bwMode="auto">
        <a:xfrm>
          <a:off x="1714500" y="13306425"/>
          <a:ext cx="3562350" cy="95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87</xdr:row>
      <xdr:rowOff>142875</xdr:rowOff>
    </xdr:from>
    <xdr:to>
      <xdr:col>9</xdr:col>
      <xdr:colOff>0</xdr:colOff>
      <xdr:row>92</xdr:row>
      <xdr:rowOff>0</xdr:rowOff>
    </xdr:to>
    <xdr:sp macro="" textlink="">
      <xdr:nvSpPr>
        <xdr:cNvPr id="8" name="Line 11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>
          <a:spLocks noChangeShapeType="1"/>
        </xdr:cNvSpPr>
      </xdr:nvSpPr>
      <xdr:spPr bwMode="auto">
        <a:xfrm flipV="1">
          <a:off x="5295900" y="12639675"/>
          <a:ext cx="0" cy="6667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419100</xdr:colOff>
      <xdr:row>94</xdr:row>
      <xdr:rowOff>0</xdr:rowOff>
    </xdr:from>
    <xdr:to>
      <xdr:col>8</xdr:col>
      <xdr:colOff>666750</xdr:colOff>
      <xdr:row>94</xdr:row>
      <xdr:rowOff>0</xdr:rowOff>
    </xdr:to>
    <xdr:sp macro="" textlink="">
      <xdr:nvSpPr>
        <xdr:cNvPr id="9" name="Line 1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>
          <a:spLocks noChangeShapeType="1"/>
        </xdr:cNvSpPr>
      </xdr:nvSpPr>
      <xdr:spPr bwMode="auto">
        <a:xfrm>
          <a:off x="1704975" y="13630275"/>
          <a:ext cx="3571875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88</xdr:row>
      <xdr:rowOff>0</xdr:rowOff>
    </xdr:from>
    <xdr:to>
      <xdr:col>8</xdr:col>
      <xdr:colOff>676275</xdr:colOff>
      <xdr:row>88</xdr:row>
      <xdr:rowOff>0</xdr:rowOff>
    </xdr:to>
    <xdr:sp macro="" textlink="">
      <xdr:nvSpPr>
        <xdr:cNvPr id="13" name="Line 16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>
          <a:spLocks noChangeShapeType="1"/>
        </xdr:cNvSpPr>
      </xdr:nvSpPr>
      <xdr:spPr bwMode="auto">
        <a:xfrm>
          <a:off x="3343275" y="12658725"/>
          <a:ext cx="19431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381000</xdr:colOff>
      <xdr:row>87</xdr:row>
      <xdr:rowOff>152400</xdr:rowOff>
    </xdr:from>
    <xdr:to>
      <xdr:col>10</xdr:col>
      <xdr:colOff>190500</xdr:colOff>
      <xdr:row>88</xdr:row>
      <xdr:rowOff>9525</xdr:rowOff>
    </xdr:to>
    <xdr:sp macro="" textlink="">
      <xdr:nvSpPr>
        <xdr:cNvPr id="14" name="Line 17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>
          <a:spLocks noChangeShapeType="1"/>
        </xdr:cNvSpPr>
      </xdr:nvSpPr>
      <xdr:spPr bwMode="auto">
        <a:xfrm flipV="1">
          <a:off x="5676900" y="12649200"/>
          <a:ext cx="371475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361950</xdr:colOff>
      <xdr:row>92</xdr:row>
      <xdr:rowOff>0</xdr:rowOff>
    </xdr:from>
    <xdr:to>
      <xdr:col>10</xdr:col>
      <xdr:colOff>200025</xdr:colOff>
      <xdr:row>92</xdr:row>
      <xdr:rowOff>0</xdr:rowOff>
    </xdr:to>
    <xdr:sp macro="" textlink="">
      <xdr:nvSpPr>
        <xdr:cNvPr id="15" name="Line 18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>
          <a:spLocks noChangeShapeType="1"/>
        </xdr:cNvSpPr>
      </xdr:nvSpPr>
      <xdr:spPr bwMode="auto">
        <a:xfrm>
          <a:off x="5657850" y="13306425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542925</xdr:colOff>
      <xdr:row>87</xdr:row>
      <xdr:rowOff>95250</xdr:rowOff>
    </xdr:from>
    <xdr:to>
      <xdr:col>9</xdr:col>
      <xdr:colOff>542925</xdr:colOff>
      <xdr:row>92</xdr:row>
      <xdr:rowOff>66675</xdr:rowOff>
    </xdr:to>
    <xdr:sp macro="" textlink="">
      <xdr:nvSpPr>
        <xdr:cNvPr id="16" name="Line 19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>
          <a:spLocks noChangeShapeType="1"/>
        </xdr:cNvSpPr>
      </xdr:nvSpPr>
      <xdr:spPr bwMode="auto">
        <a:xfrm>
          <a:off x="5838825" y="12592050"/>
          <a:ext cx="0" cy="781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514350</xdr:colOff>
      <xdr:row>91</xdr:row>
      <xdr:rowOff>104775</xdr:rowOff>
    </xdr:from>
    <xdr:to>
      <xdr:col>10</xdr:col>
      <xdr:colOff>57150</xdr:colOff>
      <xdr:row>92</xdr:row>
      <xdr:rowOff>66675</xdr:rowOff>
    </xdr:to>
    <xdr:sp macro="" textlink="">
      <xdr:nvSpPr>
        <xdr:cNvPr id="17" name="Line 20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>
          <a:spLocks noChangeShapeType="1"/>
        </xdr:cNvSpPr>
      </xdr:nvSpPr>
      <xdr:spPr bwMode="auto">
        <a:xfrm flipH="1">
          <a:off x="5810250" y="13249275"/>
          <a:ext cx="104775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523875</xdr:colOff>
      <xdr:row>87</xdr:row>
      <xdr:rowOff>142875</xdr:rowOff>
    </xdr:from>
    <xdr:to>
      <xdr:col>10</xdr:col>
      <xdr:colOff>28575</xdr:colOff>
      <xdr:row>88</xdr:row>
      <xdr:rowOff>47625</xdr:rowOff>
    </xdr:to>
    <xdr:sp macro="" textlink="">
      <xdr:nvSpPr>
        <xdr:cNvPr id="18" name="Line 2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>
          <a:spLocks noChangeShapeType="1"/>
        </xdr:cNvSpPr>
      </xdr:nvSpPr>
      <xdr:spPr bwMode="auto">
        <a:xfrm flipH="1">
          <a:off x="5819775" y="12639675"/>
          <a:ext cx="6667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533400</xdr:colOff>
      <xdr:row>92</xdr:row>
      <xdr:rowOff>0</xdr:rowOff>
    </xdr:from>
    <xdr:to>
      <xdr:col>3</xdr:col>
      <xdr:colOff>161925</xdr:colOff>
      <xdr:row>92</xdr:row>
      <xdr:rowOff>0</xdr:rowOff>
    </xdr:to>
    <xdr:sp macro="" textlink="">
      <xdr:nvSpPr>
        <xdr:cNvPr id="19" name="Line 22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>
          <a:spLocks noChangeShapeType="1"/>
        </xdr:cNvSpPr>
      </xdr:nvSpPr>
      <xdr:spPr bwMode="auto">
        <a:xfrm>
          <a:off x="1171575" y="1330642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542925</xdr:colOff>
      <xdr:row>72</xdr:row>
      <xdr:rowOff>9525</xdr:rowOff>
    </xdr:from>
    <xdr:to>
      <xdr:col>3</xdr:col>
      <xdr:colOff>133350</xdr:colOff>
      <xdr:row>72</xdr:row>
      <xdr:rowOff>9525</xdr:rowOff>
    </xdr:to>
    <xdr:sp macro="" textlink="">
      <xdr:nvSpPr>
        <xdr:cNvPr id="20" name="Line 23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>
          <a:spLocks noChangeShapeType="1"/>
        </xdr:cNvSpPr>
      </xdr:nvSpPr>
      <xdr:spPr bwMode="auto">
        <a:xfrm>
          <a:off x="1181100" y="1007745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</xdr:colOff>
      <xdr:row>71</xdr:row>
      <xdr:rowOff>114300</xdr:rowOff>
    </xdr:from>
    <xdr:to>
      <xdr:col>3</xdr:col>
      <xdr:colOff>19050</xdr:colOff>
      <xdr:row>92</xdr:row>
      <xdr:rowOff>19050</xdr:rowOff>
    </xdr:to>
    <xdr:sp macro="" textlink="">
      <xdr:nvSpPr>
        <xdr:cNvPr id="21" name="Line 24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>
          <a:spLocks noChangeShapeType="1"/>
        </xdr:cNvSpPr>
      </xdr:nvSpPr>
      <xdr:spPr bwMode="auto">
        <a:xfrm flipH="1">
          <a:off x="1295400" y="10020300"/>
          <a:ext cx="9525" cy="3305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152400</xdr:colOff>
      <xdr:row>88</xdr:row>
      <xdr:rowOff>0</xdr:rowOff>
    </xdr:from>
    <xdr:to>
      <xdr:col>2</xdr:col>
      <xdr:colOff>571500</xdr:colOff>
      <xdr:row>88</xdr:row>
      <xdr:rowOff>0</xdr:rowOff>
    </xdr:to>
    <xdr:sp macro="" textlink="">
      <xdr:nvSpPr>
        <xdr:cNvPr id="22" name="Line 27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>
          <a:spLocks noChangeShapeType="1"/>
        </xdr:cNvSpPr>
      </xdr:nvSpPr>
      <xdr:spPr bwMode="auto">
        <a:xfrm>
          <a:off x="790575" y="1265872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219075</xdr:colOff>
      <xdr:row>72</xdr:row>
      <xdr:rowOff>9525</xdr:rowOff>
    </xdr:from>
    <xdr:to>
      <xdr:col>2</xdr:col>
      <xdr:colOff>561975</xdr:colOff>
      <xdr:row>72</xdr:row>
      <xdr:rowOff>9525</xdr:rowOff>
    </xdr:to>
    <xdr:sp macro="" textlink="">
      <xdr:nvSpPr>
        <xdr:cNvPr id="23" name="Line 28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>
          <a:spLocks noChangeShapeType="1"/>
        </xdr:cNvSpPr>
      </xdr:nvSpPr>
      <xdr:spPr bwMode="auto">
        <a:xfrm>
          <a:off x="857250" y="10077450"/>
          <a:ext cx="342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352425</xdr:colOff>
      <xdr:row>71</xdr:row>
      <xdr:rowOff>57150</xdr:rowOff>
    </xdr:from>
    <xdr:to>
      <xdr:col>2</xdr:col>
      <xdr:colOff>371475</xdr:colOff>
      <xdr:row>88</xdr:row>
      <xdr:rowOff>19050</xdr:rowOff>
    </xdr:to>
    <xdr:sp macro="" textlink="">
      <xdr:nvSpPr>
        <xdr:cNvPr id="24" name="Line 29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>
          <a:spLocks noChangeShapeType="1"/>
        </xdr:cNvSpPr>
      </xdr:nvSpPr>
      <xdr:spPr bwMode="auto">
        <a:xfrm flipH="1">
          <a:off x="990600" y="9963150"/>
          <a:ext cx="19050" cy="2714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542925</xdr:colOff>
      <xdr:row>72</xdr:row>
      <xdr:rowOff>0</xdr:rowOff>
    </xdr:from>
    <xdr:to>
      <xdr:col>9</xdr:col>
      <xdr:colOff>85725</xdr:colOff>
      <xdr:row>72</xdr:row>
      <xdr:rowOff>0</xdr:rowOff>
    </xdr:to>
    <xdr:sp macro="" textlink="">
      <xdr:nvSpPr>
        <xdr:cNvPr id="25" name="Line 3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>
          <a:spLocks noChangeShapeType="1"/>
        </xdr:cNvSpPr>
      </xdr:nvSpPr>
      <xdr:spPr bwMode="auto">
        <a:xfrm>
          <a:off x="3876675" y="10067925"/>
          <a:ext cx="1504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69</xdr:row>
      <xdr:rowOff>114300</xdr:rowOff>
    </xdr:from>
    <xdr:to>
      <xdr:col>5</xdr:col>
      <xdr:colOff>9525</xdr:colOff>
      <xdr:row>71</xdr:row>
      <xdr:rowOff>76200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>
          <a:spLocks noChangeShapeType="1"/>
        </xdr:cNvSpPr>
      </xdr:nvSpPr>
      <xdr:spPr bwMode="auto">
        <a:xfrm flipH="1">
          <a:off x="2609850" y="9696450"/>
          <a:ext cx="9525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371475</xdr:colOff>
      <xdr:row>69</xdr:row>
      <xdr:rowOff>152400</xdr:rowOff>
    </xdr:from>
    <xdr:to>
      <xdr:col>5</xdr:col>
      <xdr:colOff>371475</xdr:colOff>
      <xdr:row>71</xdr:row>
      <xdr:rowOff>95250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>
          <a:spLocks noChangeShapeType="1"/>
        </xdr:cNvSpPr>
      </xdr:nvSpPr>
      <xdr:spPr bwMode="auto">
        <a:xfrm>
          <a:off x="2981325" y="9734550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152400</xdr:colOff>
      <xdr:row>70</xdr:row>
      <xdr:rowOff>152400</xdr:rowOff>
    </xdr:from>
    <xdr:to>
      <xdr:col>4</xdr:col>
      <xdr:colOff>628650</xdr:colOff>
      <xdr:row>70</xdr:row>
      <xdr:rowOff>152400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>
          <a:spLocks noChangeShapeType="1"/>
        </xdr:cNvSpPr>
      </xdr:nvSpPr>
      <xdr:spPr bwMode="auto">
        <a:xfrm>
          <a:off x="2105025" y="9896475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361950</xdr:colOff>
      <xdr:row>70</xdr:row>
      <xdr:rowOff>152400</xdr:rowOff>
    </xdr:from>
    <xdr:to>
      <xdr:col>6</xdr:col>
      <xdr:colOff>57150</xdr:colOff>
      <xdr:row>70</xdr:row>
      <xdr:rowOff>152400</xdr:rowOff>
    </xdr:to>
    <xdr:sp macro="" textlink="">
      <xdr:nvSpPr>
        <xdr:cNvPr id="29" name="Line 42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>
          <a:spLocks noChangeShapeType="1"/>
        </xdr:cNvSpPr>
      </xdr:nvSpPr>
      <xdr:spPr bwMode="auto">
        <a:xfrm flipH="1">
          <a:off x="2971800" y="989647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38100</xdr:colOff>
      <xdr:row>94</xdr:row>
      <xdr:rowOff>0</xdr:rowOff>
    </xdr:from>
    <xdr:to>
      <xdr:col>9</xdr:col>
      <xdr:colOff>314325</xdr:colOff>
      <xdr:row>94</xdr:row>
      <xdr:rowOff>0</xdr:rowOff>
    </xdr:to>
    <xdr:sp macro="" textlink="">
      <xdr:nvSpPr>
        <xdr:cNvPr id="30" name="Line 43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>
          <a:spLocks noChangeShapeType="1"/>
        </xdr:cNvSpPr>
      </xdr:nvSpPr>
      <xdr:spPr bwMode="auto">
        <a:xfrm>
          <a:off x="5334000" y="1363027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38100</xdr:colOff>
      <xdr:row>97</xdr:row>
      <xdr:rowOff>85725</xdr:rowOff>
    </xdr:from>
    <xdr:to>
      <xdr:col>9</xdr:col>
      <xdr:colOff>390525</xdr:colOff>
      <xdr:row>97</xdr:row>
      <xdr:rowOff>85725</xdr:rowOff>
    </xdr:to>
    <xdr:sp macro="" textlink="">
      <xdr:nvSpPr>
        <xdr:cNvPr id="31" name="Line 44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>
          <a:spLocks noChangeShapeType="1"/>
        </xdr:cNvSpPr>
      </xdr:nvSpPr>
      <xdr:spPr bwMode="auto">
        <a:xfrm>
          <a:off x="5334000" y="16059150"/>
          <a:ext cx="352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57150</xdr:colOff>
      <xdr:row>94</xdr:row>
      <xdr:rowOff>9525</xdr:rowOff>
    </xdr:from>
    <xdr:to>
      <xdr:col>3</xdr:col>
      <xdr:colOff>295275</xdr:colOff>
      <xdr:row>94</xdr:row>
      <xdr:rowOff>9525</xdr:rowOff>
    </xdr:to>
    <xdr:sp macro="" textlink="">
      <xdr:nvSpPr>
        <xdr:cNvPr id="33" name="Line 46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>
          <a:spLocks noChangeShapeType="1"/>
        </xdr:cNvSpPr>
      </xdr:nvSpPr>
      <xdr:spPr bwMode="auto">
        <a:xfrm>
          <a:off x="1343025" y="1363980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47625</xdr:colOff>
      <xdr:row>96</xdr:row>
      <xdr:rowOff>152400</xdr:rowOff>
    </xdr:from>
    <xdr:to>
      <xdr:col>3</xdr:col>
      <xdr:colOff>381000</xdr:colOff>
      <xdr:row>96</xdr:row>
      <xdr:rowOff>152400</xdr:rowOff>
    </xdr:to>
    <xdr:sp macro="" textlink="">
      <xdr:nvSpPr>
        <xdr:cNvPr id="34" name="Line 47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>
          <a:spLocks noChangeShapeType="1"/>
        </xdr:cNvSpPr>
      </xdr:nvSpPr>
      <xdr:spPr bwMode="auto">
        <a:xfrm>
          <a:off x="1333500" y="15963900"/>
          <a:ext cx="333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371475</xdr:colOff>
      <xdr:row>101</xdr:row>
      <xdr:rowOff>152400</xdr:rowOff>
    </xdr:from>
    <xdr:to>
      <xdr:col>8</xdr:col>
      <xdr:colOff>676275</xdr:colOff>
      <xdr:row>102</xdr:row>
      <xdr:rowOff>0</xdr:rowOff>
    </xdr:to>
    <xdr:sp macro="" textlink="">
      <xdr:nvSpPr>
        <xdr:cNvPr id="36" name="Line 51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>
          <a:spLocks noChangeShapeType="1"/>
        </xdr:cNvSpPr>
      </xdr:nvSpPr>
      <xdr:spPr bwMode="auto">
        <a:xfrm>
          <a:off x="1657350" y="14992350"/>
          <a:ext cx="362902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390525</xdr:colOff>
      <xdr:row>101</xdr:row>
      <xdr:rowOff>76200</xdr:rowOff>
    </xdr:from>
    <xdr:to>
      <xdr:col>3</xdr:col>
      <xdr:colOff>390525</xdr:colOff>
      <xdr:row>102</xdr:row>
      <xdr:rowOff>133350</xdr:rowOff>
    </xdr:to>
    <xdr:sp macro="" textlink="">
      <xdr:nvSpPr>
        <xdr:cNvPr id="37" name="Line 52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>
          <a:spLocks noChangeShapeType="1"/>
        </xdr:cNvSpPr>
      </xdr:nvSpPr>
      <xdr:spPr bwMode="auto">
        <a:xfrm>
          <a:off x="1676400" y="14916150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676275</xdr:colOff>
      <xdr:row>101</xdr:row>
      <xdr:rowOff>19050</xdr:rowOff>
    </xdr:from>
    <xdr:to>
      <xdr:col>8</xdr:col>
      <xdr:colOff>676275</xdr:colOff>
      <xdr:row>103</xdr:row>
      <xdr:rowOff>9525</xdr:rowOff>
    </xdr:to>
    <xdr:sp macro="" textlink="">
      <xdr:nvSpPr>
        <xdr:cNvPr id="38" name="Line 5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>
          <a:spLocks noChangeShapeType="1"/>
        </xdr:cNvSpPr>
      </xdr:nvSpPr>
      <xdr:spPr bwMode="auto">
        <a:xfrm>
          <a:off x="5286375" y="14859000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101</xdr:row>
      <xdr:rowOff>66675</xdr:rowOff>
    </xdr:from>
    <xdr:to>
      <xdr:col>5</xdr:col>
      <xdr:colOff>0</xdr:colOff>
      <xdr:row>102</xdr:row>
      <xdr:rowOff>152400</xdr:rowOff>
    </xdr:to>
    <xdr:sp macro="" textlink="">
      <xdr:nvSpPr>
        <xdr:cNvPr id="39" name="Line 5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>
          <a:spLocks noChangeShapeType="1"/>
        </xdr:cNvSpPr>
      </xdr:nvSpPr>
      <xdr:spPr bwMode="auto">
        <a:xfrm>
          <a:off x="2609850" y="14906625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361950</xdr:colOff>
      <xdr:row>101</xdr:row>
      <xdr:rowOff>114300</xdr:rowOff>
    </xdr:from>
    <xdr:to>
      <xdr:col>3</xdr:col>
      <xdr:colOff>457200</xdr:colOff>
      <xdr:row>102</xdr:row>
      <xdr:rowOff>66675</xdr:rowOff>
    </xdr:to>
    <xdr:sp macro="" textlink="">
      <xdr:nvSpPr>
        <xdr:cNvPr id="40" name="Line 5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>
          <a:spLocks noChangeShapeType="1"/>
        </xdr:cNvSpPr>
      </xdr:nvSpPr>
      <xdr:spPr bwMode="auto">
        <a:xfrm flipH="1">
          <a:off x="1647825" y="14954250"/>
          <a:ext cx="9525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628650</xdr:colOff>
      <xdr:row>101</xdr:row>
      <xdr:rowOff>104775</xdr:rowOff>
    </xdr:from>
    <xdr:to>
      <xdr:col>9</xdr:col>
      <xdr:colOff>85725</xdr:colOff>
      <xdr:row>102</xdr:row>
      <xdr:rowOff>47625</xdr:rowOff>
    </xdr:to>
    <xdr:sp macro="" textlink="">
      <xdr:nvSpPr>
        <xdr:cNvPr id="41" name="Line 59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>
          <a:spLocks noChangeShapeType="1"/>
        </xdr:cNvSpPr>
      </xdr:nvSpPr>
      <xdr:spPr bwMode="auto">
        <a:xfrm flipH="1">
          <a:off x="5238750" y="14944725"/>
          <a:ext cx="142875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390525</xdr:colOff>
      <xdr:row>103</xdr:row>
      <xdr:rowOff>152400</xdr:rowOff>
    </xdr:from>
    <xdr:to>
      <xdr:col>9</xdr:col>
      <xdr:colOff>47625</xdr:colOff>
      <xdr:row>104</xdr:row>
      <xdr:rowOff>0</xdr:rowOff>
    </xdr:to>
    <xdr:sp macro="" textlink="">
      <xdr:nvSpPr>
        <xdr:cNvPr id="42" name="Line 60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>
          <a:spLocks noChangeShapeType="1"/>
        </xdr:cNvSpPr>
      </xdr:nvSpPr>
      <xdr:spPr bwMode="auto">
        <a:xfrm>
          <a:off x="1676400" y="15316200"/>
          <a:ext cx="366712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390525</xdr:colOff>
      <xdr:row>103</xdr:row>
      <xdr:rowOff>76200</xdr:rowOff>
    </xdr:from>
    <xdr:to>
      <xdr:col>3</xdr:col>
      <xdr:colOff>390525</xdr:colOff>
      <xdr:row>104</xdr:row>
      <xdr:rowOff>114300</xdr:rowOff>
    </xdr:to>
    <xdr:sp macro="" textlink="">
      <xdr:nvSpPr>
        <xdr:cNvPr id="43" name="Line 6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>
          <a:spLocks noChangeShapeType="1"/>
        </xdr:cNvSpPr>
      </xdr:nvSpPr>
      <xdr:spPr bwMode="auto">
        <a:xfrm>
          <a:off x="1676400" y="15240000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676275</xdr:colOff>
      <xdr:row>103</xdr:row>
      <xdr:rowOff>47625</xdr:rowOff>
    </xdr:from>
    <xdr:to>
      <xdr:col>9</xdr:col>
      <xdr:colOff>0</xdr:colOff>
      <xdr:row>104</xdr:row>
      <xdr:rowOff>123825</xdr:rowOff>
    </xdr:to>
    <xdr:sp macro="" textlink="">
      <xdr:nvSpPr>
        <xdr:cNvPr id="44" name="Line 6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>
          <a:spLocks noChangeShapeType="1"/>
        </xdr:cNvSpPr>
      </xdr:nvSpPr>
      <xdr:spPr bwMode="auto">
        <a:xfrm flipH="1">
          <a:off x="5286375" y="15211425"/>
          <a:ext cx="9525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333375</xdr:colOff>
      <xdr:row>103</xdr:row>
      <xdr:rowOff>123825</xdr:rowOff>
    </xdr:from>
    <xdr:to>
      <xdr:col>3</xdr:col>
      <xdr:colOff>447675</xdr:colOff>
      <xdr:row>104</xdr:row>
      <xdr:rowOff>47625</xdr:rowOff>
    </xdr:to>
    <xdr:sp macro="" textlink="">
      <xdr:nvSpPr>
        <xdr:cNvPr id="45" name="Line 63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>
          <a:spLocks noChangeShapeType="1"/>
        </xdr:cNvSpPr>
      </xdr:nvSpPr>
      <xdr:spPr bwMode="auto">
        <a:xfrm flipH="1">
          <a:off x="1619250" y="15287625"/>
          <a:ext cx="11430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600075</xdr:colOff>
      <xdr:row>103</xdr:row>
      <xdr:rowOff>104775</xdr:rowOff>
    </xdr:from>
    <xdr:to>
      <xdr:col>9</xdr:col>
      <xdr:colOff>76200</xdr:colOff>
      <xdr:row>104</xdr:row>
      <xdr:rowOff>47625</xdr:rowOff>
    </xdr:to>
    <xdr:sp macro="" textlink="">
      <xdr:nvSpPr>
        <xdr:cNvPr id="46" name="Line 64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>
          <a:spLocks noChangeShapeType="1"/>
        </xdr:cNvSpPr>
      </xdr:nvSpPr>
      <xdr:spPr bwMode="auto">
        <a:xfrm flipH="1">
          <a:off x="5210175" y="15268575"/>
          <a:ext cx="161925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101</xdr:row>
      <xdr:rowOff>38100</xdr:rowOff>
    </xdr:from>
    <xdr:to>
      <xdr:col>6</xdr:col>
      <xdr:colOff>9525</xdr:colOff>
      <xdr:row>103</xdr:row>
      <xdr:rowOff>19050</xdr:rowOff>
    </xdr:to>
    <xdr:sp macro="" textlink="">
      <xdr:nvSpPr>
        <xdr:cNvPr id="47" name="Line 65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>
          <a:spLocks noChangeShapeType="1"/>
        </xdr:cNvSpPr>
      </xdr:nvSpPr>
      <xdr:spPr bwMode="auto">
        <a:xfrm>
          <a:off x="3333750" y="14878050"/>
          <a:ext cx="9525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409575</xdr:colOff>
      <xdr:row>93</xdr:row>
      <xdr:rowOff>133350</xdr:rowOff>
    </xdr:from>
    <xdr:to>
      <xdr:col>3</xdr:col>
      <xdr:colOff>438150</xdr:colOff>
      <xdr:row>96</xdr:row>
      <xdr:rowOff>142875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 bwMode="auto">
        <a:xfrm>
          <a:off x="1695450" y="15382875"/>
          <a:ext cx="28575" cy="57150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676275</xdr:colOff>
      <xdr:row>94</xdr:row>
      <xdr:rowOff>9525</xdr:rowOff>
    </xdr:from>
    <xdr:to>
      <xdr:col>9</xdr:col>
      <xdr:colOff>0</xdr:colOff>
      <xdr:row>97</xdr:row>
      <xdr:rowOff>85725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CxnSpPr/>
      </xdr:nvCxnSpPr>
      <xdr:spPr bwMode="auto">
        <a:xfrm>
          <a:off x="5286375" y="15420975"/>
          <a:ext cx="9525" cy="638175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447675</xdr:colOff>
      <xdr:row>96</xdr:row>
      <xdr:rowOff>123825</xdr:rowOff>
    </xdr:from>
    <xdr:to>
      <xdr:col>9</xdr:col>
      <xdr:colOff>9525</xdr:colOff>
      <xdr:row>97</xdr:row>
      <xdr:rowOff>85725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CxnSpPr/>
      </xdr:nvCxnSpPr>
      <xdr:spPr bwMode="auto">
        <a:xfrm>
          <a:off x="1733550" y="15935325"/>
          <a:ext cx="3571875" cy="123825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190500</xdr:colOff>
      <xdr:row>93</xdr:row>
      <xdr:rowOff>85725</xdr:rowOff>
    </xdr:from>
    <xdr:to>
      <xdr:col>3</xdr:col>
      <xdr:colOff>209550</xdr:colOff>
      <xdr:row>98</xdr:row>
      <xdr:rowOff>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CxnSpPr/>
      </xdr:nvCxnSpPr>
      <xdr:spPr bwMode="auto">
        <a:xfrm>
          <a:off x="1476375" y="15335250"/>
          <a:ext cx="19050" cy="80010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133350</xdr:colOff>
      <xdr:row>93</xdr:row>
      <xdr:rowOff>47625</xdr:rowOff>
    </xdr:from>
    <xdr:to>
      <xdr:col>9</xdr:col>
      <xdr:colOff>133350</xdr:colOff>
      <xdr:row>98</xdr:row>
      <xdr:rowOff>95250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CxnSpPr/>
      </xdr:nvCxnSpPr>
      <xdr:spPr bwMode="auto">
        <a:xfrm>
          <a:off x="5429250" y="15297150"/>
          <a:ext cx="0" cy="93345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66</xdr:row>
      <xdr:rowOff>57150</xdr:rowOff>
    </xdr:from>
    <xdr:to>
      <xdr:col>4</xdr:col>
      <xdr:colOff>485775</xdr:colOff>
      <xdr:row>66</xdr:row>
      <xdr:rowOff>57150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ShapeType="1"/>
        </xdr:cNvSpPr>
      </xdr:nvSpPr>
      <xdr:spPr bwMode="auto">
        <a:xfrm>
          <a:off x="1247775" y="10096500"/>
          <a:ext cx="1676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476250</xdr:colOff>
      <xdr:row>65</xdr:row>
      <xdr:rowOff>47625</xdr:rowOff>
    </xdr:from>
    <xdr:to>
      <xdr:col>5</xdr:col>
      <xdr:colOff>304800</xdr:colOff>
      <xdr:row>66</xdr:row>
      <xdr:rowOff>57150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ShapeType="1"/>
        </xdr:cNvSpPr>
      </xdr:nvSpPr>
      <xdr:spPr bwMode="auto">
        <a:xfrm flipV="1">
          <a:off x="2914650" y="9925050"/>
          <a:ext cx="438150" cy="171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304800</xdr:colOff>
      <xdr:row>65</xdr:row>
      <xdr:rowOff>47625</xdr:rowOff>
    </xdr:from>
    <xdr:to>
      <xdr:col>6</xdr:col>
      <xdr:colOff>342900</xdr:colOff>
      <xdr:row>65</xdr:row>
      <xdr:rowOff>47625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>
          <a:spLocks noChangeShapeType="1"/>
        </xdr:cNvSpPr>
      </xdr:nvSpPr>
      <xdr:spPr bwMode="auto">
        <a:xfrm>
          <a:off x="3352800" y="9925050"/>
          <a:ext cx="647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504825</xdr:colOff>
      <xdr:row>66</xdr:row>
      <xdr:rowOff>85725</xdr:rowOff>
    </xdr:from>
    <xdr:to>
      <xdr:col>10</xdr:col>
      <xdr:colOff>476250</xdr:colOff>
      <xdr:row>66</xdr:row>
      <xdr:rowOff>85725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ShapeType="1"/>
        </xdr:cNvSpPr>
      </xdr:nvSpPr>
      <xdr:spPr bwMode="auto">
        <a:xfrm>
          <a:off x="4772025" y="10125075"/>
          <a:ext cx="1800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266700</xdr:colOff>
      <xdr:row>58</xdr:row>
      <xdr:rowOff>95250</xdr:rowOff>
    </xdr:from>
    <xdr:to>
      <xdr:col>6</xdr:col>
      <xdr:colOff>333375</xdr:colOff>
      <xdr:row>58</xdr:row>
      <xdr:rowOff>95250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>
          <a:spLocks noChangeShapeType="1"/>
        </xdr:cNvSpPr>
      </xdr:nvSpPr>
      <xdr:spPr bwMode="auto">
        <a:xfrm>
          <a:off x="3314700" y="8839200"/>
          <a:ext cx="676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361950</xdr:colOff>
      <xdr:row>67</xdr:row>
      <xdr:rowOff>28575</xdr:rowOff>
    </xdr:from>
    <xdr:to>
      <xdr:col>6</xdr:col>
      <xdr:colOff>361950</xdr:colOff>
      <xdr:row>71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>
          <a:spLocks noChangeShapeType="1"/>
        </xdr:cNvSpPr>
      </xdr:nvSpPr>
      <xdr:spPr bwMode="auto">
        <a:xfrm>
          <a:off x="4019550" y="10229850"/>
          <a:ext cx="0" cy="619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304800</xdr:colOff>
      <xdr:row>67</xdr:row>
      <xdr:rowOff>114300</xdr:rowOff>
    </xdr:from>
    <xdr:to>
      <xdr:col>5</xdr:col>
      <xdr:colOff>304800</xdr:colOff>
      <xdr:row>71</xdr:row>
      <xdr:rowOff>28575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>
          <a:spLocks noChangeShapeType="1"/>
        </xdr:cNvSpPr>
      </xdr:nvSpPr>
      <xdr:spPr bwMode="auto">
        <a:xfrm>
          <a:off x="3352800" y="10315575"/>
          <a:ext cx="0" cy="561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485775</xdr:colOff>
      <xdr:row>68</xdr:row>
      <xdr:rowOff>57150</xdr:rowOff>
    </xdr:from>
    <xdr:to>
      <xdr:col>4</xdr:col>
      <xdr:colOff>485775</xdr:colOff>
      <xdr:row>70</xdr:row>
      <xdr:rowOff>104775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>
          <a:spLocks noChangeShapeType="1"/>
        </xdr:cNvSpPr>
      </xdr:nvSpPr>
      <xdr:spPr bwMode="auto">
        <a:xfrm>
          <a:off x="2924175" y="10420350"/>
          <a:ext cx="0" cy="3714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495300</xdr:colOff>
      <xdr:row>67</xdr:row>
      <xdr:rowOff>142875</xdr:rowOff>
    </xdr:from>
    <xdr:to>
      <xdr:col>7</xdr:col>
      <xdr:colOff>495300</xdr:colOff>
      <xdr:row>71</xdr:row>
      <xdr:rowOff>28575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>
          <a:spLocks noChangeShapeType="1"/>
        </xdr:cNvSpPr>
      </xdr:nvSpPr>
      <xdr:spPr bwMode="auto">
        <a:xfrm>
          <a:off x="4762500" y="10344150"/>
          <a:ext cx="0" cy="533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123825</xdr:colOff>
      <xdr:row>67</xdr:row>
      <xdr:rowOff>0</xdr:rowOff>
    </xdr:from>
    <xdr:to>
      <xdr:col>4</xdr:col>
      <xdr:colOff>485775</xdr:colOff>
      <xdr:row>67</xdr:row>
      <xdr:rowOff>38100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>
          <a:spLocks noChangeShapeType="1"/>
        </xdr:cNvSpPr>
      </xdr:nvSpPr>
      <xdr:spPr bwMode="auto">
        <a:xfrm>
          <a:off x="1343025" y="10201275"/>
          <a:ext cx="158115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495300</xdr:colOff>
      <xdr:row>66</xdr:row>
      <xdr:rowOff>47625</xdr:rowOff>
    </xdr:from>
    <xdr:to>
      <xdr:col>5</xdr:col>
      <xdr:colOff>304800</xdr:colOff>
      <xdr:row>67</xdr:row>
      <xdr:rowOff>38100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>
          <a:spLocks noChangeShapeType="1"/>
        </xdr:cNvSpPr>
      </xdr:nvSpPr>
      <xdr:spPr bwMode="auto">
        <a:xfrm flipV="1">
          <a:off x="2933700" y="10086975"/>
          <a:ext cx="41910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504825</xdr:colOff>
      <xdr:row>67</xdr:row>
      <xdr:rowOff>47625</xdr:rowOff>
    </xdr:from>
    <xdr:to>
      <xdr:col>10</xdr:col>
      <xdr:colOff>352425</xdr:colOff>
      <xdr:row>67</xdr:row>
      <xdr:rowOff>123825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>
          <a:spLocks noChangeShapeType="1"/>
        </xdr:cNvSpPr>
      </xdr:nvSpPr>
      <xdr:spPr bwMode="auto">
        <a:xfrm flipV="1">
          <a:off x="4772025" y="10248900"/>
          <a:ext cx="1676400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152400</xdr:colOff>
      <xdr:row>67</xdr:row>
      <xdr:rowOff>9525</xdr:rowOff>
    </xdr:from>
    <xdr:to>
      <xdr:col>2</xdr:col>
      <xdr:colOff>152400</xdr:colOff>
      <xdr:row>71</xdr:row>
      <xdr:rowOff>66675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>
          <a:spLocks noChangeShapeType="1"/>
        </xdr:cNvSpPr>
      </xdr:nvSpPr>
      <xdr:spPr bwMode="auto">
        <a:xfrm>
          <a:off x="1371600" y="10210800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66</xdr:row>
      <xdr:rowOff>47625</xdr:rowOff>
    </xdr:from>
    <xdr:to>
      <xdr:col>2</xdr:col>
      <xdr:colOff>38100</xdr:colOff>
      <xdr:row>71</xdr:row>
      <xdr:rowOff>85725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>
          <a:spLocks noChangeShapeType="1"/>
        </xdr:cNvSpPr>
      </xdr:nvSpPr>
      <xdr:spPr bwMode="auto">
        <a:xfrm>
          <a:off x="1257300" y="10086975"/>
          <a:ext cx="0" cy="847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457200</xdr:colOff>
      <xdr:row>66</xdr:row>
      <xdr:rowOff>85725</xdr:rowOff>
    </xdr:from>
    <xdr:to>
      <xdr:col>10</xdr:col>
      <xdr:colOff>457200</xdr:colOff>
      <xdr:row>71</xdr:row>
      <xdr:rowOff>104775</xdr:rowOff>
    </xdr:to>
    <xdr:sp macro="" textlink="">
      <xdr:nvSpPr>
        <xdr:cNvPr id="16" name="Lin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>
          <a:spLocks noChangeShapeType="1"/>
        </xdr:cNvSpPr>
      </xdr:nvSpPr>
      <xdr:spPr bwMode="auto">
        <a:xfrm>
          <a:off x="6553200" y="10125075"/>
          <a:ext cx="0" cy="828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342900</xdr:colOff>
      <xdr:row>67</xdr:row>
      <xdr:rowOff>47625</xdr:rowOff>
    </xdr:from>
    <xdr:to>
      <xdr:col>10</xdr:col>
      <xdr:colOff>342900</xdr:colOff>
      <xdr:row>71</xdr:row>
      <xdr:rowOff>95250</xdr:rowOff>
    </xdr:to>
    <xdr:sp macro="" textlink="">
      <xdr:nvSpPr>
        <xdr:cNvPr id="17" name="Lin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>
          <a:spLocks noChangeShapeType="1"/>
        </xdr:cNvSpPr>
      </xdr:nvSpPr>
      <xdr:spPr bwMode="auto">
        <a:xfrm>
          <a:off x="6438900" y="10248900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304800</xdr:colOff>
      <xdr:row>58</xdr:row>
      <xdr:rowOff>95250</xdr:rowOff>
    </xdr:from>
    <xdr:to>
      <xdr:col>8</xdr:col>
      <xdr:colOff>266700</xdr:colOff>
      <xdr:row>61</xdr:row>
      <xdr:rowOff>66675</xdr:rowOff>
    </xdr:to>
    <xdr:sp macro="" textlink="">
      <xdr:nvSpPr>
        <xdr:cNvPr id="18" name="Lin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>
          <a:spLocks noChangeShapeType="1"/>
        </xdr:cNvSpPr>
      </xdr:nvSpPr>
      <xdr:spPr bwMode="auto">
        <a:xfrm>
          <a:off x="3962400" y="8839200"/>
          <a:ext cx="118110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257175</xdr:colOff>
      <xdr:row>61</xdr:row>
      <xdr:rowOff>57150</xdr:rowOff>
    </xdr:from>
    <xdr:to>
      <xdr:col>9</xdr:col>
      <xdr:colOff>781050</xdr:colOff>
      <xdr:row>61</xdr:row>
      <xdr:rowOff>57150</xdr:rowOff>
    </xdr:to>
    <xdr:sp macro="" textlink="">
      <xdr:nvSpPr>
        <xdr:cNvPr id="19" name="Lin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>
          <a:spLocks noChangeShapeType="1"/>
        </xdr:cNvSpPr>
      </xdr:nvSpPr>
      <xdr:spPr bwMode="auto">
        <a:xfrm>
          <a:off x="5133975" y="9286875"/>
          <a:ext cx="962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742950</xdr:colOff>
      <xdr:row>61</xdr:row>
      <xdr:rowOff>66675</xdr:rowOff>
    </xdr:from>
    <xdr:to>
      <xdr:col>9</xdr:col>
      <xdr:colOff>742950</xdr:colOff>
      <xdr:row>66</xdr:row>
      <xdr:rowOff>85725</xdr:rowOff>
    </xdr:to>
    <xdr:sp macro="" textlink="">
      <xdr:nvSpPr>
        <xdr:cNvPr id="20" name="Lin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>
          <a:spLocks noChangeShapeType="1"/>
        </xdr:cNvSpPr>
      </xdr:nvSpPr>
      <xdr:spPr bwMode="auto">
        <a:xfrm>
          <a:off x="6096000" y="9296400"/>
          <a:ext cx="0" cy="828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180975</xdr:colOff>
      <xdr:row>58</xdr:row>
      <xdr:rowOff>95250</xdr:rowOff>
    </xdr:from>
    <xdr:to>
      <xdr:col>5</xdr:col>
      <xdr:colOff>266700</xdr:colOff>
      <xdr:row>61</xdr:row>
      <xdr:rowOff>0</xdr:rowOff>
    </xdr:to>
    <xdr:sp macro="" textlink="">
      <xdr:nvSpPr>
        <xdr:cNvPr id="21" name="Lin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>
          <a:spLocks noChangeShapeType="1"/>
        </xdr:cNvSpPr>
      </xdr:nvSpPr>
      <xdr:spPr bwMode="auto">
        <a:xfrm flipH="1">
          <a:off x="2619375" y="8839200"/>
          <a:ext cx="695325" cy="390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419100</xdr:colOff>
      <xdr:row>60</xdr:row>
      <xdr:rowOff>142875</xdr:rowOff>
    </xdr:from>
    <xdr:to>
      <xdr:col>4</xdr:col>
      <xdr:colOff>200025</xdr:colOff>
      <xdr:row>60</xdr:row>
      <xdr:rowOff>142875</xdr:rowOff>
    </xdr:to>
    <xdr:sp macro="" textlink="">
      <xdr:nvSpPr>
        <xdr:cNvPr id="22" name="Lin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>
          <a:spLocks noChangeShapeType="1"/>
        </xdr:cNvSpPr>
      </xdr:nvSpPr>
      <xdr:spPr bwMode="auto">
        <a:xfrm flipH="1">
          <a:off x="1638300" y="9210675"/>
          <a:ext cx="1000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457200</xdr:colOff>
      <xdr:row>61</xdr:row>
      <xdr:rowOff>0</xdr:rowOff>
    </xdr:from>
    <xdr:to>
      <xdr:col>2</xdr:col>
      <xdr:colOff>457200</xdr:colOff>
      <xdr:row>66</xdr:row>
      <xdr:rowOff>57150</xdr:rowOff>
    </xdr:to>
    <xdr:sp macro="" textlink="">
      <xdr:nvSpPr>
        <xdr:cNvPr id="23" name="Lin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>
          <a:spLocks noChangeShapeType="1"/>
        </xdr:cNvSpPr>
      </xdr:nvSpPr>
      <xdr:spPr bwMode="auto">
        <a:xfrm>
          <a:off x="1676400" y="9229725"/>
          <a:ext cx="0" cy="866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276225</xdr:colOff>
      <xdr:row>59</xdr:row>
      <xdr:rowOff>57150</xdr:rowOff>
    </xdr:from>
    <xdr:to>
      <xdr:col>6</xdr:col>
      <xdr:colOff>323850</xdr:colOff>
      <xdr:row>59</xdr:row>
      <xdr:rowOff>57150</xdr:rowOff>
    </xdr:to>
    <xdr:sp macro="" textlink="">
      <xdr:nvSpPr>
        <xdr:cNvPr id="24" name="Lin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>
          <a:spLocks noChangeShapeType="1"/>
        </xdr:cNvSpPr>
      </xdr:nvSpPr>
      <xdr:spPr bwMode="auto">
        <a:xfrm>
          <a:off x="3324225" y="8963025"/>
          <a:ext cx="657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295275</xdr:colOff>
      <xdr:row>58</xdr:row>
      <xdr:rowOff>95250</xdr:rowOff>
    </xdr:from>
    <xdr:to>
      <xdr:col>5</xdr:col>
      <xdr:colOff>295275</xdr:colOff>
      <xdr:row>59</xdr:row>
      <xdr:rowOff>57150</xdr:rowOff>
    </xdr:to>
    <xdr:sp macro="" textlink="">
      <xdr:nvSpPr>
        <xdr:cNvPr id="25" name="Line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>
          <a:spLocks noChangeShapeType="1"/>
        </xdr:cNvSpPr>
      </xdr:nvSpPr>
      <xdr:spPr bwMode="auto">
        <a:xfrm>
          <a:off x="3343275" y="8839200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304800</xdr:colOff>
      <xdr:row>58</xdr:row>
      <xdr:rowOff>104775</xdr:rowOff>
    </xdr:from>
    <xdr:to>
      <xdr:col>6</xdr:col>
      <xdr:colOff>304800</xdr:colOff>
      <xdr:row>59</xdr:row>
      <xdr:rowOff>66675</xdr:rowOff>
    </xdr:to>
    <xdr:sp macro="" textlink="">
      <xdr:nvSpPr>
        <xdr:cNvPr id="26" name="Lin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>
          <a:spLocks noChangeShapeType="1"/>
        </xdr:cNvSpPr>
      </xdr:nvSpPr>
      <xdr:spPr bwMode="auto">
        <a:xfrm>
          <a:off x="3962400" y="8848725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57149</xdr:colOff>
      <xdr:row>72</xdr:row>
      <xdr:rowOff>28575</xdr:rowOff>
    </xdr:from>
    <xdr:to>
      <xdr:col>2</xdr:col>
      <xdr:colOff>66674</xdr:colOff>
      <xdr:row>74</xdr:row>
      <xdr:rowOff>1</xdr:rowOff>
    </xdr:to>
    <xdr:sp macro="" textlink="">
      <xdr:nvSpPr>
        <xdr:cNvPr id="27" name="Lin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>
          <a:spLocks noChangeShapeType="1"/>
        </xdr:cNvSpPr>
      </xdr:nvSpPr>
      <xdr:spPr bwMode="auto">
        <a:xfrm flipH="1">
          <a:off x="1276349" y="11687175"/>
          <a:ext cx="9525" cy="29527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466724</xdr:colOff>
      <xdr:row>72</xdr:row>
      <xdr:rowOff>57151</xdr:rowOff>
    </xdr:from>
    <xdr:to>
      <xdr:col>10</xdr:col>
      <xdr:colOff>476249</xdr:colOff>
      <xdr:row>74</xdr:row>
      <xdr:rowOff>19051</xdr:rowOff>
    </xdr:to>
    <xdr:sp macro="" textlink="">
      <xdr:nvSpPr>
        <xdr:cNvPr id="28" name="Lin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>
          <a:spLocks noChangeShapeType="1"/>
        </xdr:cNvSpPr>
      </xdr:nvSpPr>
      <xdr:spPr bwMode="auto">
        <a:xfrm>
          <a:off x="6562724" y="11715751"/>
          <a:ext cx="9525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47625</xdr:colOff>
      <xdr:row>73</xdr:row>
      <xdr:rowOff>114300</xdr:rowOff>
    </xdr:from>
    <xdr:to>
      <xdr:col>6</xdr:col>
      <xdr:colOff>47625</xdr:colOff>
      <xdr:row>73</xdr:row>
      <xdr:rowOff>114300</xdr:rowOff>
    </xdr:to>
    <xdr:sp macro="" textlink="">
      <xdr:nvSpPr>
        <xdr:cNvPr id="29" name="Line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>
          <a:spLocks noChangeShapeType="1"/>
        </xdr:cNvSpPr>
      </xdr:nvSpPr>
      <xdr:spPr bwMode="auto">
        <a:xfrm>
          <a:off x="1266825" y="11287125"/>
          <a:ext cx="2438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180975</xdr:colOff>
      <xdr:row>73</xdr:row>
      <xdr:rowOff>104775</xdr:rowOff>
    </xdr:from>
    <xdr:to>
      <xdr:col>10</xdr:col>
      <xdr:colOff>466725</xdr:colOff>
      <xdr:row>73</xdr:row>
      <xdr:rowOff>104775</xdr:rowOff>
    </xdr:to>
    <xdr:sp macro="" textlink="">
      <xdr:nvSpPr>
        <xdr:cNvPr id="30" name="Lin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>
          <a:spLocks noChangeShapeType="1"/>
        </xdr:cNvSpPr>
      </xdr:nvSpPr>
      <xdr:spPr bwMode="auto">
        <a:xfrm>
          <a:off x="4448175" y="11277600"/>
          <a:ext cx="2114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152400</xdr:colOff>
      <xdr:row>72</xdr:row>
      <xdr:rowOff>76200</xdr:rowOff>
    </xdr:from>
    <xdr:to>
      <xdr:col>2</xdr:col>
      <xdr:colOff>152400</xdr:colOff>
      <xdr:row>73</xdr:row>
      <xdr:rowOff>38100</xdr:rowOff>
    </xdr:to>
    <xdr:sp macro="" textlink="">
      <xdr:nvSpPr>
        <xdr:cNvPr id="31" name="Line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>
          <a:spLocks noChangeShapeType="1"/>
        </xdr:cNvSpPr>
      </xdr:nvSpPr>
      <xdr:spPr bwMode="auto">
        <a:xfrm>
          <a:off x="1371600" y="11087100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352425</xdr:colOff>
      <xdr:row>72</xdr:row>
      <xdr:rowOff>57150</xdr:rowOff>
    </xdr:from>
    <xdr:to>
      <xdr:col>10</xdr:col>
      <xdr:colOff>352425</xdr:colOff>
      <xdr:row>73</xdr:row>
      <xdr:rowOff>28575</xdr:rowOff>
    </xdr:to>
    <xdr:sp macro="" textlink="">
      <xdr:nvSpPr>
        <xdr:cNvPr id="32" name="Lin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>
          <a:spLocks noChangeShapeType="1"/>
        </xdr:cNvSpPr>
      </xdr:nvSpPr>
      <xdr:spPr bwMode="auto">
        <a:xfrm>
          <a:off x="6448425" y="11068050"/>
          <a:ext cx="0" cy="133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161925</xdr:colOff>
      <xdr:row>72</xdr:row>
      <xdr:rowOff>123825</xdr:rowOff>
    </xdr:from>
    <xdr:to>
      <xdr:col>6</xdr:col>
      <xdr:colOff>66675</xdr:colOff>
      <xdr:row>72</xdr:row>
      <xdr:rowOff>123825</xdr:rowOff>
    </xdr:to>
    <xdr:sp macro="" textlink="">
      <xdr:nvSpPr>
        <xdr:cNvPr id="33" name="Lin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>
          <a:spLocks noChangeShapeType="1"/>
        </xdr:cNvSpPr>
      </xdr:nvSpPr>
      <xdr:spPr bwMode="auto">
        <a:xfrm>
          <a:off x="1381125" y="11134725"/>
          <a:ext cx="2343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209550</xdr:colOff>
      <xdr:row>72</xdr:row>
      <xdr:rowOff>95250</xdr:rowOff>
    </xdr:from>
    <xdr:to>
      <xdr:col>10</xdr:col>
      <xdr:colOff>352425</xdr:colOff>
      <xdr:row>72</xdr:row>
      <xdr:rowOff>95250</xdr:rowOff>
    </xdr:to>
    <xdr:sp macro="" textlink="">
      <xdr:nvSpPr>
        <xdr:cNvPr id="34" name="Lin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>
          <a:spLocks noChangeShapeType="1"/>
        </xdr:cNvSpPr>
      </xdr:nvSpPr>
      <xdr:spPr bwMode="auto">
        <a:xfrm>
          <a:off x="4476750" y="11106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71</xdr:row>
      <xdr:rowOff>47625</xdr:rowOff>
    </xdr:from>
    <xdr:to>
      <xdr:col>2</xdr:col>
      <xdr:colOff>152400</xdr:colOff>
      <xdr:row>71</xdr:row>
      <xdr:rowOff>47625</xdr:rowOff>
    </xdr:to>
    <xdr:sp macro="" textlink="">
      <xdr:nvSpPr>
        <xdr:cNvPr id="35" name="Line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>
          <a:spLocks noChangeShapeType="1"/>
        </xdr:cNvSpPr>
      </xdr:nvSpPr>
      <xdr:spPr bwMode="auto">
        <a:xfrm>
          <a:off x="1257300" y="10896600"/>
          <a:ext cx="114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342900</xdr:colOff>
      <xdr:row>71</xdr:row>
      <xdr:rowOff>95250</xdr:rowOff>
    </xdr:from>
    <xdr:to>
      <xdr:col>10</xdr:col>
      <xdr:colOff>466725</xdr:colOff>
      <xdr:row>71</xdr:row>
      <xdr:rowOff>104775</xdr:rowOff>
    </xdr:to>
    <xdr:sp macro="" textlink="">
      <xdr:nvSpPr>
        <xdr:cNvPr id="36" name="Lin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>
          <a:spLocks noChangeShapeType="1"/>
        </xdr:cNvSpPr>
      </xdr:nvSpPr>
      <xdr:spPr bwMode="auto">
        <a:xfrm>
          <a:off x="6438900" y="10944225"/>
          <a:ext cx="12382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447675</xdr:colOff>
      <xdr:row>69</xdr:row>
      <xdr:rowOff>28575</xdr:rowOff>
    </xdr:from>
    <xdr:to>
      <xdr:col>2</xdr:col>
      <xdr:colOff>447675</xdr:colOff>
      <xdr:row>70</xdr:row>
      <xdr:rowOff>133350</xdr:rowOff>
    </xdr:to>
    <xdr:sp macro="" textlink="">
      <xdr:nvSpPr>
        <xdr:cNvPr id="37" name="Line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>
          <a:spLocks noChangeShapeType="1"/>
        </xdr:cNvSpPr>
      </xdr:nvSpPr>
      <xdr:spPr bwMode="auto">
        <a:xfrm>
          <a:off x="1666875" y="10553700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70</xdr:row>
      <xdr:rowOff>57150</xdr:rowOff>
    </xdr:from>
    <xdr:to>
      <xdr:col>10</xdr:col>
      <xdr:colOff>485775</xdr:colOff>
      <xdr:row>70</xdr:row>
      <xdr:rowOff>57150</xdr:rowOff>
    </xdr:to>
    <xdr:sp macro="" textlink="">
      <xdr:nvSpPr>
        <xdr:cNvPr id="38" name="Line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>
          <a:spLocks noChangeShapeType="1"/>
        </xdr:cNvSpPr>
      </xdr:nvSpPr>
      <xdr:spPr bwMode="auto">
        <a:xfrm>
          <a:off x="1257300" y="10744200"/>
          <a:ext cx="5324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752475</xdr:colOff>
      <xdr:row>68</xdr:row>
      <xdr:rowOff>142875</xdr:rowOff>
    </xdr:from>
    <xdr:to>
      <xdr:col>9</xdr:col>
      <xdr:colOff>752475</xdr:colOff>
      <xdr:row>70</xdr:row>
      <xdr:rowOff>133350</xdr:rowOff>
    </xdr:to>
    <xdr:sp macro="" textlink="">
      <xdr:nvSpPr>
        <xdr:cNvPr id="39" name="Lin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>
          <a:spLocks noChangeShapeType="1"/>
        </xdr:cNvSpPr>
      </xdr:nvSpPr>
      <xdr:spPr bwMode="auto">
        <a:xfrm>
          <a:off x="6096000" y="10506075"/>
          <a:ext cx="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295275</xdr:colOff>
      <xdr:row>56</xdr:row>
      <xdr:rowOff>133350</xdr:rowOff>
    </xdr:from>
    <xdr:to>
      <xdr:col>5</xdr:col>
      <xdr:colOff>295275</xdr:colOff>
      <xdr:row>58</xdr:row>
      <xdr:rowOff>104775</xdr:rowOff>
    </xdr:to>
    <xdr:sp macro="" textlink="">
      <xdr:nvSpPr>
        <xdr:cNvPr id="40" name="Lin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>
          <a:spLocks noChangeShapeType="1"/>
        </xdr:cNvSpPr>
      </xdr:nvSpPr>
      <xdr:spPr bwMode="auto">
        <a:xfrm flipV="1">
          <a:off x="3343275" y="8553450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304800</xdr:colOff>
      <xdr:row>56</xdr:row>
      <xdr:rowOff>123825</xdr:rowOff>
    </xdr:from>
    <xdr:to>
      <xdr:col>6</xdr:col>
      <xdr:colOff>304800</xdr:colOff>
      <xdr:row>58</xdr:row>
      <xdr:rowOff>76200</xdr:rowOff>
    </xdr:to>
    <xdr:sp macro="" textlink="">
      <xdr:nvSpPr>
        <xdr:cNvPr id="41" name="Line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>
          <a:spLocks noChangeShapeType="1"/>
        </xdr:cNvSpPr>
      </xdr:nvSpPr>
      <xdr:spPr bwMode="auto">
        <a:xfrm flipV="1">
          <a:off x="3962400" y="8543925"/>
          <a:ext cx="0" cy="27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342900</xdr:colOff>
      <xdr:row>57</xdr:row>
      <xdr:rowOff>0</xdr:rowOff>
    </xdr:from>
    <xdr:to>
      <xdr:col>5</xdr:col>
      <xdr:colOff>342900</xdr:colOff>
      <xdr:row>58</xdr:row>
      <xdr:rowOff>95250</xdr:rowOff>
    </xdr:to>
    <xdr:sp macro="" textlink="">
      <xdr:nvSpPr>
        <xdr:cNvPr id="42" name="Line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>
          <a:spLocks noChangeShapeType="1"/>
        </xdr:cNvSpPr>
      </xdr:nvSpPr>
      <xdr:spPr bwMode="auto">
        <a:xfrm>
          <a:off x="3390900" y="8582025"/>
          <a:ext cx="0" cy="257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257175</xdr:colOff>
      <xdr:row>57</xdr:row>
      <xdr:rowOff>0</xdr:rowOff>
    </xdr:from>
    <xdr:to>
      <xdr:col>6</xdr:col>
      <xdr:colOff>257175</xdr:colOff>
      <xdr:row>58</xdr:row>
      <xdr:rowOff>95250</xdr:rowOff>
    </xdr:to>
    <xdr:sp macro="" textlink="">
      <xdr:nvSpPr>
        <xdr:cNvPr id="43" name="Lin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>
          <a:spLocks noChangeShapeType="1"/>
        </xdr:cNvSpPr>
      </xdr:nvSpPr>
      <xdr:spPr bwMode="auto">
        <a:xfrm>
          <a:off x="3914775" y="8582025"/>
          <a:ext cx="0" cy="257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295275</xdr:colOff>
      <xdr:row>56</xdr:row>
      <xdr:rowOff>142875</xdr:rowOff>
    </xdr:from>
    <xdr:to>
      <xdr:col>5</xdr:col>
      <xdr:colOff>342900</xdr:colOff>
      <xdr:row>56</xdr:row>
      <xdr:rowOff>142875</xdr:rowOff>
    </xdr:to>
    <xdr:sp macro="" textlink="">
      <xdr:nvSpPr>
        <xdr:cNvPr id="44" name="Line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>
          <a:spLocks noChangeShapeType="1"/>
        </xdr:cNvSpPr>
      </xdr:nvSpPr>
      <xdr:spPr bwMode="auto">
        <a:xfrm>
          <a:off x="3343275" y="8562975"/>
          <a:ext cx="47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257175</xdr:colOff>
      <xdr:row>56</xdr:row>
      <xdr:rowOff>142875</xdr:rowOff>
    </xdr:from>
    <xdr:to>
      <xdr:col>6</xdr:col>
      <xdr:colOff>323850</xdr:colOff>
      <xdr:row>56</xdr:row>
      <xdr:rowOff>142875</xdr:rowOff>
    </xdr:to>
    <xdr:sp macro="" textlink="">
      <xdr:nvSpPr>
        <xdr:cNvPr id="45" name="Lin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>
          <a:spLocks noChangeShapeType="1"/>
        </xdr:cNvSpPr>
      </xdr:nvSpPr>
      <xdr:spPr bwMode="auto">
        <a:xfrm>
          <a:off x="3914775" y="8562975"/>
          <a:ext cx="66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342900</xdr:colOff>
      <xdr:row>60</xdr:row>
      <xdr:rowOff>142875</xdr:rowOff>
    </xdr:from>
    <xdr:to>
      <xdr:col>2</xdr:col>
      <xdr:colOff>171450</xdr:colOff>
      <xdr:row>60</xdr:row>
      <xdr:rowOff>142875</xdr:rowOff>
    </xdr:to>
    <xdr:sp macro="" textlink="">
      <xdr:nvSpPr>
        <xdr:cNvPr id="46" name="Line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>
          <a:spLocks noChangeShapeType="1"/>
        </xdr:cNvSpPr>
      </xdr:nvSpPr>
      <xdr:spPr bwMode="auto">
        <a:xfrm>
          <a:off x="952500" y="9210675"/>
          <a:ext cx="438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361950</xdr:colOff>
      <xdr:row>66</xdr:row>
      <xdr:rowOff>57150</xdr:rowOff>
    </xdr:from>
    <xdr:to>
      <xdr:col>1</xdr:col>
      <xdr:colOff>533400</xdr:colOff>
      <xdr:row>66</xdr:row>
      <xdr:rowOff>57150</xdr:rowOff>
    </xdr:to>
    <xdr:sp macro="" textlink="">
      <xdr:nvSpPr>
        <xdr:cNvPr id="47" name="Lin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>
          <a:spLocks noChangeShapeType="1"/>
        </xdr:cNvSpPr>
      </xdr:nvSpPr>
      <xdr:spPr bwMode="auto">
        <a:xfrm>
          <a:off x="971550" y="10096500"/>
          <a:ext cx="171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428625</xdr:colOff>
      <xdr:row>60</xdr:row>
      <xdr:rowOff>142875</xdr:rowOff>
    </xdr:from>
    <xdr:to>
      <xdr:col>1</xdr:col>
      <xdr:colOff>428625</xdr:colOff>
      <xdr:row>66</xdr:row>
      <xdr:rowOff>95250</xdr:rowOff>
    </xdr:to>
    <xdr:sp macro="" textlink="">
      <xdr:nvSpPr>
        <xdr:cNvPr id="48" name="Line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>
          <a:spLocks noChangeShapeType="1"/>
        </xdr:cNvSpPr>
      </xdr:nvSpPr>
      <xdr:spPr bwMode="auto">
        <a:xfrm>
          <a:off x="1038225" y="9210675"/>
          <a:ext cx="0" cy="923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495300</xdr:colOff>
      <xdr:row>61</xdr:row>
      <xdr:rowOff>57150</xdr:rowOff>
    </xdr:from>
    <xdr:to>
      <xdr:col>11</xdr:col>
      <xdr:colOff>323850</xdr:colOff>
      <xdr:row>61</xdr:row>
      <xdr:rowOff>57150</xdr:rowOff>
    </xdr:to>
    <xdr:sp macro="" textlink="">
      <xdr:nvSpPr>
        <xdr:cNvPr id="49" name="Lin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SpPr>
          <a:spLocks noChangeShapeType="1"/>
        </xdr:cNvSpPr>
      </xdr:nvSpPr>
      <xdr:spPr bwMode="auto">
        <a:xfrm>
          <a:off x="6591300" y="9286875"/>
          <a:ext cx="438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514350</xdr:colOff>
      <xdr:row>66</xdr:row>
      <xdr:rowOff>85725</xdr:rowOff>
    </xdr:from>
    <xdr:to>
      <xdr:col>11</xdr:col>
      <xdr:colOff>438150</xdr:colOff>
      <xdr:row>66</xdr:row>
      <xdr:rowOff>85725</xdr:rowOff>
    </xdr:to>
    <xdr:sp macro="" textlink="">
      <xdr:nvSpPr>
        <xdr:cNvPr id="50" name="Line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>
          <a:spLocks noChangeShapeType="1"/>
        </xdr:cNvSpPr>
      </xdr:nvSpPr>
      <xdr:spPr bwMode="auto">
        <a:xfrm>
          <a:off x="6610350" y="1012507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</xdr:col>
      <xdr:colOff>228600</xdr:colOff>
      <xdr:row>61</xdr:row>
      <xdr:rowOff>57150</xdr:rowOff>
    </xdr:from>
    <xdr:to>
      <xdr:col>11</xdr:col>
      <xdr:colOff>228600</xdr:colOff>
      <xdr:row>66</xdr:row>
      <xdr:rowOff>85725</xdr:rowOff>
    </xdr:to>
    <xdr:sp macro="" textlink="">
      <xdr:nvSpPr>
        <xdr:cNvPr id="51" name="Line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SpPr>
          <a:spLocks noChangeShapeType="1"/>
        </xdr:cNvSpPr>
      </xdr:nvSpPr>
      <xdr:spPr bwMode="auto">
        <a:xfrm>
          <a:off x="6934200" y="9286875"/>
          <a:ext cx="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523875</xdr:colOff>
      <xdr:row>71</xdr:row>
      <xdr:rowOff>104775</xdr:rowOff>
    </xdr:from>
    <xdr:to>
      <xdr:col>11</xdr:col>
      <xdr:colOff>123825</xdr:colOff>
      <xdr:row>71</xdr:row>
      <xdr:rowOff>104775</xdr:rowOff>
    </xdr:to>
    <xdr:sp macro="" textlink="">
      <xdr:nvSpPr>
        <xdr:cNvPr id="52" name="Line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SpPr>
          <a:spLocks noChangeShapeType="1"/>
        </xdr:cNvSpPr>
      </xdr:nvSpPr>
      <xdr:spPr bwMode="auto">
        <a:xfrm>
          <a:off x="6619875" y="10953750"/>
          <a:ext cx="209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619125</xdr:colOff>
      <xdr:row>66</xdr:row>
      <xdr:rowOff>85725</xdr:rowOff>
    </xdr:from>
    <xdr:to>
      <xdr:col>10</xdr:col>
      <xdr:colOff>619125</xdr:colOff>
      <xdr:row>71</xdr:row>
      <xdr:rowOff>114300</xdr:rowOff>
    </xdr:to>
    <xdr:sp macro="" textlink="">
      <xdr:nvSpPr>
        <xdr:cNvPr id="53" name="Line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>
          <a:spLocks noChangeShapeType="1"/>
        </xdr:cNvSpPr>
      </xdr:nvSpPr>
      <xdr:spPr bwMode="auto">
        <a:xfrm>
          <a:off x="6705600" y="10125075"/>
          <a:ext cx="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133350</xdr:colOff>
      <xdr:row>71</xdr:row>
      <xdr:rowOff>57150</xdr:rowOff>
    </xdr:from>
    <xdr:to>
      <xdr:col>1</xdr:col>
      <xdr:colOff>542925</xdr:colOff>
      <xdr:row>71</xdr:row>
      <xdr:rowOff>57150</xdr:rowOff>
    </xdr:to>
    <xdr:sp macro="" textlink="">
      <xdr:nvSpPr>
        <xdr:cNvPr id="54" name="Line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>
          <a:spLocks noChangeShapeType="1"/>
        </xdr:cNvSpPr>
      </xdr:nvSpPr>
      <xdr:spPr bwMode="auto">
        <a:xfrm flipH="1">
          <a:off x="742950" y="10906125"/>
          <a:ext cx="409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419100</xdr:colOff>
      <xdr:row>66</xdr:row>
      <xdr:rowOff>66675</xdr:rowOff>
    </xdr:from>
    <xdr:to>
      <xdr:col>1</xdr:col>
      <xdr:colOff>419100</xdr:colOff>
      <xdr:row>71</xdr:row>
      <xdr:rowOff>85725</xdr:rowOff>
    </xdr:to>
    <xdr:sp macro="" textlink="">
      <xdr:nvSpPr>
        <xdr:cNvPr id="55" name="Line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>
          <a:spLocks noChangeShapeType="1"/>
        </xdr:cNvSpPr>
      </xdr:nvSpPr>
      <xdr:spPr bwMode="auto">
        <a:xfrm>
          <a:off x="1028700" y="10106025"/>
          <a:ext cx="0" cy="828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428625</xdr:colOff>
      <xdr:row>57</xdr:row>
      <xdr:rowOff>76200</xdr:rowOff>
    </xdr:from>
    <xdr:to>
      <xdr:col>1</xdr:col>
      <xdr:colOff>428625</xdr:colOff>
      <xdr:row>60</xdr:row>
      <xdr:rowOff>123825</xdr:rowOff>
    </xdr:to>
    <xdr:sp macro="" textlink="">
      <xdr:nvSpPr>
        <xdr:cNvPr id="56" name="Line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>
          <a:spLocks noChangeShapeType="1"/>
        </xdr:cNvSpPr>
      </xdr:nvSpPr>
      <xdr:spPr bwMode="auto">
        <a:xfrm flipV="1">
          <a:off x="1038225" y="8658225"/>
          <a:ext cx="0" cy="533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323850</xdr:colOff>
      <xdr:row>58</xdr:row>
      <xdr:rowOff>104775</xdr:rowOff>
    </xdr:from>
    <xdr:to>
      <xdr:col>1</xdr:col>
      <xdr:colOff>504825</xdr:colOff>
      <xdr:row>58</xdr:row>
      <xdr:rowOff>104775</xdr:rowOff>
    </xdr:to>
    <xdr:sp macro="" textlink="">
      <xdr:nvSpPr>
        <xdr:cNvPr id="57" name="Line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SpPr>
          <a:spLocks noChangeShapeType="1"/>
        </xdr:cNvSpPr>
      </xdr:nvSpPr>
      <xdr:spPr bwMode="auto">
        <a:xfrm>
          <a:off x="933450" y="8848725"/>
          <a:ext cx="180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</xdr:col>
      <xdr:colOff>228600</xdr:colOff>
      <xdr:row>58</xdr:row>
      <xdr:rowOff>66675</xdr:rowOff>
    </xdr:from>
    <xdr:to>
      <xdr:col>11</xdr:col>
      <xdr:colOff>228600</xdr:colOff>
      <xdr:row>62</xdr:row>
      <xdr:rowOff>28575</xdr:rowOff>
    </xdr:to>
    <xdr:sp macro="" textlink="">
      <xdr:nvSpPr>
        <xdr:cNvPr id="58" name="Line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>
          <a:spLocks noChangeShapeType="1"/>
        </xdr:cNvSpPr>
      </xdr:nvSpPr>
      <xdr:spPr bwMode="auto">
        <a:xfrm flipV="1">
          <a:off x="6934200" y="881062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</xdr:col>
      <xdr:colOff>104775</xdr:colOff>
      <xdr:row>58</xdr:row>
      <xdr:rowOff>85725</xdr:rowOff>
    </xdr:from>
    <xdr:to>
      <xdr:col>11</xdr:col>
      <xdr:colOff>314325</xdr:colOff>
      <xdr:row>58</xdr:row>
      <xdr:rowOff>85725</xdr:rowOff>
    </xdr:to>
    <xdr:sp macro="" textlink="">
      <xdr:nvSpPr>
        <xdr:cNvPr id="59" name="Line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>
          <a:spLocks noChangeShapeType="1"/>
        </xdr:cNvSpPr>
      </xdr:nvSpPr>
      <xdr:spPr bwMode="auto">
        <a:xfrm>
          <a:off x="6810375" y="8829675"/>
          <a:ext cx="209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171450</xdr:colOff>
      <xdr:row>56</xdr:row>
      <xdr:rowOff>123825</xdr:rowOff>
    </xdr:from>
    <xdr:to>
      <xdr:col>4</xdr:col>
      <xdr:colOff>171450</xdr:colOff>
      <xdr:row>58</xdr:row>
      <xdr:rowOff>104775</xdr:rowOff>
    </xdr:to>
    <xdr:sp macro="" textlink="">
      <xdr:nvSpPr>
        <xdr:cNvPr id="60" name="Line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SpPr>
          <a:spLocks noChangeShapeType="1"/>
        </xdr:cNvSpPr>
      </xdr:nvSpPr>
      <xdr:spPr bwMode="auto">
        <a:xfrm flipV="1">
          <a:off x="2609850" y="854392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428625</xdr:colOff>
      <xdr:row>57</xdr:row>
      <xdr:rowOff>76200</xdr:rowOff>
    </xdr:from>
    <xdr:to>
      <xdr:col>5</xdr:col>
      <xdr:colOff>295275</xdr:colOff>
      <xdr:row>57</xdr:row>
      <xdr:rowOff>76200</xdr:rowOff>
    </xdr:to>
    <xdr:sp macro="" textlink="">
      <xdr:nvSpPr>
        <xdr:cNvPr id="61" name="Line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SpPr>
          <a:spLocks noChangeShapeType="1"/>
        </xdr:cNvSpPr>
      </xdr:nvSpPr>
      <xdr:spPr bwMode="auto">
        <a:xfrm>
          <a:off x="1038225" y="8658225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466725</xdr:colOff>
      <xdr:row>56</xdr:row>
      <xdr:rowOff>123825</xdr:rowOff>
    </xdr:from>
    <xdr:to>
      <xdr:col>2</xdr:col>
      <xdr:colOff>466725</xdr:colOff>
      <xdr:row>57</xdr:row>
      <xdr:rowOff>123825</xdr:rowOff>
    </xdr:to>
    <xdr:sp macro="" textlink="">
      <xdr:nvSpPr>
        <xdr:cNvPr id="62" name="Line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>
          <a:spLocks noChangeShapeType="1"/>
        </xdr:cNvSpPr>
      </xdr:nvSpPr>
      <xdr:spPr bwMode="auto">
        <a:xfrm flipV="1">
          <a:off x="1685925" y="8543925"/>
          <a:ext cx="0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57150</xdr:colOff>
      <xdr:row>57</xdr:row>
      <xdr:rowOff>0</xdr:rowOff>
    </xdr:from>
    <xdr:to>
      <xdr:col>2</xdr:col>
      <xdr:colOff>57150</xdr:colOff>
      <xdr:row>57</xdr:row>
      <xdr:rowOff>142875</xdr:rowOff>
    </xdr:to>
    <xdr:sp macro="" textlink="">
      <xdr:nvSpPr>
        <xdr:cNvPr id="63" name="Line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>
          <a:spLocks noChangeShapeType="1"/>
        </xdr:cNvSpPr>
      </xdr:nvSpPr>
      <xdr:spPr bwMode="auto">
        <a:xfrm flipV="1">
          <a:off x="1276350" y="8582025"/>
          <a:ext cx="0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314325</xdr:colOff>
      <xdr:row>57</xdr:row>
      <xdr:rowOff>47625</xdr:rowOff>
    </xdr:from>
    <xdr:to>
      <xdr:col>10</xdr:col>
      <xdr:colOff>600075</xdr:colOff>
      <xdr:row>57</xdr:row>
      <xdr:rowOff>47625</xdr:rowOff>
    </xdr:to>
    <xdr:sp macro="" textlink="">
      <xdr:nvSpPr>
        <xdr:cNvPr id="64" name="Line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SpPr>
          <a:spLocks noChangeShapeType="1"/>
        </xdr:cNvSpPr>
      </xdr:nvSpPr>
      <xdr:spPr bwMode="auto">
        <a:xfrm>
          <a:off x="3971925" y="8629650"/>
          <a:ext cx="2724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180975</xdr:colOff>
      <xdr:row>57</xdr:row>
      <xdr:rowOff>9525</xdr:rowOff>
    </xdr:from>
    <xdr:to>
      <xdr:col>8</xdr:col>
      <xdr:colOff>180975</xdr:colOff>
      <xdr:row>57</xdr:row>
      <xdr:rowOff>133350</xdr:rowOff>
    </xdr:to>
    <xdr:sp macro="" textlink="">
      <xdr:nvSpPr>
        <xdr:cNvPr id="65" name="Line 6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SpPr>
          <a:spLocks noChangeShapeType="1"/>
        </xdr:cNvSpPr>
      </xdr:nvSpPr>
      <xdr:spPr bwMode="auto">
        <a:xfrm>
          <a:off x="5057775" y="8591550"/>
          <a:ext cx="0" cy="123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685800</xdr:colOff>
      <xdr:row>56</xdr:row>
      <xdr:rowOff>123825</xdr:rowOff>
    </xdr:from>
    <xdr:to>
      <xdr:col>9</xdr:col>
      <xdr:colOff>685800</xdr:colOff>
      <xdr:row>58</xdr:row>
      <xdr:rowOff>0</xdr:rowOff>
    </xdr:to>
    <xdr:sp macro="" textlink="">
      <xdr:nvSpPr>
        <xdr:cNvPr id="66" name="Lin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SpPr>
          <a:spLocks noChangeShapeType="1"/>
        </xdr:cNvSpPr>
      </xdr:nvSpPr>
      <xdr:spPr bwMode="auto">
        <a:xfrm>
          <a:off x="6096000" y="854392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371475</xdr:colOff>
      <xdr:row>56</xdr:row>
      <xdr:rowOff>133350</xdr:rowOff>
    </xdr:from>
    <xdr:to>
      <xdr:col>10</xdr:col>
      <xdr:colOff>371475</xdr:colOff>
      <xdr:row>58</xdr:row>
      <xdr:rowOff>38100</xdr:rowOff>
    </xdr:to>
    <xdr:sp macro="" textlink="">
      <xdr:nvSpPr>
        <xdr:cNvPr id="67" name="Line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>
          <a:spLocks noChangeShapeType="1"/>
        </xdr:cNvSpPr>
      </xdr:nvSpPr>
      <xdr:spPr bwMode="auto">
        <a:xfrm>
          <a:off x="6467475" y="855345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333375</xdr:colOff>
      <xdr:row>65</xdr:row>
      <xdr:rowOff>85725</xdr:rowOff>
    </xdr:from>
    <xdr:to>
      <xdr:col>7</xdr:col>
      <xdr:colOff>533400</xdr:colOff>
      <xdr:row>66</xdr:row>
      <xdr:rowOff>85725</xdr:rowOff>
    </xdr:to>
    <xdr:sp macro="" textlink="">
      <xdr:nvSpPr>
        <xdr:cNvPr id="68" name="Line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>
          <a:spLocks noChangeShapeType="1"/>
        </xdr:cNvSpPr>
      </xdr:nvSpPr>
      <xdr:spPr bwMode="auto">
        <a:xfrm>
          <a:off x="3990975" y="9963150"/>
          <a:ext cx="809625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333375</xdr:colOff>
      <xdr:row>65</xdr:row>
      <xdr:rowOff>57150</xdr:rowOff>
    </xdr:from>
    <xdr:to>
      <xdr:col>6</xdr:col>
      <xdr:colOff>333375</xdr:colOff>
      <xdr:row>65</xdr:row>
      <xdr:rowOff>85725</xdr:rowOff>
    </xdr:to>
    <xdr:sp macro="" textlink="">
      <xdr:nvSpPr>
        <xdr:cNvPr id="69" name="Line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SpPr>
          <a:spLocks noChangeShapeType="1"/>
        </xdr:cNvSpPr>
      </xdr:nvSpPr>
      <xdr:spPr bwMode="auto">
        <a:xfrm>
          <a:off x="3990975" y="99345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266700</xdr:colOff>
      <xdr:row>66</xdr:row>
      <xdr:rowOff>57150</xdr:rowOff>
    </xdr:from>
    <xdr:to>
      <xdr:col>7</xdr:col>
      <xdr:colOff>476250</xdr:colOff>
      <xdr:row>67</xdr:row>
      <xdr:rowOff>123825</xdr:rowOff>
    </xdr:to>
    <xdr:sp macro="" textlink="">
      <xdr:nvSpPr>
        <xdr:cNvPr id="70" name="Line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>
          <a:spLocks noChangeShapeType="1"/>
        </xdr:cNvSpPr>
      </xdr:nvSpPr>
      <xdr:spPr bwMode="auto">
        <a:xfrm>
          <a:off x="3924300" y="10096500"/>
          <a:ext cx="81915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285750</xdr:colOff>
      <xdr:row>66</xdr:row>
      <xdr:rowOff>57150</xdr:rowOff>
    </xdr:from>
    <xdr:to>
      <xdr:col>6</xdr:col>
      <xdr:colOff>314325</xdr:colOff>
      <xdr:row>66</xdr:row>
      <xdr:rowOff>57150</xdr:rowOff>
    </xdr:to>
    <xdr:sp macro="" textlink="">
      <xdr:nvSpPr>
        <xdr:cNvPr id="71" name="Line 70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>
          <a:spLocks noChangeShapeType="1"/>
        </xdr:cNvSpPr>
      </xdr:nvSpPr>
      <xdr:spPr bwMode="auto">
        <a:xfrm>
          <a:off x="3333750" y="10096500"/>
          <a:ext cx="638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323850</xdr:colOff>
      <xdr:row>59</xdr:row>
      <xdr:rowOff>66675</xdr:rowOff>
    </xdr:from>
    <xdr:to>
      <xdr:col>6</xdr:col>
      <xdr:colOff>323850</xdr:colOff>
      <xdr:row>65</xdr:row>
      <xdr:rowOff>47625</xdr:rowOff>
    </xdr:to>
    <xdr:sp macro="" textlink="">
      <xdr:nvSpPr>
        <xdr:cNvPr id="72" name="Line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>
          <a:spLocks noChangeShapeType="1"/>
        </xdr:cNvSpPr>
      </xdr:nvSpPr>
      <xdr:spPr bwMode="auto">
        <a:xfrm>
          <a:off x="3981450" y="8972550"/>
          <a:ext cx="0" cy="952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295275</xdr:colOff>
      <xdr:row>62</xdr:row>
      <xdr:rowOff>76200</xdr:rowOff>
    </xdr:from>
    <xdr:to>
      <xdr:col>6</xdr:col>
      <xdr:colOff>295275</xdr:colOff>
      <xdr:row>65</xdr:row>
      <xdr:rowOff>47625</xdr:rowOff>
    </xdr:to>
    <xdr:sp macro="" textlink="">
      <xdr:nvSpPr>
        <xdr:cNvPr id="73" name="Line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>
          <a:spLocks noChangeShapeType="1"/>
        </xdr:cNvSpPr>
      </xdr:nvSpPr>
      <xdr:spPr bwMode="auto">
        <a:xfrm>
          <a:off x="3952875" y="94678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295275</xdr:colOff>
      <xdr:row>62</xdr:row>
      <xdr:rowOff>76200</xdr:rowOff>
    </xdr:from>
    <xdr:to>
      <xdr:col>6</xdr:col>
      <xdr:colOff>333375</xdr:colOff>
      <xdr:row>62</xdr:row>
      <xdr:rowOff>76200</xdr:rowOff>
    </xdr:to>
    <xdr:sp macro="" textlink="">
      <xdr:nvSpPr>
        <xdr:cNvPr id="74" name="Lin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>
          <a:spLocks noChangeShapeType="1"/>
        </xdr:cNvSpPr>
      </xdr:nvSpPr>
      <xdr:spPr bwMode="auto">
        <a:xfrm>
          <a:off x="3952875" y="9467850"/>
          <a:ext cx="38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130</xdr:row>
      <xdr:rowOff>142875</xdr:rowOff>
    </xdr:from>
    <xdr:to>
      <xdr:col>5</xdr:col>
      <xdr:colOff>9525</xdr:colOff>
      <xdr:row>134</xdr:row>
      <xdr:rowOff>104775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/>
      </xdr:nvCxnSpPr>
      <xdr:spPr bwMode="auto">
        <a:xfrm>
          <a:off x="3048000" y="18764250"/>
          <a:ext cx="9525" cy="609600"/>
        </a:xfrm>
        <a:prstGeom prst="line">
          <a:avLst/>
        </a:prstGeom>
        <a:ln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134</xdr:row>
      <xdr:rowOff>85725</xdr:rowOff>
    </xdr:from>
    <xdr:to>
      <xdr:col>8</xdr:col>
      <xdr:colOff>438150</xdr:colOff>
      <xdr:row>134</xdr:row>
      <xdr:rowOff>123825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CxnSpPr/>
      </xdr:nvCxnSpPr>
      <xdr:spPr bwMode="auto">
        <a:xfrm>
          <a:off x="1838325" y="19354800"/>
          <a:ext cx="3476625" cy="38100"/>
        </a:xfrm>
        <a:prstGeom prst="line">
          <a:avLst/>
        </a:prstGeom>
        <a:ln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134</xdr:row>
      <xdr:rowOff>114300</xdr:rowOff>
    </xdr:from>
    <xdr:to>
      <xdr:col>3</xdr:col>
      <xdr:colOff>47625</xdr:colOff>
      <xdr:row>138</xdr:row>
      <xdr:rowOff>114300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CxnSpPr/>
      </xdr:nvCxnSpPr>
      <xdr:spPr bwMode="auto">
        <a:xfrm>
          <a:off x="1876425" y="19383375"/>
          <a:ext cx="0" cy="647700"/>
        </a:xfrm>
        <a:prstGeom prst="line">
          <a:avLst/>
        </a:prstGeom>
        <a:ln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134</xdr:row>
      <xdr:rowOff>104775</xdr:rowOff>
    </xdr:from>
    <xdr:to>
      <xdr:col>8</xdr:col>
      <xdr:colOff>438150</xdr:colOff>
      <xdr:row>138</xdr:row>
      <xdr:rowOff>133350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CxnSpPr/>
      </xdr:nvCxnSpPr>
      <xdr:spPr bwMode="auto">
        <a:xfrm>
          <a:off x="5305425" y="19373850"/>
          <a:ext cx="9525" cy="676275"/>
        </a:xfrm>
        <a:prstGeom prst="line">
          <a:avLst/>
        </a:prstGeom>
        <a:ln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62</xdr:row>
      <xdr:rowOff>47625</xdr:rowOff>
    </xdr:from>
    <xdr:to>
      <xdr:col>3</xdr:col>
      <xdr:colOff>476251</xdr:colOff>
      <xdr:row>63</xdr:row>
      <xdr:rowOff>9524</xdr:rowOff>
    </xdr:to>
    <xdr:sp macro="" textlink="">
      <xdr:nvSpPr>
        <xdr:cNvPr id="79" name="Flowchart: Merge 78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SpPr/>
      </xdr:nvSpPr>
      <xdr:spPr bwMode="auto">
        <a:xfrm>
          <a:off x="2143125" y="10086975"/>
          <a:ext cx="161926" cy="123824"/>
        </a:xfrm>
        <a:prstGeom prst="flowChartMerg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447675</xdr:colOff>
      <xdr:row>61</xdr:row>
      <xdr:rowOff>47625</xdr:rowOff>
    </xdr:from>
    <xdr:to>
      <xdr:col>5</xdr:col>
      <xdr:colOff>1</xdr:colOff>
      <xdr:row>62</xdr:row>
      <xdr:rowOff>9524</xdr:rowOff>
    </xdr:to>
    <xdr:sp macro="" textlink="">
      <xdr:nvSpPr>
        <xdr:cNvPr id="80" name="Flowchart: Merge 7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SpPr/>
      </xdr:nvSpPr>
      <xdr:spPr bwMode="auto">
        <a:xfrm>
          <a:off x="2886075" y="9925050"/>
          <a:ext cx="161926" cy="123824"/>
        </a:xfrm>
        <a:prstGeom prst="flowChartMerg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381000</xdr:colOff>
      <xdr:row>62</xdr:row>
      <xdr:rowOff>47625</xdr:rowOff>
    </xdr:from>
    <xdr:to>
      <xdr:col>7</xdr:col>
      <xdr:colOff>542926</xdr:colOff>
      <xdr:row>63</xdr:row>
      <xdr:rowOff>9524</xdr:rowOff>
    </xdr:to>
    <xdr:sp macro="" textlink="">
      <xdr:nvSpPr>
        <xdr:cNvPr id="81" name="Flowchart: Merge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SpPr/>
      </xdr:nvSpPr>
      <xdr:spPr bwMode="auto">
        <a:xfrm>
          <a:off x="4648200" y="10086975"/>
          <a:ext cx="161926" cy="123824"/>
        </a:xfrm>
        <a:prstGeom prst="flowChartMerg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409575</xdr:colOff>
      <xdr:row>61</xdr:row>
      <xdr:rowOff>47625</xdr:rowOff>
    </xdr:from>
    <xdr:to>
      <xdr:col>8</xdr:col>
      <xdr:colOff>571501</xdr:colOff>
      <xdr:row>62</xdr:row>
      <xdr:rowOff>9524</xdr:rowOff>
    </xdr:to>
    <xdr:sp macro="" textlink="">
      <xdr:nvSpPr>
        <xdr:cNvPr id="82" name="Flowchart: Merge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SpPr/>
      </xdr:nvSpPr>
      <xdr:spPr bwMode="auto">
        <a:xfrm>
          <a:off x="5286375" y="9925050"/>
          <a:ext cx="161926" cy="123824"/>
        </a:xfrm>
        <a:prstGeom prst="flowChartMerg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94</xdr:row>
      <xdr:rowOff>133350</xdr:rowOff>
    </xdr:from>
    <xdr:to>
      <xdr:col>7</xdr:col>
      <xdr:colOff>600075</xdr:colOff>
      <xdr:row>94</xdr:row>
      <xdr:rowOff>133350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CxnSpPr/>
      </xdr:nvCxnSpPr>
      <xdr:spPr bwMode="auto">
        <a:xfrm>
          <a:off x="3514725" y="15640050"/>
          <a:ext cx="876300" cy="0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00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D4C7-1BD3-40EE-9843-451DC06D707A}">
  <dimension ref="A1:I60"/>
  <sheetViews>
    <sheetView topLeftCell="A31" workbookViewId="0">
      <selection activeCell="L21" sqref="L21"/>
    </sheetView>
  </sheetViews>
  <sheetFormatPr defaultRowHeight="12.75" x14ac:dyDescent="0.2"/>
  <cols>
    <col min="1" max="1" width="7" customWidth="1"/>
    <col min="9" max="9" width="12.42578125" customWidth="1"/>
  </cols>
  <sheetData>
    <row r="1" spans="1:9" ht="22.5" customHeight="1" x14ac:dyDescent="0.3">
      <c r="A1" s="827"/>
      <c r="B1" s="827"/>
      <c r="C1" s="1422" t="s">
        <v>2561</v>
      </c>
      <c r="D1" s="1422"/>
      <c r="E1" s="1422"/>
      <c r="F1" s="1422"/>
      <c r="G1" s="1422"/>
      <c r="H1" s="827"/>
      <c r="I1" s="827"/>
    </row>
    <row r="2" spans="1:9" ht="18" customHeight="1" x14ac:dyDescent="0.2">
      <c r="A2" s="827"/>
      <c r="B2" s="827"/>
      <c r="C2" s="827"/>
      <c r="D2" s="827"/>
      <c r="E2" s="827"/>
      <c r="F2" s="827"/>
      <c r="G2" s="827"/>
      <c r="H2" s="827"/>
      <c r="I2" s="827"/>
    </row>
    <row r="3" spans="1:9" ht="18" customHeight="1" x14ac:dyDescent="0.2">
      <c r="A3" s="827"/>
      <c r="B3" s="1421" t="s">
        <v>2585</v>
      </c>
      <c r="C3" s="1421"/>
      <c r="D3" s="1421"/>
      <c r="E3" s="1421"/>
      <c r="F3" s="1421"/>
      <c r="G3" s="1421"/>
      <c r="H3" s="1421"/>
      <c r="I3" s="1421"/>
    </row>
    <row r="4" spans="1:9" ht="18" customHeight="1" x14ac:dyDescent="0.2">
      <c r="A4" s="827"/>
      <c r="B4" s="1421" t="s">
        <v>2595</v>
      </c>
      <c r="C4" s="1421"/>
      <c r="D4" s="1421"/>
      <c r="E4" s="1421"/>
      <c r="F4" s="1421"/>
      <c r="G4" s="1421"/>
      <c r="H4" s="1421"/>
      <c r="I4" s="1421"/>
    </row>
    <row r="5" spans="1:9" ht="18" customHeight="1" x14ac:dyDescent="0.2">
      <c r="A5" s="827"/>
      <c r="B5" s="1421" t="s">
        <v>2562</v>
      </c>
      <c r="C5" s="1421"/>
      <c r="D5" s="1421"/>
      <c r="E5" s="1421"/>
      <c r="F5" s="1421"/>
      <c r="G5" s="1421"/>
      <c r="H5" s="1421"/>
      <c r="I5" s="1421"/>
    </row>
    <row r="6" spans="1:9" ht="18" customHeight="1" x14ac:dyDescent="0.2">
      <c r="A6" s="827"/>
      <c r="B6" s="1421" t="s">
        <v>2586</v>
      </c>
      <c r="C6" s="1421"/>
      <c r="D6" s="1421"/>
      <c r="E6" s="1421"/>
      <c r="F6" s="1421"/>
      <c r="G6" s="1421"/>
      <c r="H6" s="1421"/>
      <c r="I6" s="1421"/>
    </row>
    <row r="7" spans="1:9" ht="18" customHeight="1" x14ac:dyDescent="0.25">
      <c r="A7" s="827"/>
      <c r="B7" s="1411"/>
      <c r="C7" s="1411"/>
      <c r="D7" s="1411"/>
      <c r="E7" s="1411"/>
      <c r="F7" s="1411"/>
      <c r="G7" s="1411"/>
      <c r="H7" s="1411"/>
      <c r="I7" s="1411"/>
    </row>
    <row r="8" spans="1:9" ht="18" customHeight="1" x14ac:dyDescent="0.2">
      <c r="A8" s="827"/>
      <c r="B8" s="1421" t="s">
        <v>2587</v>
      </c>
      <c r="C8" s="1421"/>
      <c r="D8" s="1421"/>
      <c r="E8" s="1421"/>
      <c r="F8" s="1421"/>
      <c r="G8" s="1421"/>
      <c r="H8" s="1421"/>
      <c r="I8" s="1421"/>
    </row>
    <row r="9" spans="1:9" ht="18" customHeight="1" x14ac:dyDescent="0.2">
      <c r="A9" s="827"/>
      <c r="B9" s="1421" t="s">
        <v>2588</v>
      </c>
      <c r="C9" s="1421"/>
      <c r="D9" s="1421"/>
      <c r="E9" s="1421"/>
      <c r="F9" s="1421"/>
      <c r="G9" s="1421"/>
      <c r="H9" s="1421"/>
      <c r="I9" s="1421"/>
    </row>
    <row r="10" spans="1:9" ht="18" customHeight="1" x14ac:dyDescent="0.25">
      <c r="A10" s="827"/>
      <c r="B10" s="1411" t="s">
        <v>2589</v>
      </c>
      <c r="C10" s="1411"/>
      <c r="D10" s="1411"/>
      <c r="E10" s="1411"/>
      <c r="F10" s="1411"/>
      <c r="G10" s="1411"/>
      <c r="H10" s="1411"/>
      <c r="I10" s="1411"/>
    </row>
    <row r="11" spans="1:9" ht="18" customHeight="1" x14ac:dyDescent="0.25">
      <c r="A11" s="827"/>
      <c r="B11" s="1411" t="s">
        <v>2590</v>
      </c>
      <c r="C11" s="1411"/>
      <c r="D11" s="1411"/>
      <c r="E11" s="1411"/>
      <c r="F11" s="1411"/>
      <c r="G11" s="1411"/>
      <c r="H11" s="1411"/>
      <c r="I11" s="1411"/>
    </row>
    <row r="12" spans="1:9" ht="18" customHeight="1" x14ac:dyDescent="0.25">
      <c r="A12" s="827"/>
      <c r="B12" s="1411"/>
      <c r="C12" s="1411"/>
      <c r="D12" s="1411"/>
      <c r="E12" s="1411"/>
      <c r="F12" s="1411"/>
      <c r="G12" s="1411"/>
      <c r="H12" s="1411"/>
      <c r="I12" s="1411"/>
    </row>
    <row r="13" spans="1:9" ht="18" customHeight="1" x14ac:dyDescent="0.2">
      <c r="A13" s="827"/>
      <c r="B13" s="1421" t="s">
        <v>2591</v>
      </c>
      <c r="C13" s="1421"/>
      <c r="D13" s="1421"/>
      <c r="E13" s="1421"/>
      <c r="F13" s="1421"/>
      <c r="G13" s="1421"/>
      <c r="H13" s="1421"/>
      <c r="I13" s="1421"/>
    </row>
    <row r="14" spans="1:9" ht="18" customHeight="1" x14ac:dyDescent="0.2">
      <c r="A14" s="827"/>
      <c r="B14" s="1421" t="s">
        <v>2593</v>
      </c>
      <c r="C14" s="1421"/>
      <c r="D14" s="1421"/>
      <c r="E14" s="1421"/>
      <c r="F14" s="1421"/>
      <c r="G14" s="1421"/>
      <c r="H14" s="1421"/>
      <c r="I14" s="1421"/>
    </row>
    <row r="15" spans="1:9" ht="18" customHeight="1" x14ac:dyDescent="0.2">
      <c r="A15" s="827"/>
      <c r="B15" s="1421" t="s">
        <v>2592</v>
      </c>
      <c r="C15" s="1421"/>
      <c r="D15" s="1421"/>
      <c r="E15" s="1421"/>
      <c r="F15" s="1421"/>
      <c r="G15" s="1421"/>
      <c r="H15" s="1421"/>
      <c r="I15" s="1421"/>
    </row>
    <row r="16" spans="1:9" ht="18" customHeight="1" x14ac:dyDescent="0.2">
      <c r="A16" s="827"/>
      <c r="B16" s="1421" t="s">
        <v>2563</v>
      </c>
      <c r="C16" s="1421"/>
      <c r="D16" s="1421"/>
      <c r="E16" s="1421"/>
      <c r="F16" s="1421"/>
      <c r="G16" s="1421"/>
      <c r="H16" s="1421"/>
      <c r="I16" s="1421"/>
    </row>
    <row r="17" spans="1:9" ht="18" customHeight="1" x14ac:dyDescent="0.2">
      <c r="A17" s="827"/>
      <c r="B17" s="1421" t="s">
        <v>2594</v>
      </c>
      <c r="C17" s="1421"/>
      <c r="D17" s="1421"/>
      <c r="E17" s="1421"/>
      <c r="F17" s="1421"/>
      <c r="G17" s="1421"/>
      <c r="H17" s="1421"/>
      <c r="I17" s="1421"/>
    </row>
    <row r="18" spans="1:9" ht="18" customHeight="1" x14ac:dyDescent="0.25">
      <c r="A18" s="827"/>
      <c r="B18" s="1411" t="s">
        <v>2564</v>
      </c>
      <c r="C18" s="1411"/>
      <c r="D18" s="1411"/>
      <c r="E18" s="1411"/>
      <c r="F18" s="1411"/>
      <c r="G18" s="1411"/>
      <c r="H18" s="1411"/>
      <c r="I18" s="1411"/>
    </row>
    <row r="19" spans="1:9" ht="18" customHeight="1" x14ac:dyDescent="0.25">
      <c r="A19" s="827"/>
      <c r="B19" s="1411"/>
      <c r="C19" s="1411"/>
      <c r="D19" s="1411"/>
      <c r="E19" s="1411"/>
      <c r="F19" s="1411"/>
      <c r="G19" s="1411"/>
      <c r="H19" s="1411"/>
      <c r="I19" s="1411"/>
    </row>
    <row r="20" spans="1:9" ht="18" customHeight="1" x14ac:dyDescent="0.25">
      <c r="A20" s="827"/>
      <c r="B20" s="1411" t="s">
        <v>2565</v>
      </c>
      <c r="C20" s="1411"/>
      <c r="D20" s="1411"/>
      <c r="E20" s="1411"/>
      <c r="F20" s="1411"/>
      <c r="G20" s="1411"/>
      <c r="H20" s="1411"/>
      <c r="I20" s="1411"/>
    </row>
    <row r="21" spans="1:9" ht="18" customHeight="1" x14ac:dyDescent="0.25">
      <c r="A21" s="827"/>
      <c r="B21" s="1411"/>
      <c r="C21" s="1411" t="s">
        <v>2566</v>
      </c>
      <c r="D21" s="1411" t="s">
        <v>2567</v>
      </c>
      <c r="E21" s="1411"/>
      <c r="F21" s="1411" t="s">
        <v>2573</v>
      </c>
      <c r="G21" s="1411"/>
      <c r="H21" s="1411"/>
      <c r="I21" s="1411"/>
    </row>
    <row r="22" spans="1:9" ht="18" customHeight="1" x14ac:dyDescent="0.25">
      <c r="A22" s="827"/>
      <c r="B22" s="1411"/>
      <c r="C22" s="1411" t="s">
        <v>2568</v>
      </c>
      <c r="D22" s="1411" t="s">
        <v>2569</v>
      </c>
      <c r="E22" s="1411"/>
      <c r="F22" s="1411"/>
      <c r="G22" s="1411"/>
      <c r="H22" s="1411"/>
      <c r="I22" s="1411"/>
    </row>
    <row r="23" spans="1:9" ht="18" customHeight="1" x14ac:dyDescent="0.25">
      <c r="A23" s="827"/>
      <c r="B23" s="1411"/>
      <c r="C23" s="1411" t="s">
        <v>2570</v>
      </c>
      <c r="D23" s="1411" t="s">
        <v>2571</v>
      </c>
      <c r="E23" s="1411"/>
      <c r="F23" s="1411" t="s">
        <v>2572</v>
      </c>
      <c r="G23" s="1411"/>
      <c r="H23" s="1411"/>
      <c r="I23" s="1411"/>
    </row>
    <row r="24" spans="1:9" ht="18" customHeight="1" x14ac:dyDescent="0.25">
      <c r="A24" s="827"/>
      <c r="C24" s="1411"/>
      <c r="D24" s="1411"/>
      <c r="E24" s="1411"/>
      <c r="F24" s="1411"/>
      <c r="G24" s="1411"/>
      <c r="H24" s="1411"/>
      <c r="I24" s="1411"/>
    </row>
    <row r="25" spans="1:9" ht="18" customHeight="1" x14ac:dyDescent="0.25">
      <c r="A25" s="827"/>
      <c r="B25" s="1411" t="s">
        <v>2574</v>
      </c>
      <c r="C25" s="1411"/>
      <c r="D25" s="1411"/>
      <c r="E25" s="1411"/>
      <c r="F25" s="1411"/>
      <c r="G25" s="1411"/>
      <c r="H25" s="1411"/>
      <c r="I25" s="1411"/>
    </row>
    <row r="26" spans="1:9" ht="18" customHeight="1" x14ac:dyDescent="0.25">
      <c r="A26" s="827"/>
      <c r="B26" s="1411"/>
      <c r="C26" s="1411" t="s">
        <v>2575</v>
      </c>
      <c r="D26" s="1411"/>
      <c r="E26" s="1411"/>
      <c r="F26" s="1411"/>
      <c r="G26" s="1411" t="s">
        <v>2576</v>
      </c>
      <c r="H26" s="1411"/>
      <c r="I26" s="1411"/>
    </row>
    <row r="27" spans="1:9" ht="18" customHeight="1" x14ac:dyDescent="0.25">
      <c r="A27" s="827"/>
      <c r="B27" s="1411"/>
      <c r="C27" s="1411" t="s">
        <v>2577</v>
      </c>
      <c r="D27" s="1411"/>
      <c r="E27" s="1411"/>
      <c r="F27" s="1411"/>
      <c r="G27" s="1411" t="s">
        <v>2578</v>
      </c>
      <c r="H27" s="1411"/>
      <c r="I27" s="1411"/>
    </row>
    <row r="28" spans="1:9" ht="18" customHeight="1" x14ac:dyDescent="0.25">
      <c r="A28" s="827"/>
      <c r="B28" s="1411"/>
      <c r="C28" s="1411" t="s">
        <v>2579</v>
      </c>
      <c r="D28" s="1411"/>
      <c r="E28" s="1411"/>
      <c r="F28" s="1411"/>
      <c r="G28" s="1411"/>
      <c r="H28" s="1411"/>
      <c r="I28" s="1411"/>
    </row>
    <row r="29" spans="1:9" ht="18" customHeight="1" x14ac:dyDescent="0.25">
      <c r="A29" s="827"/>
      <c r="B29" s="1411"/>
      <c r="C29" s="1411" t="s">
        <v>2580</v>
      </c>
      <c r="D29" s="1411"/>
      <c r="E29" s="1411"/>
      <c r="F29" s="1411"/>
      <c r="G29" s="1411" t="s">
        <v>2578</v>
      </c>
      <c r="H29" s="1411"/>
      <c r="I29" s="1411"/>
    </row>
    <row r="30" spans="1:9" ht="18" customHeight="1" x14ac:dyDescent="0.25">
      <c r="A30" s="827"/>
      <c r="B30" s="1411"/>
      <c r="C30" s="1411" t="s">
        <v>2581</v>
      </c>
      <c r="D30" s="1411"/>
      <c r="E30" s="1411"/>
      <c r="F30" s="1411"/>
      <c r="G30" s="1411" t="s">
        <v>2582</v>
      </c>
      <c r="H30" s="1411"/>
      <c r="I30" s="1411"/>
    </row>
    <row r="31" spans="1:9" ht="18" customHeight="1" x14ac:dyDescent="0.25">
      <c r="A31" s="827"/>
      <c r="B31" s="1411"/>
      <c r="C31" s="1411"/>
      <c r="D31" s="1411"/>
      <c r="E31" s="1411"/>
      <c r="F31" s="1411"/>
      <c r="G31" s="1411"/>
      <c r="H31" s="1411"/>
      <c r="I31" s="1411"/>
    </row>
    <row r="32" spans="1:9" ht="18" customHeight="1" x14ac:dyDescent="0.25">
      <c r="A32" s="827"/>
      <c r="B32" s="1411"/>
      <c r="C32" s="1411"/>
      <c r="D32" s="1411"/>
      <c r="E32" s="1411"/>
      <c r="F32" s="1411"/>
      <c r="G32" s="1411"/>
      <c r="H32" s="1411"/>
      <c r="I32" s="1411"/>
    </row>
    <row r="33" spans="1:9" ht="18" customHeight="1" x14ac:dyDescent="0.25">
      <c r="A33" s="827"/>
      <c r="B33" s="1411"/>
      <c r="C33" s="1411"/>
      <c r="D33" s="1411"/>
      <c r="E33" s="1411"/>
      <c r="F33" s="1411"/>
      <c r="G33" s="1411"/>
      <c r="H33" s="1411"/>
      <c r="I33" s="1411"/>
    </row>
    <row r="34" spans="1:9" ht="18" customHeight="1" x14ac:dyDescent="0.25">
      <c r="A34" s="827"/>
      <c r="B34" s="1411"/>
      <c r="C34" s="1411"/>
      <c r="D34" s="1411"/>
      <c r="E34" s="1411"/>
      <c r="F34" s="1411"/>
      <c r="G34" s="1411"/>
      <c r="H34" s="1411"/>
      <c r="I34" s="1411"/>
    </row>
    <row r="35" spans="1:9" ht="18" customHeight="1" x14ac:dyDescent="0.25">
      <c r="A35" s="827"/>
      <c r="B35" s="1411"/>
      <c r="C35" s="1411"/>
      <c r="D35" s="1411"/>
      <c r="E35" s="1411"/>
      <c r="F35" s="1411"/>
      <c r="G35" s="1411"/>
      <c r="H35" s="1411"/>
      <c r="I35" s="1411"/>
    </row>
    <row r="36" spans="1:9" ht="18" customHeight="1" x14ac:dyDescent="0.25">
      <c r="A36" s="827"/>
      <c r="B36" s="1411"/>
      <c r="C36" s="1411"/>
      <c r="D36" s="1411"/>
      <c r="E36" s="1411"/>
      <c r="F36" s="1411"/>
      <c r="G36" s="1411"/>
      <c r="H36" s="1411"/>
      <c r="I36" s="1411"/>
    </row>
    <row r="37" spans="1:9" ht="18" customHeight="1" x14ac:dyDescent="0.25">
      <c r="A37" s="827"/>
      <c r="B37" s="1411"/>
      <c r="C37" s="1411"/>
      <c r="D37" s="1411"/>
      <c r="E37" s="1411"/>
      <c r="F37" s="1423" t="s">
        <v>2583</v>
      </c>
      <c r="G37" s="1423"/>
      <c r="H37" s="1423"/>
      <c r="I37" s="1411"/>
    </row>
    <row r="38" spans="1:9" ht="18" customHeight="1" x14ac:dyDescent="0.25">
      <c r="A38" s="827"/>
      <c r="B38" s="1411"/>
      <c r="C38" s="1411"/>
      <c r="D38" s="1411"/>
      <c r="E38" s="1411"/>
      <c r="F38" s="1423" t="s">
        <v>2439</v>
      </c>
      <c r="G38" s="1423"/>
      <c r="H38" s="1423"/>
      <c r="I38" s="1411"/>
    </row>
    <row r="39" spans="1:9" ht="18" customHeight="1" x14ac:dyDescent="0.25">
      <c r="A39" s="827"/>
      <c r="B39" s="1411"/>
      <c r="C39" s="1411"/>
      <c r="D39" s="1411"/>
      <c r="E39" s="1411"/>
      <c r="F39" s="1423" t="s">
        <v>2584</v>
      </c>
      <c r="G39" s="1423"/>
      <c r="H39" s="1423"/>
      <c r="I39" s="1411"/>
    </row>
    <row r="40" spans="1:9" ht="18" customHeight="1" x14ac:dyDescent="0.25">
      <c r="A40" s="827"/>
      <c r="B40" s="1411"/>
      <c r="C40" s="1411"/>
      <c r="D40" s="1411"/>
      <c r="E40" s="1411"/>
      <c r="F40" s="1411"/>
      <c r="G40" s="1411"/>
      <c r="H40" s="1411"/>
      <c r="I40" s="1411"/>
    </row>
    <row r="41" spans="1:9" ht="18" customHeight="1" x14ac:dyDescent="0.25">
      <c r="A41" s="827"/>
      <c r="B41" s="1411"/>
      <c r="C41" s="1411"/>
      <c r="D41" s="1411"/>
      <c r="E41" s="1411"/>
      <c r="F41" s="1411"/>
      <c r="G41" s="1411"/>
      <c r="H41" s="1411"/>
      <c r="I41" s="1411"/>
    </row>
    <row r="42" spans="1:9" ht="18" customHeight="1" x14ac:dyDescent="0.25">
      <c r="A42" s="827"/>
      <c r="B42" s="1411"/>
      <c r="C42" s="1411"/>
      <c r="D42" s="1411"/>
      <c r="E42" s="1411"/>
      <c r="F42" s="1411"/>
      <c r="G42" s="1411"/>
      <c r="H42" s="1411"/>
      <c r="I42" s="1411"/>
    </row>
    <row r="43" spans="1:9" ht="18" customHeight="1" x14ac:dyDescent="0.25">
      <c r="A43" s="827"/>
      <c r="B43" s="1411"/>
      <c r="C43" s="1411"/>
      <c r="D43" s="1411"/>
      <c r="E43" s="1411"/>
      <c r="F43" s="1411"/>
      <c r="G43" s="1411"/>
      <c r="H43" s="1411"/>
      <c r="I43" s="1411"/>
    </row>
    <row r="44" spans="1:9" ht="18" customHeight="1" x14ac:dyDescent="0.25">
      <c r="A44" s="827"/>
      <c r="B44" s="1411"/>
      <c r="C44" s="1411"/>
      <c r="D44" s="1411"/>
      <c r="E44" s="1411"/>
      <c r="F44" s="1411"/>
      <c r="G44" s="1411"/>
      <c r="H44" s="1411"/>
      <c r="I44" s="1411"/>
    </row>
    <row r="45" spans="1:9" ht="18" customHeight="1" x14ac:dyDescent="0.25">
      <c r="A45" s="827"/>
      <c r="B45" s="1411"/>
      <c r="C45" s="1411"/>
      <c r="D45" s="1411"/>
      <c r="E45" s="1411"/>
      <c r="F45" s="1411"/>
      <c r="G45" s="1411"/>
      <c r="H45" s="1411"/>
      <c r="I45" s="1411"/>
    </row>
    <row r="46" spans="1:9" ht="18" customHeight="1" x14ac:dyDescent="0.25">
      <c r="A46" s="827"/>
      <c r="B46" s="1411"/>
      <c r="C46" s="1411"/>
      <c r="D46" s="1411"/>
      <c r="E46" s="1411"/>
      <c r="F46" s="1411"/>
      <c r="G46" s="1411"/>
      <c r="H46" s="1411"/>
      <c r="I46" s="1411"/>
    </row>
    <row r="47" spans="1:9" ht="18" customHeight="1" x14ac:dyDescent="0.25">
      <c r="A47" s="827"/>
      <c r="B47" s="1411"/>
      <c r="C47" s="1411"/>
      <c r="D47" s="1411"/>
      <c r="E47" s="1411"/>
      <c r="F47" s="1411"/>
      <c r="G47" s="1411"/>
      <c r="H47" s="1411"/>
      <c r="I47" s="1411"/>
    </row>
    <row r="48" spans="1:9" ht="18" customHeight="1" x14ac:dyDescent="0.25">
      <c r="A48" s="827"/>
      <c r="B48" s="1411"/>
      <c r="C48" s="1411"/>
      <c r="D48" s="1411"/>
      <c r="E48" s="1411"/>
      <c r="F48" s="1411"/>
      <c r="G48" s="1411"/>
      <c r="H48" s="1411"/>
      <c r="I48" s="1411"/>
    </row>
    <row r="49" spans="1:9" ht="18" customHeight="1" x14ac:dyDescent="0.25">
      <c r="A49" s="827"/>
      <c r="B49" s="1411"/>
      <c r="C49" s="1411"/>
      <c r="D49" s="1411"/>
      <c r="E49" s="1411"/>
      <c r="F49" s="1411"/>
      <c r="G49" s="1411"/>
      <c r="H49" s="1411"/>
      <c r="I49" s="1411"/>
    </row>
    <row r="50" spans="1:9" ht="18" customHeight="1" x14ac:dyDescent="0.25">
      <c r="A50" s="827"/>
      <c r="B50" s="1411"/>
      <c r="C50" s="1411"/>
      <c r="D50" s="1411"/>
      <c r="E50" s="1411"/>
      <c r="F50" s="1411"/>
      <c r="G50" s="1411"/>
      <c r="H50" s="1411"/>
      <c r="I50" s="1411"/>
    </row>
    <row r="51" spans="1:9" ht="18" customHeight="1" x14ac:dyDescent="0.25">
      <c r="A51" s="827"/>
      <c r="B51" s="1411"/>
      <c r="C51" s="1411"/>
      <c r="D51" s="1411"/>
      <c r="E51" s="1411"/>
      <c r="F51" s="1411"/>
      <c r="G51" s="1411"/>
      <c r="H51" s="1411"/>
      <c r="I51" s="1411"/>
    </row>
    <row r="52" spans="1:9" ht="18" customHeight="1" x14ac:dyDescent="0.25">
      <c r="A52" s="827"/>
      <c r="B52" s="1411"/>
      <c r="C52" s="1411"/>
      <c r="D52" s="1411"/>
      <c r="E52" s="1411"/>
      <c r="F52" s="1411"/>
      <c r="G52" s="1411"/>
      <c r="H52" s="1411"/>
      <c r="I52" s="1411"/>
    </row>
    <row r="53" spans="1:9" ht="18" customHeight="1" x14ac:dyDescent="0.25">
      <c r="A53" s="827"/>
      <c r="B53" s="1411"/>
      <c r="C53" s="1411"/>
      <c r="D53" s="1411"/>
      <c r="E53" s="1411"/>
      <c r="F53" s="1411"/>
      <c r="G53" s="1411"/>
      <c r="H53" s="1411"/>
      <c r="I53" s="1411"/>
    </row>
    <row r="54" spans="1:9" ht="18" customHeight="1" x14ac:dyDescent="0.25">
      <c r="A54" s="827"/>
      <c r="B54" s="1411"/>
      <c r="C54" s="1411"/>
      <c r="D54" s="1411"/>
      <c r="E54" s="1411"/>
      <c r="F54" s="1411"/>
      <c r="G54" s="1411"/>
      <c r="H54" s="1411"/>
      <c r="I54" s="1411"/>
    </row>
    <row r="55" spans="1:9" ht="18" customHeight="1" x14ac:dyDescent="0.25">
      <c r="A55" s="827"/>
      <c r="B55" s="1411"/>
      <c r="C55" s="1411"/>
      <c r="D55" s="1411"/>
      <c r="E55" s="1411"/>
      <c r="F55" s="1411"/>
      <c r="G55" s="1411"/>
      <c r="H55" s="1411"/>
      <c r="I55" s="1411"/>
    </row>
    <row r="56" spans="1:9" ht="18" customHeight="1" x14ac:dyDescent="0.25">
      <c r="A56" s="827"/>
      <c r="B56" s="1411"/>
      <c r="C56" s="1411"/>
      <c r="D56" s="1411"/>
      <c r="E56" s="1411"/>
      <c r="F56" s="1411"/>
      <c r="G56" s="1411"/>
      <c r="H56" s="1411"/>
      <c r="I56" s="1411"/>
    </row>
    <row r="57" spans="1:9" ht="18" customHeight="1" x14ac:dyDescent="0.25">
      <c r="A57" s="827"/>
      <c r="B57" s="1411"/>
      <c r="C57" s="1411"/>
      <c r="D57" s="1411"/>
      <c r="E57" s="1411"/>
      <c r="F57" s="1411"/>
      <c r="G57" s="1411"/>
      <c r="H57" s="1411"/>
      <c r="I57" s="1411"/>
    </row>
    <row r="58" spans="1:9" ht="18" customHeight="1" x14ac:dyDescent="0.25">
      <c r="A58" s="827"/>
      <c r="B58" s="1411"/>
      <c r="C58" s="1411"/>
      <c r="D58" s="1411"/>
      <c r="E58" s="1411"/>
      <c r="F58" s="1411"/>
      <c r="G58" s="1411"/>
      <c r="H58" s="1411"/>
      <c r="I58" s="1411"/>
    </row>
    <row r="59" spans="1:9" ht="15" customHeight="1" x14ac:dyDescent="0.25">
      <c r="A59" s="827"/>
      <c r="B59" s="1411"/>
      <c r="C59" s="1411"/>
      <c r="D59" s="1411"/>
      <c r="E59" s="1411"/>
      <c r="F59" s="1411"/>
      <c r="G59" s="1411"/>
      <c r="H59" s="1411"/>
      <c r="I59" s="1411"/>
    </row>
    <row r="60" spans="1:9" ht="15" customHeight="1" x14ac:dyDescent="0.25">
      <c r="A60" s="827"/>
      <c r="B60" s="1411"/>
      <c r="C60" s="1411"/>
      <c r="D60" s="1411"/>
      <c r="E60" s="1411"/>
      <c r="F60" s="1411"/>
      <c r="G60" s="1411"/>
      <c r="H60" s="1411"/>
      <c r="I60" s="1411"/>
    </row>
  </sheetData>
  <mergeCells count="15">
    <mergeCell ref="F37:H37"/>
    <mergeCell ref="F38:H38"/>
    <mergeCell ref="F39:H39"/>
    <mergeCell ref="B9:I9"/>
    <mergeCell ref="B13:I13"/>
    <mergeCell ref="B14:I14"/>
    <mergeCell ref="B15:I15"/>
    <mergeCell ref="B16:I16"/>
    <mergeCell ref="B17:I17"/>
    <mergeCell ref="B8:I8"/>
    <mergeCell ref="C1:G1"/>
    <mergeCell ref="B3:I3"/>
    <mergeCell ref="B4:I4"/>
    <mergeCell ref="B5:I5"/>
    <mergeCell ref="B6:I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6"/>
  <sheetViews>
    <sheetView topLeftCell="A19" zoomScale="90" zoomScaleNormal="90" workbookViewId="0">
      <selection activeCell="O31" sqref="O31"/>
    </sheetView>
  </sheetViews>
  <sheetFormatPr defaultRowHeight="12.75" x14ac:dyDescent="0.2"/>
  <cols>
    <col min="1" max="1" width="7.5703125" customWidth="1"/>
    <col min="4" max="4" width="9.7109375" customWidth="1"/>
    <col min="5" max="5" width="9.5703125" bestFit="1" customWidth="1"/>
    <col min="8" max="8" width="12.28515625" customWidth="1"/>
    <col min="9" max="9" width="12" customWidth="1"/>
    <col min="10" max="10" width="11.7109375" customWidth="1"/>
    <col min="11" max="11" width="10.85546875" customWidth="1"/>
    <col min="15" max="15" width="10.42578125" customWidth="1"/>
    <col min="16" max="16" width="11.28515625" customWidth="1"/>
    <col min="17" max="17" width="9.5703125" customWidth="1"/>
    <col min="18" max="18" width="10.140625" customWidth="1"/>
    <col min="19" max="19" width="10.7109375" bestFit="1" customWidth="1"/>
    <col min="21" max="21" width="11.5703125" customWidth="1"/>
  </cols>
  <sheetData>
    <row r="1" spans="1:22" ht="15" customHeight="1" x14ac:dyDescent="0.25">
      <c r="A1" s="590" t="s">
        <v>1746</v>
      </c>
      <c r="B1" s="591"/>
      <c r="C1" s="591"/>
      <c r="D1" s="591"/>
      <c r="E1" s="591"/>
      <c r="F1" s="591"/>
      <c r="G1" s="591"/>
      <c r="H1" s="589"/>
      <c r="I1" s="589"/>
    </row>
    <row r="2" spans="1:22" ht="15" customHeight="1" x14ac:dyDescent="0.2">
      <c r="A2" s="290" t="s">
        <v>2031</v>
      </c>
      <c r="B2" s="290"/>
      <c r="C2" s="446" t="s">
        <v>2339</v>
      </c>
      <c r="D2" s="290"/>
      <c r="E2" s="290"/>
      <c r="F2" s="290"/>
      <c r="G2" s="290"/>
      <c r="H2" s="290"/>
      <c r="I2" s="290"/>
      <c r="J2" s="174"/>
      <c r="K2" s="174"/>
      <c r="L2" s="336"/>
      <c r="M2" s="335"/>
      <c r="N2" s="335"/>
      <c r="O2" s="335"/>
    </row>
    <row r="3" spans="1:22" ht="15" customHeight="1" x14ac:dyDescent="0.2">
      <c r="A3" s="290" t="s">
        <v>2261</v>
      </c>
      <c r="B3" s="290"/>
      <c r="C3" s="446" t="s">
        <v>2537</v>
      </c>
      <c r="D3" s="395"/>
      <c r="E3" s="290"/>
      <c r="F3" s="290"/>
      <c r="G3" s="290"/>
      <c r="H3" s="290"/>
      <c r="I3" s="290"/>
      <c r="J3" s="174"/>
      <c r="K3" s="174"/>
      <c r="L3" s="336"/>
      <c r="M3" s="335"/>
      <c r="N3" s="335"/>
      <c r="O3" s="335"/>
    </row>
    <row r="4" spans="1:22" ht="15" customHeight="1" x14ac:dyDescent="0.2">
      <c r="A4" s="592" t="s">
        <v>1870</v>
      </c>
      <c r="B4" s="589"/>
      <c r="C4" s="446" t="s">
        <v>2538</v>
      </c>
      <c r="D4" s="371"/>
      <c r="E4" s="290"/>
      <c r="F4" s="290"/>
      <c r="G4" s="290"/>
      <c r="H4" s="1427"/>
      <c r="I4" s="1427"/>
      <c r="J4" s="1427"/>
      <c r="K4" s="1427"/>
      <c r="L4" s="336"/>
      <c r="M4" s="335"/>
      <c r="N4" s="335"/>
      <c r="O4" s="335"/>
    </row>
    <row r="5" spans="1:22" ht="15" customHeight="1" x14ac:dyDescent="0.2">
      <c r="A5" s="290" t="s">
        <v>2347</v>
      </c>
      <c r="B5" s="589"/>
      <c r="C5" s="537" t="s">
        <v>2543</v>
      </c>
      <c r="D5" s="691"/>
      <c r="E5" s="589"/>
      <c r="F5" s="589"/>
      <c r="G5" s="589"/>
      <c r="H5" s="589"/>
      <c r="I5" s="589"/>
      <c r="J5" s="290"/>
      <c r="K5" s="290"/>
      <c r="L5" s="336"/>
      <c r="M5" s="335"/>
      <c r="N5" s="335"/>
      <c r="O5" s="335"/>
    </row>
    <row r="6" spans="1:22" ht="15" customHeight="1" x14ac:dyDescent="0.2">
      <c r="A6" s="589" t="s">
        <v>2342</v>
      </c>
      <c r="B6" s="290"/>
      <c r="C6" s="446"/>
      <c r="D6" s="395"/>
      <c r="E6" s="395" t="s">
        <v>2131</v>
      </c>
      <c r="F6" s="290"/>
      <c r="G6" s="290"/>
      <c r="H6" s="608"/>
      <c r="I6" s="608"/>
      <c r="J6" s="608"/>
      <c r="K6" s="608"/>
      <c r="L6" s="336"/>
      <c r="M6" s="335"/>
      <c r="N6" s="335"/>
      <c r="O6" s="335"/>
    </row>
    <row r="7" spans="1:22" ht="15" customHeight="1" x14ac:dyDescent="0.2">
      <c r="A7" s="885" t="s">
        <v>2380</v>
      </c>
      <c r="B7" s="395"/>
      <c r="C7" s="1425" t="s">
        <v>2539</v>
      </c>
      <c r="D7" s="1425"/>
      <c r="E7" s="395"/>
      <c r="F7" s="290"/>
      <c r="G7" s="290"/>
      <c r="H7" s="608"/>
      <c r="I7" s="1151"/>
      <c r="J7" s="1151"/>
      <c r="K7" s="1405"/>
      <c r="L7" s="336"/>
      <c r="M7" s="335"/>
      <c r="N7" s="335"/>
      <c r="O7" s="335"/>
    </row>
    <row r="8" spans="1:22" ht="15" customHeight="1" x14ac:dyDescent="0.2">
      <c r="A8" s="1424" t="s">
        <v>2447</v>
      </c>
      <c r="B8" s="1424"/>
      <c r="C8" s="446" t="s">
        <v>2540</v>
      </c>
      <c r="D8" s="395"/>
      <c r="E8" s="395"/>
      <c r="F8" s="290"/>
      <c r="G8" s="290"/>
      <c r="H8" s="608"/>
      <c r="I8" s="1151"/>
      <c r="J8" s="1151"/>
      <c r="K8" s="1405"/>
      <c r="L8" s="336"/>
      <c r="M8" s="335"/>
      <c r="N8" s="335"/>
      <c r="O8" s="335"/>
    </row>
    <row r="9" spans="1:22" ht="15" customHeight="1" x14ac:dyDescent="0.2">
      <c r="A9" s="589"/>
      <c r="B9" s="290"/>
      <c r="C9" s="422"/>
      <c r="D9" s="290"/>
      <c r="E9" s="395"/>
      <c r="F9" s="290"/>
      <c r="G9" s="290"/>
      <c r="H9" s="608"/>
      <c r="I9" s="1151"/>
      <c r="J9" s="1151"/>
      <c r="K9" s="1405"/>
      <c r="L9" s="336"/>
      <c r="M9" s="335"/>
      <c r="N9" s="335"/>
      <c r="O9" s="1142"/>
      <c r="P9" s="1142"/>
      <c r="Q9" s="1142"/>
      <c r="R9" s="1142"/>
      <c r="S9" s="589"/>
      <c r="T9" s="589"/>
      <c r="U9" s="589"/>
      <c r="V9" s="589"/>
    </row>
    <row r="10" spans="1:22" ht="15" customHeight="1" x14ac:dyDescent="0.25">
      <c r="E10" s="290"/>
      <c r="F10" s="290"/>
      <c r="G10" s="290"/>
      <c r="H10" s="608"/>
      <c r="I10" s="1151"/>
      <c r="J10" s="1151"/>
      <c r="K10" s="1405"/>
      <c r="L10" s="336"/>
      <c r="O10" s="664"/>
      <c r="P10" s="689"/>
      <c r="Q10" s="781"/>
      <c r="R10" s="781"/>
      <c r="S10" s="945"/>
      <c r="T10" s="664"/>
      <c r="U10" s="371"/>
      <c r="V10" s="589"/>
    </row>
    <row r="11" spans="1:22" ht="15" customHeight="1" x14ac:dyDescent="0.2">
      <c r="A11" s="593">
        <v>1</v>
      </c>
      <c r="B11" s="290" t="s">
        <v>1871</v>
      </c>
      <c r="C11" s="290"/>
      <c r="D11" s="290" t="s">
        <v>2262</v>
      </c>
      <c r="E11" s="290"/>
      <c r="F11" s="290"/>
      <c r="G11" s="290"/>
      <c r="H11" s="290"/>
      <c r="I11" s="290"/>
      <c r="J11" s="174"/>
      <c r="K11" s="174"/>
      <c r="L11" s="335"/>
      <c r="O11" s="1143"/>
      <c r="P11" s="1143"/>
      <c r="Q11" s="1144"/>
      <c r="R11" s="1144"/>
      <c r="S11" s="1144"/>
      <c r="T11" s="589"/>
      <c r="U11" s="589"/>
      <c r="V11" s="589"/>
    </row>
    <row r="12" spans="1:22" ht="15" customHeight="1" x14ac:dyDescent="0.2">
      <c r="A12" s="593"/>
      <c r="B12" s="290" t="s">
        <v>1872</v>
      </c>
      <c r="C12" s="290"/>
      <c r="D12" s="290">
        <v>5.0999999999999996</v>
      </c>
      <c r="E12" s="422">
        <v>5.0999999999999996</v>
      </c>
      <c r="F12" s="395" t="s">
        <v>2343</v>
      </c>
      <c r="G12" s="290"/>
      <c r="H12" s="290"/>
      <c r="I12" s="290"/>
      <c r="J12" s="174"/>
      <c r="K12" s="174"/>
      <c r="O12" s="1143"/>
      <c r="P12" s="663"/>
      <c r="Q12" s="784"/>
      <c r="R12" s="784"/>
      <c r="S12" s="784"/>
      <c r="T12" s="589"/>
      <c r="U12" s="589"/>
      <c r="V12" s="589"/>
    </row>
    <row r="13" spans="1:22" ht="15" customHeight="1" x14ac:dyDescent="0.2">
      <c r="A13" s="593"/>
      <c r="B13" s="290" t="s">
        <v>1873</v>
      </c>
      <c r="C13" s="290"/>
      <c r="D13" s="290"/>
      <c r="E13" s="422">
        <v>6</v>
      </c>
      <c r="F13" s="290" t="s">
        <v>386</v>
      </c>
      <c r="G13" s="290"/>
      <c r="H13" s="290"/>
      <c r="I13" s="290"/>
      <c r="J13" s="174"/>
      <c r="K13" s="412"/>
      <c r="O13" s="664"/>
      <c r="P13" s="663"/>
      <c r="Q13" s="784"/>
      <c r="R13" s="782"/>
      <c r="S13" s="663"/>
      <c r="T13" s="589"/>
      <c r="U13" s="371"/>
      <c r="V13" s="589"/>
    </row>
    <row r="14" spans="1:22" ht="15" customHeight="1" x14ac:dyDescent="0.25">
      <c r="A14" s="593"/>
      <c r="B14" s="290" t="s">
        <v>1874</v>
      </c>
      <c r="C14" s="290"/>
      <c r="D14" s="290" t="s">
        <v>2259</v>
      </c>
      <c r="E14" s="290"/>
      <c r="F14" s="501" t="s">
        <v>334</v>
      </c>
      <c r="G14" s="1173">
        <v>3</v>
      </c>
      <c r="H14" s="290"/>
      <c r="I14" s="290"/>
      <c r="J14" s="174"/>
      <c r="K14" s="412"/>
      <c r="O14" s="664"/>
      <c r="P14" s="966"/>
      <c r="Q14" s="784"/>
      <c r="R14" s="782"/>
      <c r="S14" s="663"/>
      <c r="T14" s="589"/>
      <c r="U14" s="371"/>
      <c r="V14" s="589"/>
    </row>
    <row r="15" spans="1:22" ht="15" customHeight="1" x14ac:dyDescent="0.25">
      <c r="A15" s="593"/>
      <c r="B15" s="290"/>
      <c r="C15" s="290"/>
      <c r="D15" s="290" t="s">
        <v>2260</v>
      </c>
      <c r="E15" s="290"/>
      <c r="F15" s="501" t="s">
        <v>334</v>
      </c>
      <c r="G15" s="1173">
        <v>2</v>
      </c>
      <c r="H15" s="290"/>
      <c r="I15" s="290"/>
      <c r="J15" s="174"/>
      <c r="K15" s="412"/>
      <c r="O15" s="664"/>
      <c r="P15" s="966"/>
      <c r="Q15" s="784"/>
      <c r="R15" s="784"/>
      <c r="S15" s="663"/>
      <c r="T15" s="589"/>
      <c r="U15" s="371"/>
      <c r="V15" s="589"/>
    </row>
    <row r="16" spans="1:22" ht="15" customHeight="1" x14ac:dyDescent="0.2">
      <c r="A16" s="593"/>
      <c r="B16" s="290"/>
      <c r="C16" s="290"/>
      <c r="D16" s="290"/>
      <c r="E16" s="290"/>
      <c r="F16" s="501"/>
      <c r="G16" s="594"/>
      <c r="H16" s="290"/>
      <c r="I16" s="290"/>
      <c r="J16" s="174"/>
      <c r="K16" s="412"/>
      <c r="O16" s="664"/>
      <c r="P16" s="663"/>
      <c r="Q16" s="784"/>
      <c r="R16" s="784"/>
      <c r="S16" s="663"/>
      <c r="T16" s="589"/>
      <c r="U16" s="371"/>
      <c r="V16" s="589"/>
    </row>
    <row r="17" spans="1:22" ht="15" customHeight="1" x14ac:dyDescent="0.2">
      <c r="A17" s="593"/>
      <c r="B17" s="290"/>
      <c r="C17" s="290"/>
      <c r="D17" s="290"/>
      <c r="E17" s="290"/>
      <c r="F17" s="501"/>
      <c r="G17" s="595"/>
      <c r="H17" s="290"/>
      <c r="I17" s="290"/>
      <c r="J17" s="174"/>
      <c r="K17" s="412"/>
      <c r="O17" s="664"/>
      <c r="P17" s="663"/>
      <c r="Q17" s="784"/>
      <c r="R17" s="784"/>
      <c r="S17" s="663"/>
      <c r="T17" s="589"/>
      <c r="U17" s="371"/>
      <c r="V17" s="589"/>
    </row>
    <row r="18" spans="1:22" ht="15" customHeight="1" x14ac:dyDescent="0.2">
      <c r="A18" s="593">
        <v>2</v>
      </c>
      <c r="B18" s="290" t="s">
        <v>2340</v>
      </c>
      <c r="C18" s="290"/>
      <c r="D18" s="395" t="s">
        <v>2541</v>
      </c>
      <c r="E18" s="290"/>
      <c r="F18" s="501"/>
      <c r="G18" s="595"/>
      <c r="H18" s="290"/>
      <c r="I18" s="290"/>
      <c r="J18" s="174"/>
      <c r="K18" s="412"/>
      <c r="O18" s="664"/>
      <c r="P18" s="663"/>
      <c r="Q18" s="784"/>
      <c r="R18" s="782"/>
      <c r="S18" s="968"/>
      <c r="T18" s="589"/>
      <c r="U18" s="371"/>
      <c r="V18" s="589"/>
    </row>
    <row r="19" spans="1:22" ht="15" customHeight="1" x14ac:dyDescent="0.2">
      <c r="A19" s="593"/>
      <c r="B19" s="395" t="s">
        <v>2352</v>
      </c>
      <c r="C19" s="290"/>
      <c r="D19" s="290"/>
      <c r="E19" s="290">
        <v>1.8</v>
      </c>
      <c r="F19" s="596" t="s">
        <v>24</v>
      </c>
      <c r="G19" s="595"/>
      <c r="H19" s="290"/>
      <c r="I19" s="290"/>
      <c r="J19" s="174"/>
      <c r="K19" s="412"/>
      <c r="O19" s="664"/>
      <c r="P19" s="663"/>
      <c r="Q19" s="784"/>
      <c r="R19" s="782"/>
      <c r="S19" s="663"/>
      <c r="T19" s="589"/>
      <c r="U19" s="371"/>
      <c r="V19" s="589"/>
    </row>
    <row r="20" spans="1:22" ht="15" customHeight="1" x14ac:dyDescent="0.2">
      <c r="A20" s="593"/>
      <c r="B20" s="395" t="s">
        <v>2353</v>
      </c>
      <c r="C20" s="290"/>
      <c r="D20" s="290"/>
      <c r="E20" s="290">
        <v>1.5</v>
      </c>
      <c r="F20" s="596" t="s">
        <v>24</v>
      </c>
      <c r="G20" s="595"/>
      <c r="H20" s="290"/>
      <c r="I20" s="290"/>
      <c r="J20" s="174"/>
      <c r="K20" s="412"/>
      <c r="O20" s="664"/>
      <c r="P20" s="663"/>
      <c r="Q20" s="784"/>
      <c r="R20" s="782"/>
      <c r="S20" s="663"/>
      <c r="T20" s="589"/>
      <c r="U20" s="371"/>
      <c r="V20" s="589"/>
    </row>
    <row r="21" spans="1:22" ht="15" customHeight="1" x14ac:dyDescent="0.2">
      <c r="A21" s="593"/>
      <c r="B21" s="290"/>
      <c r="C21" s="290"/>
      <c r="D21" s="290"/>
      <c r="E21" s="290"/>
      <c r="F21" s="501"/>
      <c r="G21" s="595"/>
      <c r="H21" s="290"/>
      <c r="I21" s="290"/>
      <c r="J21" s="174"/>
      <c r="K21" s="412"/>
      <c r="O21" s="664"/>
      <c r="P21" s="663"/>
      <c r="Q21" s="784"/>
      <c r="R21" s="782"/>
      <c r="S21" s="966"/>
      <c r="T21" s="589"/>
      <c r="U21" s="371"/>
      <c r="V21" s="589"/>
    </row>
    <row r="22" spans="1:22" ht="15" customHeight="1" x14ac:dyDescent="0.2">
      <c r="A22" s="593">
        <v>3</v>
      </c>
      <c r="B22" s="290" t="s">
        <v>2341</v>
      </c>
      <c r="C22" s="290"/>
      <c r="D22" s="597">
        <v>1</v>
      </c>
      <c r="E22" s="290"/>
      <c r="F22" s="501"/>
      <c r="G22" s="595"/>
      <c r="H22" s="290"/>
      <c r="I22" s="290"/>
      <c r="J22" s="174"/>
      <c r="K22" s="412"/>
      <c r="O22" s="664"/>
      <c r="P22" s="663"/>
      <c r="Q22" s="784"/>
      <c r="R22" s="782"/>
      <c r="S22" s="967"/>
      <c r="T22" s="589"/>
      <c r="U22" s="371"/>
      <c r="V22" s="589"/>
    </row>
    <row r="23" spans="1:22" ht="15" customHeight="1" x14ac:dyDescent="0.2">
      <c r="A23" s="598">
        <v>4</v>
      </c>
      <c r="B23" s="599" t="s">
        <v>2346</v>
      </c>
      <c r="C23" s="589"/>
      <c r="D23" s="600">
        <v>-1.2</v>
      </c>
      <c r="E23" s="395" t="s">
        <v>2343</v>
      </c>
      <c r="F23" s="501"/>
      <c r="G23" s="595"/>
      <c r="H23" s="290"/>
      <c r="I23" s="290"/>
      <c r="J23" s="174"/>
      <c r="K23" s="412"/>
      <c r="O23" s="664"/>
      <c r="P23" s="663"/>
      <c r="Q23" s="784"/>
      <c r="R23" s="782"/>
      <c r="S23" s="969"/>
      <c r="T23" s="589"/>
      <c r="U23" s="371"/>
      <c r="V23" s="589"/>
    </row>
    <row r="24" spans="1:22" ht="15" customHeight="1" x14ac:dyDescent="0.2">
      <c r="A24" s="593"/>
      <c r="B24" s="589"/>
      <c r="C24" s="589"/>
      <c r="D24" s="589"/>
      <c r="E24" s="589"/>
      <c r="F24" s="589"/>
      <c r="G24" s="589"/>
      <c r="H24" s="290"/>
      <c r="I24" s="290"/>
      <c r="J24" s="174"/>
      <c r="K24" s="412"/>
      <c r="O24" s="664"/>
      <c r="P24" s="663"/>
      <c r="Q24" s="782"/>
      <c r="R24" s="784"/>
      <c r="S24" s="967"/>
      <c r="T24" s="589"/>
      <c r="U24" s="589"/>
      <c r="V24" s="589"/>
    </row>
    <row r="25" spans="1:22" ht="15" customHeight="1" x14ac:dyDescent="0.2">
      <c r="A25" s="601">
        <v>5</v>
      </c>
      <c r="B25" s="290" t="s">
        <v>2257</v>
      </c>
      <c r="C25" s="290"/>
      <c r="D25" s="290"/>
      <c r="E25" s="422">
        <v>3.95</v>
      </c>
      <c r="F25" s="422" t="s">
        <v>2343</v>
      </c>
      <c r="G25" s="422"/>
      <c r="H25" s="290"/>
      <c r="I25" s="290"/>
      <c r="J25" s="337"/>
      <c r="K25" s="412"/>
      <c r="O25" s="664"/>
      <c r="P25" s="663"/>
      <c r="Q25" s="782"/>
      <c r="R25" s="784"/>
      <c r="S25" s="967"/>
      <c r="T25" s="589"/>
      <c r="U25" s="589"/>
      <c r="V25" s="589"/>
    </row>
    <row r="26" spans="1:22" ht="15" customHeight="1" x14ac:dyDescent="0.2">
      <c r="A26" s="602"/>
      <c r="B26" s="290" t="s">
        <v>2258</v>
      </c>
      <c r="C26" s="290"/>
      <c r="D26" s="290"/>
      <c r="E26" s="422">
        <v>2.74</v>
      </c>
      <c r="F26" s="422" t="s">
        <v>2343</v>
      </c>
      <c r="G26" s="422"/>
      <c r="H26" s="290"/>
      <c r="I26" s="290"/>
      <c r="J26" s="337"/>
      <c r="K26" s="412"/>
      <c r="O26" s="664"/>
      <c r="P26" s="663"/>
      <c r="Q26" s="782"/>
      <c r="R26" s="784"/>
      <c r="S26" s="663"/>
      <c r="T26" s="589"/>
      <c r="U26" s="589"/>
      <c r="V26" s="589"/>
    </row>
    <row r="27" spans="1:22" ht="15" customHeight="1" x14ac:dyDescent="0.2">
      <c r="A27" s="593"/>
      <c r="B27" s="1152" t="s">
        <v>2345</v>
      </c>
      <c r="C27" s="605"/>
      <c r="D27" s="290"/>
      <c r="E27" s="290"/>
      <c r="F27" s="290"/>
      <c r="G27" s="290"/>
      <c r="H27" s="290"/>
      <c r="I27" s="290"/>
      <c r="J27" s="337"/>
      <c r="K27" s="412"/>
      <c r="O27" s="664"/>
      <c r="P27" s="663"/>
      <c r="Q27" s="782"/>
      <c r="R27" s="782"/>
      <c r="S27" s="968"/>
      <c r="T27" s="589"/>
      <c r="U27" s="589"/>
      <c r="V27" s="589"/>
    </row>
    <row r="28" spans="1:22" ht="15" customHeight="1" x14ac:dyDescent="0.2">
      <c r="A28" s="290"/>
      <c r="B28" s="395" t="s">
        <v>2370</v>
      </c>
      <c r="C28" s="290"/>
      <c r="D28" s="290"/>
      <c r="E28" s="422">
        <v>2.61</v>
      </c>
      <c r="F28" s="395" t="s">
        <v>2343</v>
      </c>
      <c r="G28" s="395"/>
      <c r="H28" s="395"/>
      <c r="I28" s="290"/>
      <c r="J28" s="690"/>
      <c r="K28" s="412"/>
      <c r="O28" s="664"/>
      <c r="P28" s="663"/>
      <c r="Q28" s="782"/>
      <c r="R28" s="784"/>
      <c r="S28" s="967"/>
      <c r="T28" s="589"/>
      <c r="U28" s="589"/>
      <c r="V28" s="589"/>
    </row>
    <row r="29" spans="1:22" ht="15" customHeight="1" x14ac:dyDescent="0.2">
      <c r="F29" s="357"/>
      <c r="K29" s="412"/>
      <c r="O29" s="664"/>
      <c r="P29" s="663"/>
      <c r="Q29" s="782"/>
      <c r="R29" s="784"/>
      <c r="S29" s="967"/>
      <c r="T29" s="589"/>
      <c r="U29" s="589"/>
      <c r="V29" s="589"/>
    </row>
    <row r="30" spans="1:22" ht="15" customHeight="1" x14ac:dyDescent="0.2">
      <c r="A30" s="506"/>
      <c r="B30" s="395" t="s">
        <v>2344</v>
      </c>
      <c r="C30" s="290"/>
      <c r="D30" s="290"/>
      <c r="E30" s="422">
        <v>0.6</v>
      </c>
      <c r="F30" s="395" t="s">
        <v>2343</v>
      </c>
      <c r="G30" s="395"/>
      <c r="H30" s="395" t="s">
        <v>2358</v>
      </c>
      <c r="I30" s="290"/>
      <c r="J30" s="337"/>
      <c r="K30" s="412"/>
      <c r="O30" s="664"/>
      <c r="P30" s="663"/>
      <c r="Q30" s="782"/>
      <c r="R30" s="784"/>
      <c r="S30" s="967"/>
      <c r="T30" s="589"/>
      <c r="U30" s="589"/>
      <c r="V30" s="589"/>
    </row>
    <row r="31" spans="1:22" ht="15" customHeight="1" x14ac:dyDescent="0.25">
      <c r="A31" s="290"/>
      <c r="B31" s="604" t="s">
        <v>2094</v>
      </c>
      <c r="C31" s="290"/>
      <c r="D31" s="290"/>
      <c r="E31" s="606"/>
      <c r="F31" s="290"/>
      <c r="G31" s="290"/>
      <c r="H31" s="290"/>
      <c r="I31" s="290"/>
      <c r="J31" s="337"/>
      <c r="K31" s="412"/>
      <c r="O31" s="1145"/>
      <c r="P31" s="784"/>
      <c r="Q31" s="784"/>
      <c r="R31" s="784"/>
      <c r="S31" s="967"/>
      <c r="T31" s="589"/>
      <c r="U31" s="589"/>
      <c r="V31" s="589"/>
    </row>
    <row r="32" spans="1:22" ht="15" customHeight="1" x14ac:dyDescent="0.2">
      <c r="A32" s="506"/>
      <c r="B32" s="395" t="s">
        <v>2371</v>
      </c>
      <c r="C32" s="290"/>
      <c r="D32" s="290"/>
      <c r="E32" s="422">
        <v>0</v>
      </c>
      <c r="F32" s="395" t="s">
        <v>2343</v>
      </c>
      <c r="G32" s="290"/>
      <c r="H32" s="290" t="s">
        <v>2372</v>
      </c>
      <c r="I32" s="290"/>
      <c r="J32" s="280"/>
      <c r="K32" s="412"/>
      <c r="O32" s="1145"/>
      <c r="P32" s="784"/>
      <c r="Q32" s="784"/>
      <c r="R32" s="784"/>
      <c r="S32" s="967"/>
      <c r="T32" s="589"/>
      <c r="U32" s="589"/>
      <c r="V32" s="589"/>
    </row>
    <row r="33" spans="1:22" ht="15" customHeight="1" x14ac:dyDescent="0.2">
      <c r="A33" s="506"/>
      <c r="B33" s="395" t="s">
        <v>2351</v>
      </c>
      <c r="C33" s="290"/>
      <c r="D33" s="290"/>
      <c r="E33" s="422">
        <v>3</v>
      </c>
      <c r="F33" s="395" t="s">
        <v>2343</v>
      </c>
      <c r="G33" s="395"/>
      <c r="H33" s="290" t="s">
        <v>2372</v>
      </c>
      <c r="I33" s="290"/>
      <c r="J33" s="174"/>
      <c r="K33" s="412"/>
      <c r="O33" s="1145"/>
      <c r="P33" s="784"/>
      <c r="Q33" s="784"/>
      <c r="R33" s="784"/>
      <c r="S33" s="967"/>
      <c r="T33" s="589"/>
      <c r="U33" s="589"/>
      <c r="V33" s="589"/>
    </row>
    <row r="34" spans="1:22" ht="15" customHeight="1" x14ac:dyDescent="0.2">
      <c r="A34" s="593"/>
      <c r="B34" s="290"/>
      <c r="C34" s="290"/>
      <c r="D34" s="290"/>
      <c r="E34" s="290"/>
      <c r="F34" s="290"/>
      <c r="G34" s="290"/>
      <c r="H34" s="290"/>
      <c r="I34" s="290"/>
      <c r="J34" s="174"/>
      <c r="K34" s="412"/>
      <c r="O34" s="1145"/>
      <c r="P34" s="784"/>
      <c r="Q34" s="784"/>
      <c r="R34" s="784"/>
      <c r="S34" s="967"/>
      <c r="T34" s="589"/>
      <c r="U34" s="589"/>
      <c r="V34" s="589"/>
    </row>
    <row r="35" spans="1:22" ht="15" customHeight="1" x14ac:dyDescent="0.2">
      <c r="A35" s="593">
        <v>6</v>
      </c>
      <c r="B35" s="290" t="s">
        <v>2263</v>
      </c>
      <c r="C35" s="290"/>
      <c r="D35" s="290"/>
      <c r="E35" s="950"/>
      <c r="F35" s="607" t="s">
        <v>2487</v>
      </c>
      <c r="G35" s="422"/>
      <c r="H35" s="290"/>
      <c r="I35" s="290"/>
      <c r="J35" s="174"/>
      <c r="K35" s="412"/>
      <c r="O35" s="1145"/>
      <c r="P35" s="784"/>
      <c r="Q35" s="784"/>
      <c r="R35" s="784"/>
      <c r="S35" s="967"/>
      <c r="T35" s="589"/>
      <c r="U35" s="589"/>
      <c r="V35" s="589"/>
    </row>
    <row r="36" spans="1:22" ht="15" customHeight="1" x14ac:dyDescent="0.3">
      <c r="A36" s="593">
        <v>7</v>
      </c>
      <c r="B36" s="290" t="s">
        <v>1875</v>
      </c>
      <c r="C36" s="290"/>
      <c r="D36" s="290"/>
      <c r="E36" s="1123">
        <v>296</v>
      </c>
      <c r="F36" s="711" t="s">
        <v>2487</v>
      </c>
      <c r="G36" s="290"/>
      <c r="H36" s="290"/>
      <c r="I36" s="290"/>
      <c r="J36" s="337"/>
      <c r="K36" s="412"/>
      <c r="O36" s="1145"/>
      <c r="P36" s="782"/>
      <c r="Q36" s="784"/>
      <c r="R36" s="784"/>
      <c r="S36" s="967"/>
      <c r="T36" s="589"/>
      <c r="U36" s="589"/>
      <c r="V36" s="589"/>
    </row>
    <row r="37" spans="1:22" ht="15" customHeight="1" thickBot="1" x14ac:dyDescent="0.25">
      <c r="A37" s="593">
        <v>8</v>
      </c>
      <c r="B37" s="290" t="s">
        <v>1876</v>
      </c>
      <c r="C37" s="290"/>
      <c r="D37" s="290"/>
      <c r="E37" s="290"/>
      <c r="F37" s="395" t="s">
        <v>2343</v>
      </c>
      <c r="G37" s="290"/>
      <c r="H37" s="290"/>
      <c r="I37" s="290"/>
      <c r="J37" s="174"/>
      <c r="K37" s="412"/>
      <c r="O37" s="589"/>
      <c r="P37" s="965"/>
      <c r="Q37" s="784"/>
      <c r="R37" s="784"/>
      <c r="S37" s="967"/>
      <c r="T37" s="589"/>
      <c r="U37" s="589"/>
      <c r="V37" s="589"/>
    </row>
    <row r="38" spans="1:22" ht="15" customHeight="1" x14ac:dyDescent="0.2">
      <c r="A38" s="593">
        <v>9</v>
      </c>
      <c r="B38" s="702" t="s">
        <v>2369</v>
      </c>
      <c r="C38" s="662"/>
      <c r="D38" s="662"/>
      <c r="E38" s="700">
        <v>3</v>
      </c>
      <c r="F38" s="644" t="s">
        <v>2343</v>
      </c>
      <c r="G38" s="1416"/>
      <c r="H38" s="357" t="s">
        <v>699</v>
      </c>
      <c r="I38" s="1428" t="s">
        <v>2542</v>
      </c>
      <c r="J38" s="1428"/>
      <c r="K38" s="1428"/>
      <c r="O38" s="589"/>
      <c r="P38" s="965"/>
      <c r="Q38" s="784"/>
      <c r="R38" s="784"/>
      <c r="S38" s="967"/>
      <c r="T38" s="589"/>
      <c r="U38" s="589"/>
      <c r="V38" s="589"/>
    </row>
    <row r="39" spans="1:22" ht="15" customHeight="1" thickBot="1" x14ac:dyDescent="0.25">
      <c r="A39" s="598"/>
      <c r="B39" s="666"/>
      <c r="C39" s="667"/>
      <c r="D39" s="667"/>
      <c r="E39" s="701">
        <v>3.5</v>
      </c>
      <c r="F39" s="468" t="s">
        <v>2343</v>
      </c>
      <c r="G39" s="1417"/>
      <c r="H39" s="1415" t="s">
        <v>700</v>
      </c>
      <c r="I39" s="1428"/>
      <c r="J39" s="1428"/>
      <c r="K39" s="1428"/>
      <c r="O39" s="589"/>
      <c r="P39" s="784"/>
      <c r="Q39" s="784"/>
      <c r="R39" s="784"/>
      <c r="S39" s="967"/>
      <c r="T39" s="589"/>
      <c r="U39" s="589"/>
      <c r="V39" s="589"/>
    </row>
    <row r="40" spans="1:22" ht="15" customHeight="1" x14ac:dyDescent="0.2">
      <c r="A40" s="598"/>
      <c r="B40" s="589"/>
      <c r="C40" s="589"/>
      <c r="D40" s="589"/>
      <c r="E40" s="422"/>
      <c r="F40" s="422"/>
      <c r="G40" s="603"/>
      <c r="H40" s="610"/>
      <c r="I40" s="290"/>
      <c r="J40" s="337"/>
      <c r="K40" s="174"/>
      <c r="O40" s="589"/>
      <c r="P40" s="970"/>
      <c r="Q40" s="589"/>
      <c r="R40" s="965"/>
      <c r="S40" s="967"/>
      <c r="T40" s="589"/>
      <c r="U40" s="589"/>
      <c r="V40" s="589"/>
    </row>
    <row r="41" spans="1:22" ht="15" customHeight="1" x14ac:dyDescent="0.2">
      <c r="A41" s="593"/>
      <c r="B41" s="395"/>
      <c r="C41" s="290"/>
      <c r="D41" s="290"/>
      <c r="E41" s="290"/>
      <c r="F41" s="290"/>
      <c r="G41" s="609"/>
      <c r="H41" s="92"/>
      <c r="I41" s="589"/>
      <c r="J41" s="337"/>
      <c r="K41" s="174"/>
      <c r="O41" s="589"/>
      <c r="P41" s="665"/>
      <c r="Q41" s="603"/>
      <c r="R41" s="665"/>
      <c r="S41" s="603"/>
      <c r="T41" s="589"/>
      <c r="U41" s="786"/>
      <c r="V41" s="589"/>
    </row>
    <row r="42" spans="1:22" ht="15" customHeight="1" x14ac:dyDescent="0.2">
      <c r="A42" s="527">
        <v>10</v>
      </c>
      <c r="B42" s="92" t="s">
        <v>2348</v>
      </c>
      <c r="C42" s="92"/>
      <c r="D42" s="92"/>
      <c r="E42" s="92"/>
      <c r="F42" s="92"/>
      <c r="G42" s="92"/>
      <c r="H42" s="92"/>
      <c r="I42" s="589"/>
      <c r="J42" s="337"/>
      <c r="K42" s="174"/>
      <c r="O42" s="589"/>
      <c r="P42" s="665"/>
      <c r="Q42" s="665"/>
      <c r="R42" s="665"/>
      <c r="S42" s="665"/>
      <c r="T42" s="589"/>
      <c r="U42" s="665"/>
      <c r="V42" s="589"/>
    </row>
    <row r="43" spans="1:22" ht="15" customHeight="1" x14ac:dyDescent="0.2">
      <c r="A43" s="598"/>
      <c r="B43" s="589"/>
      <c r="C43" s="589"/>
      <c r="D43" s="589"/>
      <c r="E43" s="589"/>
      <c r="F43" s="589"/>
      <c r="G43" s="589"/>
      <c r="H43" s="589"/>
      <c r="I43" s="589"/>
      <c r="J43" s="337"/>
      <c r="K43" s="174"/>
      <c r="O43" s="589"/>
      <c r="P43" s="967"/>
      <c r="Q43" s="967"/>
      <c r="R43" s="967"/>
      <c r="S43" s="967"/>
      <c r="T43" s="589"/>
      <c r="U43" s="968"/>
      <c r="V43" s="589"/>
    </row>
    <row r="44" spans="1:22" ht="15" customHeight="1" x14ac:dyDescent="0.2">
      <c r="A44" s="589"/>
      <c r="B44" s="589"/>
      <c r="C44" s="589"/>
      <c r="D44" s="589">
        <v>15</v>
      </c>
      <c r="E44" s="589" t="s">
        <v>32</v>
      </c>
      <c r="F44" s="589" t="s">
        <v>2349</v>
      </c>
      <c r="G44" s="589"/>
      <c r="H44" s="589"/>
      <c r="I44" s="589"/>
      <c r="J44" s="337"/>
      <c r="K44" s="174"/>
      <c r="O44" s="589"/>
      <c r="P44" s="589"/>
      <c r="Q44" s="523"/>
      <c r="R44" s="785"/>
      <c r="S44" s="589"/>
      <c r="T44" s="589"/>
      <c r="U44" s="589"/>
      <c r="V44" s="589"/>
    </row>
    <row r="45" spans="1:22" ht="15" customHeight="1" x14ac:dyDescent="0.2">
      <c r="A45" s="589"/>
      <c r="B45" s="589"/>
      <c r="C45" s="589"/>
      <c r="D45" s="589">
        <v>18</v>
      </c>
      <c r="E45" s="589" t="s">
        <v>32</v>
      </c>
      <c r="F45" s="589" t="s">
        <v>2350</v>
      </c>
      <c r="G45" s="589"/>
      <c r="H45" s="589"/>
      <c r="I45" s="589"/>
      <c r="O45" s="1146"/>
      <c r="P45" s="371"/>
      <c r="Q45" s="802"/>
      <c r="R45" s="589"/>
      <c r="S45" s="371"/>
      <c r="T45" s="371"/>
      <c r="U45" s="371"/>
      <c r="V45" s="371"/>
    </row>
    <row r="46" spans="1:22" ht="15" customHeight="1" x14ac:dyDescent="0.2">
      <c r="A46" s="589"/>
      <c r="B46" s="589"/>
      <c r="C46" s="589"/>
      <c r="D46" s="589"/>
      <c r="E46" s="589"/>
      <c r="F46" s="589"/>
      <c r="G46" s="589"/>
      <c r="H46" s="589"/>
      <c r="I46" s="589"/>
      <c r="O46" s="598"/>
      <c r="P46" s="371"/>
      <c r="Q46" s="796"/>
      <c r="R46" s="589"/>
      <c r="S46" s="794"/>
      <c r="T46" s="794"/>
      <c r="U46" s="797"/>
      <c r="V46" s="371"/>
    </row>
    <row r="47" spans="1:22" ht="15" customHeight="1" x14ac:dyDescent="0.2">
      <c r="A47" s="589"/>
      <c r="B47" s="589"/>
      <c r="C47" s="589"/>
      <c r="D47" s="589"/>
      <c r="E47" s="589"/>
      <c r="F47" s="589"/>
      <c r="G47" s="589"/>
      <c r="H47" s="589"/>
      <c r="I47" s="589"/>
      <c r="O47" s="598"/>
      <c r="P47" s="589"/>
      <c r="Q47" s="796"/>
      <c r="R47" s="589"/>
      <c r="S47" s="371"/>
      <c r="T47" s="371"/>
      <c r="U47" s="371"/>
      <c r="V47" s="371"/>
    </row>
    <row r="48" spans="1:22" ht="15" customHeight="1" x14ac:dyDescent="0.2">
      <c r="A48" s="598"/>
      <c r="B48" s="589"/>
      <c r="C48" s="1426"/>
      <c r="D48" s="1426"/>
      <c r="E48" s="1426"/>
      <c r="F48" s="1426"/>
      <c r="G48" s="589"/>
      <c r="H48" s="589"/>
      <c r="I48" s="589"/>
      <c r="O48" s="598"/>
      <c r="P48" s="589"/>
      <c r="Q48" s="796"/>
      <c r="R48" s="589"/>
      <c r="S48" s="798"/>
      <c r="T48" s="371"/>
      <c r="U48" s="371"/>
      <c r="V48" s="371"/>
    </row>
    <row r="49" spans="1:22" ht="15" customHeight="1" x14ac:dyDescent="0.2">
      <c r="A49" s="589"/>
      <c r="B49" s="589"/>
      <c r="C49" s="589"/>
      <c r="D49" s="589"/>
      <c r="E49" s="589"/>
      <c r="F49" s="589"/>
      <c r="G49" s="589"/>
      <c r="H49" s="589"/>
      <c r="I49" s="589"/>
      <c r="O49" s="598"/>
      <c r="P49" s="371"/>
      <c r="Q49" s="795"/>
      <c r="R49" s="589"/>
      <c r="S49" s="793"/>
      <c r="T49" s="786"/>
      <c r="U49" s="783"/>
      <c r="V49" s="783"/>
    </row>
    <row r="50" spans="1:22" ht="15" customHeight="1" x14ac:dyDescent="0.2">
      <c r="A50" s="589"/>
      <c r="B50" s="589"/>
      <c r="C50" s="589"/>
      <c r="D50" s="589"/>
      <c r="E50" s="589"/>
      <c r="F50" s="589"/>
      <c r="G50" s="589"/>
      <c r="H50" s="779"/>
      <c r="I50" s="589"/>
      <c r="O50" s="598"/>
      <c r="P50" s="589"/>
      <c r="Q50" s="795"/>
      <c r="R50" s="589"/>
      <c r="S50" s="782"/>
      <c r="T50" s="663"/>
      <c r="U50" s="371"/>
      <c r="V50" s="371"/>
    </row>
    <row r="51" spans="1:22" ht="15" customHeight="1" x14ac:dyDescent="0.2">
      <c r="B51" s="589"/>
      <c r="C51" s="968"/>
      <c r="D51" s="968"/>
      <c r="E51" s="537"/>
      <c r="F51" s="968"/>
      <c r="G51" s="537"/>
      <c r="H51" s="589"/>
      <c r="O51" s="598"/>
      <c r="P51" s="371"/>
      <c r="Q51" s="796"/>
      <c r="R51" s="589"/>
      <c r="S51" s="782"/>
      <c r="T51" s="371"/>
      <c r="U51" s="371"/>
      <c r="V51" s="371"/>
    </row>
    <row r="52" spans="1:22" ht="15" customHeight="1" x14ac:dyDescent="0.2">
      <c r="B52" s="589"/>
      <c r="C52" s="968"/>
      <c r="D52" s="968"/>
      <c r="E52" s="537"/>
      <c r="F52" s="968"/>
      <c r="G52" s="537"/>
      <c r="H52" s="589"/>
      <c r="J52" s="787" t="s">
        <v>2382</v>
      </c>
      <c r="O52" s="589"/>
      <c r="P52" s="589"/>
      <c r="Q52" s="796"/>
      <c r="R52" s="589"/>
      <c r="S52" s="782"/>
      <c r="T52" s="371"/>
      <c r="U52" s="371"/>
      <c r="V52" s="371"/>
    </row>
    <row r="53" spans="1:22" ht="15" customHeight="1" x14ac:dyDescent="0.2">
      <c r="B53" s="589"/>
      <c r="C53" s="968"/>
      <c r="D53" s="968"/>
      <c r="E53" s="537"/>
      <c r="F53" s="968"/>
      <c r="G53" s="537"/>
      <c r="H53" s="589"/>
      <c r="O53" s="589"/>
      <c r="P53" s="589"/>
      <c r="Q53" s="796"/>
      <c r="R53" s="589"/>
      <c r="S53" s="782"/>
      <c r="T53" s="371"/>
      <c r="U53" s="371"/>
      <c r="V53" s="371"/>
    </row>
    <row r="54" spans="1:22" ht="15" customHeight="1" x14ac:dyDescent="0.2">
      <c r="O54" s="589"/>
      <c r="P54" s="964"/>
      <c r="Q54" s="795"/>
      <c r="R54" s="589"/>
      <c r="S54" s="793"/>
      <c r="T54" s="786"/>
      <c r="U54" s="783"/>
      <c r="V54" s="783"/>
    </row>
    <row r="55" spans="1:22" ht="15" customHeight="1" x14ac:dyDescent="0.2">
      <c r="A55" s="589"/>
      <c r="B55" s="589"/>
      <c r="C55" s="589"/>
      <c r="D55" s="589"/>
      <c r="E55" s="589"/>
      <c r="F55" s="589"/>
      <c r="G55" s="589"/>
      <c r="H55" s="589"/>
      <c r="I55" s="589"/>
      <c r="O55" s="589"/>
      <c r="P55" s="589"/>
      <c r="Q55" s="589"/>
      <c r="R55" s="961"/>
      <c r="S55" s="371"/>
      <c r="T55" s="663"/>
      <c r="U55" s="371"/>
      <c r="V55" s="371"/>
    </row>
    <row r="56" spans="1:22" ht="15" customHeight="1" x14ac:dyDescent="0.25">
      <c r="A56" s="589"/>
      <c r="B56" s="589"/>
      <c r="C56" s="589"/>
      <c r="D56" s="589"/>
      <c r="E56" s="589"/>
      <c r="F56" s="589"/>
      <c r="G56" s="589"/>
      <c r="H56" s="589"/>
      <c r="I56" s="589"/>
      <c r="O56" s="1147"/>
      <c r="P56" s="1148"/>
      <c r="Q56" s="1149"/>
      <c r="R56" s="1147"/>
      <c r="S56" s="1147"/>
      <c r="T56" s="1147"/>
      <c r="U56" s="1147"/>
      <c r="V56" s="1149"/>
    </row>
    <row r="57" spans="1:22" ht="15" customHeight="1" x14ac:dyDescent="0.2">
      <c r="A57" s="589"/>
      <c r="B57" s="589"/>
      <c r="C57" s="589"/>
      <c r="D57" s="589"/>
      <c r="E57" s="589"/>
      <c r="F57" s="589"/>
      <c r="G57" s="589"/>
      <c r="H57" s="589"/>
      <c r="O57" s="959"/>
      <c r="P57" s="959"/>
      <c r="Q57" s="959"/>
      <c r="R57" s="960"/>
      <c r="S57" s="960"/>
      <c r="T57" s="960"/>
      <c r="U57" s="960"/>
      <c r="V57" s="1150"/>
    </row>
    <row r="58" spans="1:22" ht="15" customHeight="1" x14ac:dyDescent="0.2">
      <c r="A58" s="589"/>
      <c r="B58" s="589"/>
      <c r="C58" s="589"/>
      <c r="D58" s="589"/>
      <c r="E58" s="589"/>
      <c r="F58" s="589"/>
      <c r="G58" s="589"/>
      <c r="H58" s="589"/>
      <c r="I58" s="589"/>
      <c r="O58" s="786"/>
      <c r="P58" s="786"/>
      <c r="Q58" s="786"/>
      <c r="R58" s="786"/>
      <c r="S58" s="786"/>
      <c r="T58" s="786"/>
      <c r="U58" s="786"/>
      <c r="V58" s="589"/>
    </row>
    <row r="59" spans="1:22" ht="15" customHeight="1" x14ac:dyDescent="0.2">
      <c r="A59" s="589"/>
      <c r="B59" s="589"/>
      <c r="C59" s="589"/>
      <c r="D59" s="589"/>
      <c r="E59" s="589"/>
      <c r="F59" s="589"/>
      <c r="G59" s="589"/>
      <c r="H59" s="589"/>
      <c r="I59" s="589"/>
      <c r="O59" s="589"/>
      <c r="P59" s="589"/>
      <c r="Q59" s="589"/>
      <c r="R59" s="589"/>
      <c r="S59" s="589"/>
      <c r="T59" s="589"/>
      <c r="U59" s="779"/>
      <c r="V59" s="787"/>
    </row>
    <row r="60" spans="1:22" ht="15" customHeight="1" x14ac:dyDescent="0.2">
      <c r="A60" s="589"/>
      <c r="B60" s="589"/>
      <c r="C60" s="589"/>
      <c r="D60" s="589"/>
      <c r="E60" s="589"/>
      <c r="F60" s="589"/>
      <c r="G60" s="589"/>
      <c r="H60" s="589"/>
      <c r="I60" s="589"/>
    </row>
    <row r="61" spans="1:22" ht="15" customHeight="1" x14ac:dyDescent="0.2">
      <c r="A61" s="589"/>
      <c r="B61" s="589"/>
      <c r="C61" s="589"/>
      <c r="D61" s="589"/>
      <c r="E61" s="589"/>
      <c r="F61" s="589"/>
      <c r="G61" s="589"/>
      <c r="H61" s="589"/>
      <c r="I61" s="589"/>
    </row>
    <row r="62" spans="1:22" ht="15" customHeight="1" x14ac:dyDescent="0.2">
      <c r="A62" s="589"/>
      <c r="B62" s="589"/>
      <c r="C62" s="589"/>
      <c r="D62" s="589"/>
      <c r="E62" s="589"/>
      <c r="F62" s="589"/>
      <c r="G62" s="589"/>
      <c r="H62" s="589"/>
    </row>
    <row r="63" spans="1:22" x14ac:dyDescent="0.2">
      <c r="A63" s="589"/>
      <c r="B63" s="589"/>
      <c r="C63" s="589"/>
      <c r="D63" s="589"/>
      <c r="E63" s="589"/>
      <c r="F63" s="589"/>
      <c r="G63" s="589"/>
      <c r="H63" s="589"/>
    </row>
    <row r="64" spans="1:22" x14ac:dyDescent="0.2">
      <c r="A64" s="589"/>
      <c r="B64" s="589"/>
      <c r="C64" s="589"/>
      <c r="D64" s="589"/>
      <c r="E64" s="589"/>
      <c r="F64" s="589"/>
      <c r="G64" s="589"/>
      <c r="H64" s="589"/>
      <c r="I64" s="589"/>
    </row>
    <row r="66" spans="21:22" x14ac:dyDescent="0.2">
      <c r="U66" s="963"/>
      <c r="V66" s="962"/>
    </row>
  </sheetData>
  <mergeCells count="5">
    <mergeCell ref="A8:B8"/>
    <mergeCell ref="C7:D7"/>
    <mergeCell ref="C48:F48"/>
    <mergeCell ref="H4:K4"/>
    <mergeCell ref="I38:K39"/>
  </mergeCells>
  <pageMargins left="0.25" right="0.25" top="0.75" bottom="0.75" header="0.3" footer="0.3"/>
  <pageSetup paperSize="9" scale="85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T34"/>
  <sheetViews>
    <sheetView workbookViewId="0">
      <selection activeCell="K19" sqref="K19"/>
    </sheetView>
  </sheetViews>
  <sheetFormatPr defaultRowHeight="12.75" x14ac:dyDescent="0.2"/>
  <cols>
    <col min="2" max="2" width="10.42578125" bestFit="1" customWidth="1"/>
    <col min="5" max="5" width="10.7109375" customWidth="1"/>
    <col min="6" max="6" width="11.140625" bestFit="1" customWidth="1"/>
  </cols>
  <sheetData>
    <row r="1" spans="3:6" x14ac:dyDescent="0.2">
      <c r="C1" s="357" t="s">
        <v>2515</v>
      </c>
    </row>
    <row r="2" spans="3:6" x14ac:dyDescent="0.2">
      <c r="C2" s="357" t="s">
        <v>2506</v>
      </c>
    </row>
    <row r="3" spans="3:6" x14ac:dyDescent="0.2">
      <c r="C3" s="1429" t="s">
        <v>2516</v>
      </c>
      <c r="D3" s="1430"/>
      <c r="E3" s="1430"/>
      <c r="F3" s="1430"/>
    </row>
    <row r="4" spans="3:6" x14ac:dyDescent="0.2">
      <c r="C4" s="1141" t="s">
        <v>2517</v>
      </c>
      <c r="D4" s="1139"/>
      <c r="E4" s="1139"/>
      <c r="F4" s="1139"/>
    </row>
    <row r="6" spans="3:6" x14ac:dyDescent="0.2">
      <c r="C6" s="357" t="s">
        <v>2441</v>
      </c>
      <c r="D6" s="1">
        <v>34</v>
      </c>
      <c r="E6" s="1">
        <v>35</v>
      </c>
      <c r="F6" s="1">
        <v>37</v>
      </c>
    </row>
    <row r="7" spans="3:6" x14ac:dyDescent="0.2">
      <c r="C7" t="s">
        <v>2507</v>
      </c>
      <c r="D7" s="1140" t="s">
        <v>2354</v>
      </c>
      <c r="E7" s="1140" t="s">
        <v>2354</v>
      </c>
      <c r="F7" s="1140" t="s">
        <v>2354</v>
      </c>
    </row>
    <row r="8" spans="3:6" x14ac:dyDescent="0.2">
      <c r="C8">
        <v>1960</v>
      </c>
      <c r="D8">
        <v>2.17</v>
      </c>
      <c r="E8">
        <v>2.13</v>
      </c>
      <c r="F8">
        <v>2.2400000000000002</v>
      </c>
    </row>
    <row r="9" spans="3:6" x14ac:dyDescent="0.2">
      <c r="C9">
        <v>1961</v>
      </c>
      <c r="D9">
        <v>2.86</v>
      </c>
      <c r="E9">
        <v>2.78</v>
      </c>
      <c r="F9">
        <v>2.94</v>
      </c>
    </row>
    <row r="10" spans="3:6" x14ac:dyDescent="0.2">
      <c r="C10">
        <v>1963</v>
      </c>
      <c r="D10">
        <v>2.66</v>
      </c>
      <c r="E10">
        <v>2.68</v>
      </c>
      <c r="F10">
        <v>2.7</v>
      </c>
    </row>
    <row r="11" spans="3:6" x14ac:dyDescent="0.2">
      <c r="C11" t="s">
        <v>2508</v>
      </c>
      <c r="D11">
        <v>2.61</v>
      </c>
      <c r="E11">
        <v>2.61</v>
      </c>
      <c r="F11">
        <v>2.57</v>
      </c>
    </row>
    <row r="12" spans="3:6" x14ac:dyDescent="0.2">
      <c r="C12" t="s">
        <v>2509</v>
      </c>
      <c r="D12">
        <v>3.41</v>
      </c>
      <c r="E12">
        <v>3.51</v>
      </c>
      <c r="F12">
        <v>3.51</v>
      </c>
    </row>
    <row r="13" spans="3:6" x14ac:dyDescent="0.2">
      <c r="C13">
        <v>1966</v>
      </c>
      <c r="D13">
        <v>2.69</v>
      </c>
      <c r="E13">
        <v>2.71</v>
      </c>
      <c r="F13">
        <v>2.67</v>
      </c>
    </row>
    <row r="14" spans="3:6" x14ac:dyDescent="0.2">
      <c r="C14">
        <v>1970</v>
      </c>
      <c r="D14">
        <v>2.79</v>
      </c>
      <c r="E14">
        <v>3.31</v>
      </c>
      <c r="F14">
        <v>3.37</v>
      </c>
    </row>
    <row r="15" spans="3:6" x14ac:dyDescent="0.2">
      <c r="C15">
        <v>1974</v>
      </c>
      <c r="D15">
        <v>2.36</v>
      </c>
      <c r="E15">
        <v>2.37</v>
      </c>
      <c r="F15">
        <v>2.2799999999999998</v>
      </c>
    </row>
    <row r="16" spans="3:6" x14ac:dyDescent="0.2">
      <c r="C16">
        <v>1983</v>
      </c>
      <c r="D16">
        <v>2.75</v>
      </c>
      <c r="E16">
        <v>2.74</v>
      </c>
      <c r="F16">
        <v>2.79</v>
      </c>
    </row>
    <row r="17" spans="3:20" x14ac:dyDescent="0.2">
      <c r="C17">
        <v>1985</v>
      </c>
      <c r="D17">
        <v>2.74</v>
      </c>
      <c r="E17">
        <v>2.96</v>
      </c>
      <c r="F17">
        <v>2.65</v>
      </c>
    </row>
    <row r="18" spans="3:20" x14ac:dyDescent="0.2">
      <c r="C18">
        <v>1986</v>
      </c>
      <c r="D18">
        <v>2.4700000000000002</v>
      </c>
      <c r="E18">
        <v>2.48</v>
      </c>
      <c r="F18">
        <v>2.73</v>
      </c>
    </row>
    <row r="19" spans="3:20" x14ac:dyDescent="0.2">
      <c r="C19">
        <v>1988</v>
      </c>
      <c r="D19">
        <v>3.95</v>
      </c>
      <c r="E19">
        <v>3.85</v>
      </c>
      <c r="F19">
        <v>3.66</v>
      </c>
    </row>
    <row r="20" spans="3:20" x14ac:dyDescent="0.2">
      <c r="C20">
        <v>1991</v>
      </c>
      <c r="D20">
        <v>2.66</v>
      </c>
      <c r="E20">
        <v>2.7</v>
      </c>
      <c r="F20">
        <v>2.62</v>
      </c>
    </row>
    <row r="21" spans="3:20" x14ac:dyDescent="0.2">
      <c r="C21">
        <v>1995</v>
      </c>
      <c r="D21">
        <v>2.8</v>
      </c>
      <c r="E21">
        <v>2.8</v>
      </c>
      <c r="F21">
        <v>2.76</v>
      </c>
      <c r="Q21">
        <v>2007</v>
      </c>
      <c r="R21">
        <v>5.26</v>
      </c>
      <c r="S21">
        <v>5.53</v>
      </c>
      <c r="T21">
        <v>5.43</v>
      </c>
    </row>
    <row r="22" spans="3:20" x14ac:dyDescent="0.2">
      <c r="C22" t="s">
        <v>2510</v>
      </c>
      <c r="D22">
        <v>2.09</v>
      </c>
      <c r="E22">
        <v>2.09</v>
      </c>
      <c r="F22">
        <v>2.0099999999999998</v>
      </c>
    </row>
    <row r="23" spans="3:20" x14ac:dyDescent="0.2">
      <c r="C23" t="s">
        <v>2511</v>
      </c>
      <c r="D23">
        <v>2.84</v>
      </c>
      <c r="E23">
        <v>3.12</v>
      </c>
      <c r="F23">
        <v>3.11</v>
      </c>
    </row>
    <row r="24" spans="3:20" x14ac:dyDescent="0.2">
      <c r="C24">
        <v>1998</v>
      </c>
      <c r="D24">
        <v>2.0299999999999998</v>
      </c>
      <c r="E24">
        <v>1.99</v>
      </c>
      <c r="F24">
        <v>1.97</v>
      </c>
    </row>
    <row r="25" spans="3:20" x14ac:dyDescent="0.2">
      <c r="C25" s="589">
        <v>2009</v>
      </c>
      <c r="D25" s="589">
        <v>3.36</v>
      </c>
      <c r="E25" s="589">
        <v>3.29</v>
      </c>
      <c r="F25" s="589">
        <v>3.18</v>
      </c>
      <c r="G25" s="589"/>
    </row>
    <row r="26" spans="3:20" ht="13.5" thickBot="1" x14ac:dyDescent="0.25">
      <c r="C26" s="667"/>
      <c r="D26" s="667"/>
      <c r="E26" s="667"/>
      <c r="F26" s="667"/>
      <c r="G26" s="667"/>
    </row>
    <row r="27" spans="3:20" x14ac:dyDescent="0.2">
      <c r="C27" s="357" t="s">
        <v>2512</v>
      </c>
      <c r="D27">
        <f>MAX(D8:D25)</f>
        <v>3.95</v>
      </c>
      <c r="E27">
        <f>MAX(E8:E25)</f>
        <v>3.85</v>
      </c>
      <c r="F27">
        <f>MAX(F8:F25)</f>
        <v>3.66</v>
      </c>
    </row>
    <row r="29" spans="3:20" x14ac:dyDescent="0.2">
      <c r="C29" s="357" t="s">
        <v>2513</v>
      </c>
      <c r="D29">
        <f>MIN(D8:D25)</f>
        <v>2.0299999999999998</v>
      </c>
      <c r="E29">
        <f>MIN(E8:E25)</f>
        <v>1.99</v>
      </c>
      <c r="F29">
        <f>MIN(F8:F25)</f>
        <v>1.97</v>
      </c>
    </row>
    <row r="31" spans="3:20" x14ac:dyDescent="0.2">
      <c r="C31" s="357" t="s">
        <v>2514</v>
      </c>
      <c r="D31" s="419">
        <f>AVERAGE(D8:D25)</f>
        <v>2.735555555555556</v>
      </c>
      <c r="E31" s="419">
        <f>AVERAGE(E8:E25)</f>
        <v>2.7844444444444445</v>
      </c>
      <c r="F31" s="419">
        <f>AVERAGE(F8:F25)</f>
        <v>2.764444444444444</v>
      </c>
    </row>
    <row r="34" spans="9:9" x14ac:dyDescent="0.2">
      <c r="I34" t="s">
        <v>2504</v>
      </c>
    </row>
  </sheetData>
  <mergeCells count="1">
    <mergeCell ref="C3:F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S354"/>
  <sheetViews>
    <sheetView topLeftCell="A280" workbookViewId="0">
      <selection activeCell="J225" sqref="J225"/>
    </sheetView>
  </sheetViews>
  <sheetFormatPr defaultRowHeight="12.75" x14ac:dyDescent="0.2"/>
  <cols>
    <col min="1" max="1" width="6.42578125" style="169" customWidth="1"/>
    <col min="2" max="11" width="9.140625" style="169"/>
    <col min="12" max="12" width="14.5703125" style="169" customWidth="1"/>
    <col min="13" max="256" width="9.140625" style="169"/>
    <col min="257" max="257" width="6.42578125" style="169" customWidth="1"/>
    <col min="258" max="512" width="9.140625" style="169"/>
    <col min="513" max="513" width="6.42578125" style="169" customWidth="1"/>
    <col min="514" max="768" width="9.140625" style="169"/>
    <col min="769" max="769" width="6.42578125" style="169" customWidth="1"/>
    <col min="770" max="1024" width="9.140625" style="169"/>
    <col min="1025" max="1025" width="6.42578125" style="169" customWidth="1"/>
    <col min="1026" max="1280" width="9.140625" style="169"/>
    <col min="1281" max="1281" width="6.42578125" style="169" customWidth="1"/>
    <col min="1282" max="1536" width="9.140625" style="169"/>
    <col min="1537" max="1537" width="6.42578125" style="169" customWidth="1"/>
    <col min="1538" max="1792" width="9.140625" style="169"/>
    <col min="1793" max="1793" width="6.42578125" style="169" customWidth="1"/>
    <col min="1794" max="2048" width="9.140625" style="169"/>
    <col min="2049" max="2049" width="6.42578125" style="169" customWidth="1"/>
    <col min="2050" max="2304" width="9.140625" style="169"/>
    <col min="2305" max="2305" width="6.42578125" style="169" customWidth="1"/>
    <col min="2306" max="2560" width="9.140625" style="169"/>
    <col min="2561" max="2561" width="6.42578125" style="169" customWidth="1"/>
    <col min="2562" max="2816" width="9.140625" style="169"/>
    <col min="2817" max="2817" width="6.42578125" style="169" customWidth="1"/>
    <col min="2818" max="3072" width="9.140625" style="169"/>
    <col min="3073" max="3073" width="6.42578125" style="169" customWidth="1"/>
    <col min="3074" max="3328" width="9.140625" style="169"/>
    <col min="3329" max="3329" width="6.42578125" style="169" customWidth="1"/>
    <col min="3330" max="3584" width="9.140625" style="169"/>
    <col min="3585" max="3585" width="6.42578125" style="169" customWidth="1"/>
    <col min="3586" max="3840" width="9.140625" style="169"/>
    <col min="3841" max="3841" width="6.42578125" style="169" customWidth="1"/>
    <col min="3842" max="4096" width="9.140625" style="169"/>
    <col min="4097" max="4097" width="6.42578125" style="169" customWidth="1"/>
    <col min="4098" max="4352" width="9.140625" style="169"/>
    <col min="4353" max="4353" width="6.42578125" style="169" customWidth="1"/>
    <col min="4354" max="4608" width="9.140625" style="169"/>
    <col min="4609" max="4609" width="6.42578125" style="169" customWidth="1"/>
    <col min="4610" max="4864" width="9.140625" style="169"/>
    <col min="4865" max="4865" width="6.42578125" style="169" customWidth="1"/>
    <col min="4866" max="5120" width="9.140625" style="169"/>
    <col min="5121" max="5121" width="6.42578125" style="169" customWidth="1"/>
    <col min="5122" max="5376" width="9.140625" style="169"/>
    <col min="5377" max="5377" width="6.42578125" style="169" customWidth="1"/>
    <col min="5378" max="5632" width="9.140625" style="169"/>
    <col min="5633" max="5633" width="6.42578125" style="169" customWidth="1"/>
    <col min="5634" max="5888" width="9.140625" style="169"/>
    <col min="5889" max="5889" width="6.42578125" style="169" customWidth="1"/>
    <col min="5890" max="6144" width="9.140625" style="169"/>
    <col min="6145" max="6145" width="6.42578125" style="169" customWidth="1"/>
    <col min="6146" max="6400" width="9.140625" style="169"/>
    <col min="6401" max="6401" width="6.42578125" style="169" customWidth="1"/>
    <col min="6402" max="6656" width="9.140625" style="169"/>
    <col min="6657" max="6657" width="6.42578125" style="169" customWidth="1"/>
    <col min="6658" max="6912" width="9.140625" style="169"/>
    <col min="6913" max="6913" width="6.42578125" style="169" customWidth="1"/>
    <col min="6914" max="7168" width="9.140625" style="169"/>
    <col min="7169" max="7169" width="6.42578125" style="169" customWidth="1"/>
    <col min="7170" max="7424" width="9.140625" style="169"/>
    <col min="7425" max="7425" width="6.42578125" style="169" customWidth="1"/>
    <col min="7426" max="7680" width="9.140625" style="169"/>
    <col min="7681" max="7681" width="6.42578125" style="169" customWidth="1"/>
    <col min="7682" max="7936" width="9.140625" style="169"/>
    <col min="7937" max="7937" width="6.42578125" style="169" customWidth="1"/>
    <col min="7938" max="8192" width="9.140625" style="169"/>
    <col min="8193" max="8193" width="6.42578125" style="169" customWidth="1"/>
    <col min="8194" max="8448" width="9.140625" style="169"/>
    <col min="8449" max="8449" width="6.42578125" style="169" customWidth="1"/>
    <col min="8450" max="8704" width="9.140625" style="169"/>
    <col min="8705" max="8705" width="6.42578125" style="169" customWidth="1"/>
    <col min="8706" max="8960" width="9.140625" style="169"/>
    <col min="8961" max="8961" width="6.42578125" style="169" customWidth="1"/>
    <col min="8962" max="9216" width="9.140625" style="169"/>
    <col min="9217" max="9217" width="6.42578125" style="169" customWidth="1"/>
    <col min="9218" max="9472" width="9.140625" style="169"/>
    <col min="9473" max="9473" width="6.42578125" style="169" customWidth="1"/>
    <col min="9474" max="9728" width="9.140625" style="169"/>
    <col min="9729" max="9729" width="6.42578125" style="169" customWidth="1"/>
    <col min="9730" max="9984" width="9.140625" style="169"/>
    <col min="9985" max="9985" width="6.42578125" style="169" customWidth="1"/>
    <col min="9986" max="10240" width="9.140625" style="169"/>
    <col min="10241" max="10241" width="6.42578125" style="169" customWidth="1"/>
    <col min="10242" max="10496" width="9.140625" style="169"/>
    <col min="10497" max="10497" width="6.42578125" style="169" customWidth="1"/>
    <col min="10498" max="10752" width="9.140625" style="169"/>
    <col min="10753" max="10753" width="6.42578125" style="169" customWidth="1"/>
    <col min="10754" max="11008" width="9.140625" style="169"/>
    <col min="11009" max="11009" width="6.42578125" style="169" customWidth="1"/>
    <col min="11010" max="11264" width="9.140625" style="169"/>
    <col min="11265" max="11265" width="6.42578125" style="169" customWidth="1"/>
    <col min="11266" max="11520" width="9.140625" style="169"/>
    <col min="11521" max="11521" width="6.42578125" style="169" customWidth="1"/>
    <col min="11522" max="11776" width="9.140625" style="169"/>
    <col min="11777" max="11777" width="6.42578125" style="169" customWidth="1"/>
    <col min="11778" max="12032" width="9.140625" style="169"/>
    <col min="12033" max="12033" width="6.42578125" style="169" customWidth="1"/>
    <col min="12034" max="12288" width="9.140625" style="169"/>
    <col min="12289" max="12289" width="6.42578125" style="169" customWidth="1"/>
    <col min="12290" max="12544" width="9.140625" style="169"/>
    <col min="12545" max="12545" width="6.42578125" style="169" customWidth="1"/>
    <col min="12546" max="12800" width="9.140625" style="169"/>
    <col min="12801" max="12801" width="6.42578125" style="169" customWidth="1"/>
    <col min="12802" max="13056" width="9.140625" style="169"/>
    <col min="13057" max="13057" width="6.42578125" style="169" customWidth="1"/>
    <col min="13058" max="13312" width="9.140625" style="169"/>
    <col min="13313" max="13313" width="6.42578125" style="169" customWidth="1"/>
    <col min="13314" max="13568" width="9.140625" style="169"/>
    <col min="13569" max="13569" width="6.42578125" style="169" customWidth="1"/>
    <col min="13570" max="13824" width="9.140625" style="169"/>
    <col min="13825" max="13825" width="6.42578125" style="169" customWidth="1"/>
    <col min="13826" max="14080" width="9.140625" style="169"/>
    <col min="14081" max="14081" width="6.42578125" style="169" customWidth="1"/>
    <col min="14082" max="14336" width="9.140625" style="169"/>
    <col min="14337" max="14337" width="6.42578125" style="169" customWidth="1"/>
    <col min="14338" max="14592" width="9.140625" style="169"/>
    <col min="14593" max="14593" width="6.42578125" style="169" customWidth="1"/>
    <col min="14594" max="14848" width="9.140625" style="169"/>
    <col min="14849" max="14849" width="6.42578125" style="169" customWidth="1"/>
    <col min="14850" max="15104" width="9.140625" style="169"/>
    <col min="15105" max="15105" width="6.42578125" style="169" customWidth="1"/>
    <col min="15106" max="15360" width="9.140625" style="169"/>
    <col min="15361" max="15361" width="6.42578125" style="169" customWidth="1"/>
    <col min="15362" max="15616" width="9.140625" style="169"/>
    <col min="15617" max="15617" width="6.42578125" style="169" customWidth="1"/>
    <col min="15618" max="15872" width="9.140625" style="169"/>
    <col min="15873" max="15873" width="6.42578125" style="169" customWidth="1"/>
    <col min="15874" max="16128" width="9.140625" style="169"/>
    <col min="16129" max="16129" width="6.42578125" style="169" customWidth="1"/>
    <col min="16130" max="16384" width="9.140625" style="169"/>
  </cols>
  <sheetData>
    <row r="1" spans="1:18" x14ac:dyDescent="0.2">
      <c r="A1" s="438" t="s">
        <v>2031</v>
      </c>
      <c r="B1" s="424"/>
      <c r="C1" s="439" t="str">
        <f>'Design Data'!C2</f>
        <v>Coastal Embankment Improvement Project Phase-1, CEIP-1.</v>
      </c>
      <c r="D1" s="440"/>
      <c r="E1" s="424"/>
      <c r="F1" s="424"/>
      <c r="G1" s="424"/>
      <c r="H1" s="424"/>
      <c r="I1" s="441"/>
      <c r="J1" s="441"/>
      <c r="K1" s="425"/>
    </row>
    <row r="2" spans="1:18" ht="15" x14ac:dyDescent="0.25">
      <c r="A2" s="442" t="s">
        <v>2381</v>
      </c>
      <c r="B2" s="443"/>
      <c r="C2" s="444"/>
      <c r="D2" s="445" t="str">
        <f>'Design Data'!C4</f>
        <v>DR-5</v>
      </c>
      <c r="E2" s="445"/>
      <c r="F2" s="217"/>
      <c r="G2" s="217"/>
      <c r="H2" s="217"/>
      <c r="I2" s="446"/>
      <c r="J2" s="446"/>
      <c r="K2" s="427"/>
    </row>
    <row r="3" spans="1:18" x14ac:dyDescent="0.2">
      <c r="A3" s="442" t="s">
        <v>2264</v>
      </c>
      <c r="B3" s="217" t="str">
        <f>'Design Data'!C5</f>
        <v>Khulna</v>
      </c>
      <c r="C3" s="447"/>
      <c r="D3" s="444"/>
      <c r="E3" s="217"/>
      <c r="F3" s="447"/>
      <c r="G3" s="448" t="s">
        <v>1966</v>
      </c>
      <c r="H3" s="217" t="str">
        <f>'Design Data'!D18</f>
        <v>1.50m x 1.80m</v>
      </c>
      <c r="I3" s="217"/>
      <c r="J3" s="447"/>
      <c r="K3" s="449"/>
      <c r="M3" s="170" t="e">
        <v>#VALUE!</v>
      </c>
      <c r="N3" s="171" t="s">
        <v>1</v>
      </c>
    </row>
    <row r="4" spans="1:18" x14ac:dyDescent="0.2">
      <c r="A4" s="426"/>
      <c r="B4" s="217"/>
      <c r="C4" s="217"/>
      <c r="D4" s="217"/>
      <c r="E4" s="217"/>
      <c r="F4" s="217" t="s">
        <v>702</v>
      </c>
      <c r="G4" s="217"/>
      <c r="H4" s="217"/>
      <c r="I4" s="217"/>
      <c r="J4" s="217"/>
      <c r="K4" s="427"/>
      <c r="M4" s="170">
        <v>1</v>
      </c>
      <c r="N4" s="171" t="s">
        <v>703</v>
      </c>
    </row>
    <row r="5" spans="1:18" x14ac:dyDescent="0.2">
      <c r="A5" s="426"/>
      <c r="B5" s="187" t="str">
        <f>IF(F8&gt;=F9,"OUTLET (R/S) STILLING BASIN DESIGN","INLET (C/S) STILLING BASIN DESIGN")</f>
        <v>OUTLET (R/S) STILLING BASIN DESIGN</v>
      </c>
      <c r="C5" s="217"/>
      <c r="D5" s="217"/>
      <c r="E5" s="217"/>
      <c r="F5" s="217"/>
      <c r="G5" s="217" t="s">
        <v>700</v>
      </c>
      <c r="H5" s="217"/>
      <c r="I5" s="217"/>
      <c r="J5" s="217"/>
      <c r="K5" s="427"/>
      <c r="M5" s="170"/>
      <c r="N5" s="171"/>
    </row>
    <row r="6" spans="1:18" x14ac:dyDescent="0.2">
      <c r="A6" s="426"/>
      <c r="B6" s="222" t="s">
        <v>704</v>
      </c>
      <c r="C6" s="217"/>
      <c r="D6" s="217"/>
      <c r="E6" s="217"/>
      <c r="F6" s="217"/>
      <c r="G6" s="217"/>
      <c r="H6" s="217"/>
      <c r="I6" s="217"/>
      <c r="J6" s="217"/>
      <c r="K6" s="427"/>
      <c r="M6" s="271" t="s">
        <v>2</v>
      </c>
      <c r="N6" s="171" t="s">
        <v>705</v>
      </c>
    </row>
    <row r="7" spans="1:18" x14ac:dyDescent="0.2">
      <c r="A7" s="426"/>
      <c r="B7" s="217"/>
      <c r="C7" s="217"/>
      <c r="D7" s="217"/>
      <c r="E7" s="217"/>
      <c r="F7" s="217"/>
      <c r="G7" s="217"/>
      <c r="H7" s="217"/>
      <c r="I7" s="217"/>
      <c r="J7" s="217"/>
      <c r="K7" s="427"/>
      <c r="N7" s="171" t="s">
        <v>706</v>
      </c>
    </row>
    <row r="8" spans="1:18" x14ac:dyDescent="0.2">
      <c r="A8" s="426"/>
      <c r="B8" s="222" t="s">
        <v>707</v>
      </c>
      <c r="C8" s="217"/>
      <c r="D8" s="217"/>
      <c r="E8" s="217"/>
      <c r="F8" s="407">
        <f>'Design Data'!E28</f>
        <v>2.61</v>
      </c>
      <c r="G8" s="406" t="s">
        <v>2343</v>
      </c>
      <c r="H8" s="217"/>
      <c r="I8" s="450" t="str">
        <f>IF(AND(C$76&gt;1,C$77&gt;1),"1",IF(AND(C$76&gt;=1.5,C$77&lt;=1),"3",IF(AND(C$76&lt;1.5,C$78&gt;0.667),"4",IF(AND(C$76&lt;1.5,C$78&lt;=0.667),"5","0"))))</f>
        <v>3</v>
      </c>
      <c r="J8" s="217"/>
      <c r="K8" s="427"/>
      <c r="N8" s="171" t="s">
        <v>6</v>
      </c>
    </row>
    <row r="9" spans="1:18" x14ac:dyDescent="0.2">
      <c r="A9" s="426"/>
      <c r="B9" s="222" t="s">
        <v>708</v>
      </c>
      <c r="C9" s="217"/>
      <c r="D9" s="217"/>
      <c r="E9" s="217"/>
      <c r="F9" s="407">
        <f>'Design Data'!E30</f>
        <v>0.6</v>
      </c>
      <c r="G9" s="406" t="s">
        <v>2343</v>
      </c>
      <c r="H9" s="217"/>
      <c r="I9" s="217"/>
      <c r="J9" s="395" t="s">
        <v>2544</v>
      </c>
      <c r="K9" s="217"/>
      <c r="N9" s="171" t="s">
        <v>709</v>
      </c>
    </row>
    <row r="10" spans="1:18" x14ac:dyDescent="0.2">
      <c r="A10" s="426"/>
      <c r="B10" s="217"/>
      <c r="C10" s="217"/>
      <c r="D10" s="217"/>
      <c r="E10" s="217"/>
      <c r="F10" s="451"/>
      <c r="G10" s="395"/>
      <c r="J10" s="217"/>
      <c r="K10" s="427"/>
      <c r="N10" s="171" t="s">
        <v>9</v>
      </c>
    </row>
    <row r="11" spans="1:18" ht="15" x14ac:dyDescent="0.2">
      <c r="A11" s="426"/>
      <c r="B11" s="222" t="s">
        <v>710</v>
      </c>
      <c r="C11" s="217"/>
      <c r="D11" s="217"/>
      <c r="E11" s="217"/>
      <c r="F11" s="717">
        <f>'Design Data'!D22</f>
        <v>1</v>
      </c>
      <c r="G11" s="222"/>
      <c r="H11" s="217"/>
      <c r="I11" s="217"/>
      <c r="J11" s="217"/>
      <c r="K11" s="427"/>
      <c r="N11" s="171" t="s">
        <v>711</v>
      </c>
    </row>
    <row r="12" spans="1:18" x14ac:dyDescent="0.2">
      <c r="A12" s="426"/>
      <c r="B12" s="222" t="s">
        <v>714</v>
      </c>
      <c r="C12" s="217"/>
      <c r="D12" s="217"/>
      <c r="E12" s="217"/>
      <c r="F12" s="452">
        <f>'Design Data'!E19</f>
        <v>1.8</v>
      </c>
      <c r="G12" s="222" t="s">
        <v>24</v>
      </c>
      <c r="H12" s="453"/>
      <c r="I12" s="217"/>
      <c r="J12" s="217"/>
      <c r="K12" s="427"/>
      <c r="N12" s="171" t="s">
        <v>713</v>
      </c>
    </row>
    <row r="13" spans="1:18" x14ac:dyDescent="0.2">
      <c r="A13" s="426"/>
      <c r="B13" s="222" t="s">
        <v>716</v>
      </c>
      <c r="C13" s="217"/>
      <c r="D13" s="217"/>
      <c r="E13" s="217"/>
      <c r="F13" s="452">
        <f>'Design Data'!E20</f>
        <v>1.5</v>
      </c>
      <c r="G13" s="222" t="s">
        <v>24</v>
      </c>
      <c r="H13" s="453"/>
      <c r="I13" s="217"/>
      <c r="J13" s="217"/>
      <c r="K13" s="427"/>
      <c r="N13" s="171" t="s">
        <v>715</v>
      </c>
    </row>
    <row r="14" spans="1:18" x14ac:dyDescent="0.2">
      <c r="A14" s="426"/>
      <c r="B14" s="222" t="s">
        <v>718</v>
      </c>
      <c r="C14" s="217"/>
      <c r="D14" s="217"/>
      <c r="E14" s="217"/>
      <c r="F14" s="407">
        <f>'Design Data'!D23</f>
        <v>-1.2</v>
      </c>
      <c r="G14" s="406" t="s">
        <v>2343</v>
      </c>
      <c r="H14" s="454"/>
      <c r="I14" s="1414" t="s">
        <v>2596</v>
      </c>
      <c r="J14" s="217"/>
      <c r="K14" s="427"/>
      <c r="N14" s="171" t="s">
        <v>717</v>
      </c>
    </row>
    <row r="15" spans="1:18" x14ac:dyDescent="0.2">
      <c r="A15" s="426"/>
      <c r="B15" s="217" t="s">
        <v>1849</v>
      </c>
      <c r="C15" s="217"/>
      <c r="D15" s="217"/>
      <c r="E15" s="217"/>
      <c r="F15" s="187">
        <f>F11*(F13+2*F19)+(F11-1)*F23</f>
        <v>1.8</v>
      </c>
      <c r="G15" s="217" t="s">
        <v>24</v>
      </c>
      <c r="H15" s="217"/>
      <c r="I15" s="217"/>
      <c r="J15" s="217"/>
      <c r="K15" s="427"/>
      <c r="N15" s="171" t="s">
        <v>719</v>
      </c>
      <c r="R15" s="171" t="s">
        <v>27</v>
      </c>
    </row>
    <row r="16" spans="1:18" x14ac:dyDescent="0.2">
      <c r="A16" s="426"/>
      <c r="B16" s="217"/>
      <c r="C16" s="217"/>
      <c r="D16" s="217"/>
      <c r="E16" s="217"/>
      <c r="F16" s="451"/>
      <c r="G16" s="217"/>
      <c r="H16" s="217"/>
      <c r="I16" s="217"/>
      <c r="J16" s="217"/>
      <c r="K16" s="427"/>
      <c r="N16" s="171" t="s">
        <v>720</v>
      </c>
    </row>
    <row r="17" spans="1:14" x14ac:dyDescent="0.2">
      <c r="A17" s="426"/>
      <c r="B17" s="406" t="s">
        <v>2356</v>
      </c>
      <c r="C17" s="217"/>
      <c r="D17" s="217"/>
      <c r="E17" s="217"/>
      <c r="F17" s="407">
        <v>-2.25</v>
      </c>
      <c r="G17" s="406" t="s">
        <v>2343</v>
      </c>
      <c r="H17" s="217"/>
      <c r="I17" s="217"/>
      <c r="J17" s="217"/>
      <c r="K17" s="427"/>
      <c r="N17" s="171" t="s">
        <v>30</v>
      </c>
    </row>
    <row r="18" spans="1:14" x14ac:dyDescent="0.2">
      <c r="A18" s="426"/>
      <c r="B18" s="406" t="s">
        <v>2355</v>
      </c>
      <c r="C18" s="217"/>
      <c r="D18" s="217"/>
      <c r="E18" s="217"/>
      <c r="F18" s="407">
        <v>-2.1</v>
      </c>
      <c r="G18" s="406" t="s">
        <v>2343</v>
      </c>
      <c r="H18" s="217"/>
      <c r="I18" s="217"/>
      <c r="J18" s="217"/>
      <c r="K18" s="427"/>
    </row>
    <row r="19" spans="1:14" x14ac:dyDescent="0.2">
      <c r="A19" s="426"/>
      <c r="B19" s="222" t="s">
        <v>721</v>
      </c>
      <c r="C19" s="217"/>
      <c r="D19" s="217"/>
      <c r="E19" s="217"/>
      <c r="F19" s="407">
        <v>0.15</v>
      </c>
      <c r="G19" s="222" t="s">
        <v>24</v>
      </c>
      <c r="H19" s="217"/>
      <c r="I19" s="217"/>
      <c r="J19" s="217"/>
      <c r="K19" s="427"/>
    </row>
    <row r="20" spans="1:14" x14ac:dyDescent="0.2">
      <c r="A20" s="426"/>
      <c r="B20" s="222" t="s">
        <v>722</v>
      </c>
      <c r="C20" s="217"/>
      <c r="D20" s="217"/>
      <c r="E20" s="217"/>
      <c r="F20" s="407">
        <v>0.15</v>
      </c>
      <c r="G20" s="222" t="s">
        <v>24</v>
      </c>
      <c r="H20" s="217"/>
      <c r="I20" s="217"/>
      <c r="J20" s="217"/>
      <c r="K20" s="427"/>
    </row>
    <row r="21" spans="1:14" x14ac:dyDescent="0.2">
      <c r="A21" s="426"/>
      <c r="B21" s="222" t="s">
        <v>723</v>
      </c>
      <c r="C21" s="217"/>
      <c r="D21" s="217"/>
      <c r="E21" s="217"/>
      <c r="F21" s="471">
        <f>(2.25-1.35) *3+0.5</f>
        <v>3.1999999999999997</v>
      </c>
      <c r="G21" s="456" t="s">
        <v>24</v>
      </c>
      <c r="H21" s="395" t="s">
        <v>2597</v>
      </c>
      <c r="I21" s="217"/>
      <c r="J21" s="217"/>
      <c r="K21" s="427"/>
    </row>
    <row r="22" spans="1:14" x14ac:dyDescent="0.2">
      <c r="A22" s="426"/>
      <c r="B22" s="222" t="s">
        <v>724</v>
      </c>
      <c r="C22" s="217"/>
      <c r="D22" s="217"/>
      <c r="E22" s="217"/>
      <c r="F22" s="35">
        <v>8</v>
      </c>
      <c r="G22" s="222" t="s">
        <v>32</v>
      </c>
      <c r="H22" s="217"/>
      <c r="I22" s="217"/>
      <c r="J22" s="217"/>
      <c r="K22" s="427"/>
    </row>
    <row r="23" spans="1:14" x14ac:dyDescent="0.2">
      <c r="A23" s="426"/>
      <c r="B23" s="217" t="s">
        <v>1850</v>
      </c>
      <c r="C23" s="217"/>
      <c r="D23" s="217"/>
      <c r="E23" s="217"/>
      <c r="F23" s="451">
        <v>0.4</v>
      </c>
      <c r="G23" s="217" t="s">
        <v>24</v>
      </c>
      <c r="H23" s="217"/>
      <c r="I23" s="217"/>
      <c r="J23" s="217"/>
      <c r="K23" s="427"/>
    </row>
    <row r="24" spans="1:14" x14ac:dyDescent="0.2">
      <c r="A24" s="426"/>
      <c r="B24" s="222" t="s">
        <v>725</v>
      </c>
      <c r="C24" s="217"/>
      <c r="D24" s="407"/>
      <c r="E24" s="217"/>
      <c r="F24" s="407">
        <v>2</v>
      </c>
      <c r="G24" s="222" t="s">
        <v>726</v>
      </c>
      <c r="H24" s="217"/>
      <c r="I24" s="217"/>
      <c r="J24" s="217"/>
      <c r="K24" s="427"/>
    </row>
    <row r="25" spans="1:14" x14ac:dyDescent="0.2">
      <c r="A25" s="426"/>
      <c r="B25" s="406" t="s">
        <v>1919</v>
      </c>
      <c r="C25" s="217"/>
      <c r="D25" s="407"/>
      <c r="E25" s="217"/>
      <c r="F25" s="799">
        <f>'Design Data'!E39</f>
        <v>3.5</v>
      </c>
      <c r="G25" s="406" t="s">
        <v>2343</v>
      </c>
      <c r="H25" s="217"/>
      <c r="I25" s="217"/>
      <c r="J25" s="217"/>
      <c r="K25" s="427"/>
    </row>
    <row r="26" spans="1:14" x14ac:dyDescent="0.2">
      <c r="A26" s="426"/>
      <c r="B26" s="406" t="s">
        <v>2493</v>
      </c>
      <c r="C26" s="217"/>
      <c r="D26" s="407"/>
      <c r="E26" s="217"/>
      <c r="F26" s="407">
        <v>0.5</v>
      </c>
      <c r="G26" s="406" t="s">
        <v>24</v>
      </c>
      <c r="H26" s="217"/>
      <c r="I26" s="217"/>
      <c r="J26" s="217"/>
      <c r="K26" s="427"/>
    </row>
    <row r="27" spans="1:14" x14ac:dyDescent="0.2">
      <c r="A27" s="426"/>
      <c r="B27" s="406"/>
      <c r="C27" s="217"/>
      <c r="D27" s="407"/>
      <c r="E27" s="217"/>
      <c r="F27" s="407"/>
      <c r="G27" s="406"/>
      <c r="H27" s="217"/>
      <c r="I27" s="217"/>
      <c r="J27" s="217"/>
      <c r="K27" s="427"/>
    </row>
    <row r="28" spans="1:14" x14ac:dyDescent="0.2">
      <c r="A28" s="426"/>
      <c r="B28" s="249" t="str">
        <f>IF($F$8&gt;=$F$9,"U/S","D/S")</f>
        <v>U/S</v>
      </c>
      <c r="C28" s="217"/>
      <c r="D28" s="217"/>
      <c r="E28" s="217"/>
      <c r="F28" s="217"/>
      <c r="G28" s="217"/>
      <c r="H28" s="217"/>
      <c r="I28" s="217"/>
      <c r="J28" s="217"/>
      <c r="K28" s="427"/>
    </row>
    <row r="29" spans="1:14" x14ac:dyDescent="0.2">
      <c r="A29" s="426"/>
      <c r="B29" s="187">
        <f>F8</f>
        <v>2.61</v>
      </c>
      <c r="C29" s="222"/>
      <c r="D29" s="222"/>
      <c r="E29" s="217"/>
      <c r="F29" s="217"/>
      <c r="G29" s="217"/>
      <c r="H29" s="217"/>
      <c r="I29" s="217"/>
      <c r="J29" s="217"/>
      <c r="K29" s="427"/>
    </row>
    <row r="30" spans="1:14" x14ac:dyDescent="0.2">
      <c r="A30" s="426"/>
      <c r="B30" s="222"/>
      <c r="C30" s="217"/>
      <c r="D30" s="222"/>
      <c r="E30" s="266"/>
      <c r="F30" s="266"/>
      <c r="G30" s="266"/>
      <c r="H30" s="266"/>
      <c r="I30" s="266"/>
      <c r="J30" s="266"/>
      <c r="K30" s="457"/>
    </row>
    <row r="31" spans="1:14" x14ac:dyDescent="0.2">
      <c r="A31" s="426"/>
      <c r="B31" s="222"/>
      <c r="C31" s="222"/>
      <c r="D31" s="217"/>
      <c r="E31" s="217"/>
      <c r="F31" s="217"/>
      <c r="G31" s="249" t="str">
        <f>IF($F$8&gt;=$F$9,"D/S","U/S")</f>
        <v>D/S</v>
      </c>
      <c r="H31" s="217"/>
      <c r="I31" s="222"/>
      <c r="J31" s="222"/>
      <c r="K31" s="458"/>
    </row>
    <row r="32" spans="1:14" x14ac:dyDescent="0.2">
      <c r="A32" s="426"/>
      <c r="B32" s="217"/>
      <c r="C32" s="217"/>
      <c r="D32" s="459"/>
      <c r="E32" s="459"/>
      <c r="F32" s="217"/>
      <c r="G32" s="222"/>
      <c r="H32" s="217"/>
      <c r="I32" s="222"/>
      <c r="J32" s="266"/>
      <c r="K32" s="458"/>
    </row>
    <row r="33" spans="1:12" x14ac:dyDescent="0.2">
      <c r="A33" s="426"/>
      <c r="B33" s="217"/>
      <c r="C33" s="217"/>
      <c r="D33" s="222"/>
      <c r="E33" s="459"/>
      <c r="F33" s="187">
        <f>F9</f>
        <v>0.6</v>
      </c>
      <c r="G33" s="217"/>
      <c r="H33" s="217"/>
      <c r="I33" s="222"/>
      <c r="J33" s="222"/>
      <c r="K33" s="458"/>
    </row>
    <row r="34" spans="1:12" x14ac:dyDescent="0.2">
      <c r="A34" s="426"/>
      <c r="B34" s="217"/>
      <c r="C34" s="187">
        <f>F12</f>
        <v>1.8</v>
      </c>
      <c r="D34" s="459"/>
      <c r="E34" s="459"/>
      <c r="F34" s="217"/>
      <c r="G34" s="217"/>
      <c r="H34" s="217"/>
      <c r="I34" s="222"/>
      <c r="J34" s="222"/>
      <c r="K34" s="458"/>
    </row>
    <row r="35" spans="1:12" x14ac:dyDescent="0.2">
      <c r="A35" s="426"/>
      <c r="B35" s="187">
        <f>F14</f>
        <v>-1.2</v>
      </c>
      <c r="C35" s="217"/>
      <c r="D35" s="459"/>
      <c r="E35" s="459"/>
      <c r="F35" s="217"/>
      <c r="G35" s="217"/>
      <c r="H35" s="217"/>
      <c r="I35" s="222"/>
      <c r="J35" s="266"/>
      <c r="K35" s="458"/>
    </row>
    <row r="36" spans="1:12" x14ac:dyDescent="0.2">
      <c r="A36" s="426"/>
      <c r="B36" s="222"/>
      <c r="C36" s="222"/>
      <c r="D36" s="222"/>
      <c r="E36" s="222">
        <f>F14-F20</f>
        <v>-1.3499999999999999</v>
      </c>
      <c r="F36" s="222"/>
      <c r="G36" s="217"/>
      <c r="H36" s="217"/>
      <c r="I36" s="222"/>
      <c r="J36" s="222"/>
      <c r="K36" s="458"/>
    </row>
    <row r="37" spans="1:12" x14ac:dyDescent="0.2">
      <c r="A37" s="426"/>
      <c r="B37" s="217"/>
      <c r="C37" s="217"/>
      <c r="D37" s="222"/>
      <c r="E37" s="217"/>
      <c r="F37" s="217"/>
      <c r="G37" s="217">
        <f>IF(F8&gt;F9,F17,F18)</f>
        <v>-2.25</v>
      </c>
      <c r="H37" s="222"/>
      <c r="I37" s="222"/>
      <c r="J37" s="222"/>
      <c r="K37" s="458"/>
    </row>
    <row r="38" spans="1:12" x14ac:dyDescent="0.2">
      <c r="A38" s="426"/>
      <c r="B38" s="217"/>
      <c r="C38" s="217"/>
      <c r="D38" s="222"/>
      <c r="E38" s="217"/>
      <c r="F38" s="217"/>
      <c r="G38" s="222"/>
      <c r="H38" s="266"/>
      <c r="I38" s="222"/>
      <c r="J38" s="222" t="s">
        <v>727</v>
      </c>
      <c r="K38" s="458" t="s">
        <v>727</v>
      </c>
    </row>
    <row r="39" spans="1:12" x14ac:dyDescent="0.2">
      <c r="A39" s="426"/>
      <c r="B39" s="217"/>
      <c r="C39" s="217"/>
      <c r="D39" s="222"/>
      <c r="E39" s="187">
        <f>F21</f>
        <v>3.1999999999999997</v>
      </c>
      <c r="F39" s="222" t="s">
        <v>199</v>
      </c>
      <c r="G39" s="460">
        <f>H222</f>
        <v>13</v>
      </c>
      <c r="H39" s="217"/>
      <c r="I39" s="222"/>
      <c r="J39" s="217"/>
      <c r="K39" s="427"/>
    </row>
    <row r="40" spans="1:12" x14ac:dyDescent="0.2">
      <c r="A40" s="426"/>
      <c r="B40" s="217"/>
      <c r="C40" s="1431" t="s">
        <v>728</v>
      </c>
      <c r="D40" s="1431"/>
      <c r="E40" s="249" t="s">
        <v>729</v>
      </c>
      <c r="F40" s="222"/>
      <c r="G40" s="399" t="s">
        <v>730</v>
      </c>
      <c r="H40" s="217"/>
      <c r="I40" s="222"/>
      <c r="J40" s="217"/>
      <c r="K40" s="427"/>
    </row>
    <row r="41" spans="1:12" x14ac:dyDescent="0.2">
      <c r="A41" s="426"/>
      <c r="B41" s="217"/>
      <c r="C41" s="217"/>
      <c r="D41" s="222"/>
      <c r="E41" s="217"/>
      <c r="F41" s="222"/>
      <c r="G41" s="266"/>
      <c r="H41" s="266"/>
      <c r="I41" s="222"/>
      <c r="J41" s="217"/>
      <c r="K41" s="427"/>
    </row>
    <row r="42" spans="1:12" x14ac:dyDescent="0.2">
      <c r="A42" s="426"/>
      <c r="B42" s="217"/>
      <c r="C42" s="217"/>
      <c r="D42" s="222"/>
      <c r="E42" s="461" t="s">
        <v>53</v>
      </c>
      <c r="F42" s="217"/>
      <c r="G42" s="217"/>
      <c r="H42" s="217"/>
      <c r="I42" s="217"/>
      <c r="J42" s="217"/>
      <c r="K42" s="427"/>
    </row>
    <row r="43" spans="1:12" x14ac:dyDescent="0.2">
      <c r="A43" s="426"/>
      <c r="B43" s="217"/>
      <c r="C43" s="217"/>
      <c r="D43" s="217"/>
      <c r="E43" s="217"/>
      <c r="F43" s="217"/>
      <c r="G43" s="217"/>
      <c r="H43" s="217"/>
      <c r="I43" s="222"/>
      <c r="J43" s="217"/>
      <c r="K43" s="427"/>
    </row>
    <row r="44" spans="1:12" x14ac:dyDescent="0.2">
      <c r="A44" s="426"/>
      <c r="B44" s="217"/>
      <c r="C44" s="217"/>
      <c r="D44" s="217"/>
      <c r="E44" s="217"/>
      <c r="F44" s="217"/>
      <c r="G44" s="217"/>
      <c r="H44" s="217"/>
      <c r="I44" s="222"/>
      <c r="J44" s="217"/>
      <c r="K44" s="427"/>
      <c r="L44" s="171"/>
    </row>
    <row r="45" spans="1:12" x14ac:dyDescent="0.2">
      <c r="A45" s="426"/>
      <c r="B45" s="217"/>
      <c r="C45" s="217"/>
      <c r="D45" s="217"/>
      <c r="E45" s="217"/>
      <c r="F45" s="217"/>
      <c r="G45" s="217"/>
      <c r="H45" s="217"/>
      <c r="I45" s="217"/>
      <c r="J45" s="217"/>
      <c r="K45" s="427"/>
    </row>
    <row r="46" spans="1:12" x14ac:dyDescent="0.2">
      <c r="A46" s="426"/>
      <c r="B46" s="461" t="s">
        <v>50</v>
      </c>
      <c r="C46" s="217"/>
      <c r="D46" s="217"/>
      <c r="E46" s="217"/>
      <c r="F46" s="217"/>
      <c r="G46" s="217"/>
      <c r="H46" s="217"/>
      <c r="I46" s="222"/>
      <c r="J46" s="266"/>
      <c r="K46" s="457"/>
    </row>
    <row r="47" spans="1:12" x14ac:dyDescent="0.2">
      <c r="A47" s="426"/>
      <c r="B47" s="217"/>
      <c r="C47" s="217"/>
      <c r="D47" s="217"/>
      <c r="E47" s="217"/>
      <c r="F47" s="217"/>
      <c r="G47" s="217"/>
      <c r="H47" s="217"/>
      <c r="I47" s="217"/>
      <c r="J47" s="462" t="s">
        <v>731</v>
      </c>
      <c r="K47" s="463"/>
    </row>
    <row r="48" spans="1:12" x14ac:dyDescent="0.2">
      <c r="A48" s="426"/>
      <c r="B48" s="217"/>
      <c r="C48" s="217"/>
      <c r="D48" s="217"/>
      <c r="E48" s="217"/>
      <c r="F48" s="217"/>
      <c r="G48" s="217"/>
      <c r="H48" s="217"/>
      <c r="I48" s="217"/>
      <c r="J48" s="462" t="s">
        <v>732</v>
      </c>
      <c r="K48" s="463"/>
    </row>
    <row r="49" spans="1:11" x14ac:dyDescent="0.2">
      <c r="A49" s="426"/>
      <c r="B49" s="217"/>
      <c r="C49" s="217"/>
      <c r="D49" s="217"/>
      <c r="E49" s="217"/>
      <c r="F49" s="217"/>
      <c r="G49" s="217"/>
      <c r="H49" s="217"/>
      <c r="I49" s="222"/>
      <c r="J49" s="462" t="s">
        <v>733</v>
      </c>
      <c r="K49" s="464">
        <f>F24</f>
        <v>2</v>
      </c>
    </row>
    <row r="50" spans="1:11" x14ac:dyDescent="0.2">
      <c r="A50" s="426"/>
      <c r="B50" s="217"/>
      <c r="C50" s="217"/>
      <c r="D50" s="217"/>
      <c r="E50" s="217"/>
      <c r="F50" s="217"/>
      <c r="G50" s="222"/>
      <c r="H50" s="217"/>
      <c r="I50" s="217"/>
      <c r="J50" s="222"/>
      <c r="K50" s="458"/>
    </row>
    <row r="51" spans="1:11" x14ac:dyDescent="0.2">
      <c r="A51" s="426"/>
      <c r="B51" s="217"/>
      <c r="C51" s="217"/>
      <c r="D51" s="217"/>
      <c r="E51" s="217"/>
      <c r="F51" s="222"/>
      <c r="G51" s="217"/>
      <c r="H51" s="217"/>
      <c r="I51" s="222"/>
      <c r="J51" s="217"/>
      <c r="K51" s="458"/>
    </row>
    <row r="52" spans="1:11" x14ac:dyDescent="0.2">
      <c r="A52" s="426"/>
      <c r="B52" s="217"/>
      <c r="C52" s="217"/>
      <c r="D52" s="222"/>
      <c r="E52" s="222"/>
      <c r="F52" s="217"/>
      <c r="G52" s="222"/>
      <c r="H52" s="399">
        <f>F22</f>
        <v>8</v>
      </c>
      <c r="I52" s="461" t="s">
        <v>32</v>
      </c>
      <c r="J52" s="217"/>
      <c r="K52" s="458"/>
    </row>
    <row r="53" spans="1:11" x14ac:dyDescent="0.2">
      <c r="A53" s="426"/>
      <c r="B53" s="217"/>
      <c r="C53" s="217"/>
      <c r="D53" s="187">
        <f>F19</f>
        <v>0.15</v>
      </c>
      <c r="E53" s="217"/>
      <c r="F53" s="222"/>
      <c r="G53" s="217"/>
      <c r="H53" s="217"/>
      <c r="I53" s="222"/>
      <c r="J53" s="217"/>
      <c r="K53" s="458"/>
    </row>
    <row r="54" spans="1:11" x14ac:dyDescent="0.2">
      <c r="A54" s="426"/>
      <c r="B54" s="222"/>
      <c r="C54" s="222"/>
      <c r="D54" s="217"/>
      <c r="E54" s="222"/>
      <c r="F54" s="222"/>
      <c r="G54" s="217"/>
      <c r="H54" s="217"/>
      <c r="I54" s="222"/>
      <c r="J54" s="217"/>
      <c r="K54" s="458"/>
    </row>
    <row r="55" spans="1:11" x14ac:dyDescent="0.2">
      <c r="A55" s="426"/>
      <c r="B55" s="222"/>
      <c r="C55" s="187">
        <f>F13</f>
        <v>1.5</v>
      </c>
      <c r="D55" s="222"/>
      <c r="E55" s="217"/>
      <c r="F55" s="222"/>
      <c r="G55" s="217"/>
      <c r="H55" s="217"/>
      <c r="I55" s="222"/>
      <c r="J55" s="222" t="s">
        <v>734</v>
      </c>
      <c r="K55" s="458"/>
    </row>
    <row r="56" spans="1:11" x14ac:dyDescent="0.2">
      <c r="A56" s="426"/>
      <c r="B56" s="187">
        <f>F15</f>
        <v>1.8</v>
      </c>
      <c r="C56" s="249" t="s">
        <v>735</v>
      </c>
      <c r="D56" s="460"/>
      <c r="E56" s="249" t="s">
        <v>729</v>
      </c>
      <c r="F56" s="222"/>
      <c r="G56" s="249" t="s">
        <v>736</v>
      </c>
      <c r="H56" s="217"/>
      <c r="I56" s="222"/>
      <c r="J56" s="222" t="s">
        <v>737</v>
      </c>
      <c r="K56" s="458"/>
    </row>
    <row r="57" spans="1:11" x14ac:dyDescent="0.2">
      <c r="A57" s="426"/>
      <c r="B57" s="217"/>
      <c r="C57" s="222"/>
      <c r="D57" s="217"/>
      <c r="E57" s="217"/>
      <c r="F57" s="222"/>
      <c r="G57" s="217"/>
      <c r="H57" s="217"/>
      <c r="I57" s="222"/>
      <c r="J57" s="217"/>
      <c r="K57" s="458"/>
    </row>
    <row r="58" spans="1:11" x14ac:dyDescent="0.2">
      <c r="A58" s="426"/>
      <c r="B58" s="222"/>
      <c r="C58" s="222"/>
      <c r="D58" s="217"/>
      <c r="E58" s="217"/>
      <c r="F58" s="217"/>
      <c r="G58" s="217"/>
      <c r="H58" s="217"/>
      <c r="I58" s="222"/>
      <c r="J58" s="217">
        <f>F233</f>
        <v>5.8</v>
      </c>
      <c r="K58" s="427"/>
    </row>
    <row r="59" spans="1:11" x14ac:dyDescent="0.2">
      <c r="A59" s="426"/>
      <c r="B59" s="222"/>
      <c r="C59" s="222"/>
      <c r="D59" s="217"/>
      <c r="E59" s="217"/>
      <c r="F59" s="222"/>
      <c r="G59" s="217"/>
      <c r="H59" s="217"/>
      <c r="I59" s="222"/>
      <c r="J59" s="1406" t="s">
        <v>2548</v>
      </c>
      <c r="K59" s="427"/>
    </row>
    <row r="60" spans="1:11" x14ac:dyDescent="0.2">
      <c r="A60" s="426"/>
      <c r="B60" s="217"/>
      <c r="C60" s="217"/>
      <c r="D60" s="217"/>
      <c r="E60" s="217"/>
      <c r="F60" s="217"/>
      <c r="G60" s="217"/>
      <c r="H60" s="217"/>
      <c r="I60" s="217"/>
      <c r="J60" s="217"/>
      <c r="K60" s="427"/>
    </row>
    <row r="61" spans="1:11" ht="13.5" thickBot="1" x14ac:dyDescent="0.25">
      <c r="A61" s="429"/>
      <c r="B61" s="430"/>
      <c r="C61" s="430"/>
      <c r="D61" s="430"/>
      <c r="E61" s="430"/>
      <c r="F61" s="430"/>
      <c r="G61" s="430"/>
      <c r="H61" s="430"/>
      <c r="I61" s="430"/>
      <c r="J61" s="430"/>
      <c r="K61" s="489" t="s">
        <v>2546</v>
      </c>
    </row>
    <row r="62" spans="1:11" ht="13.5" thickBot="1" x14ac:dyDescent="0.25"/>
    <row r="63" spans="1:11" x14ac:dyDescent="0.2">
      <c r="A63" s="423"/>
      <c r="B63" s="681" t="s">
        <v>738</v>
      </c>
      <c r="C63" s="424"/>
      <c r="D63" s="424"/>
      <c r="E63" s="424"/>
      <c r="F63" s="424"/>
      <c r="G63" s="424"/>
      <c r="H63" s="424"/>
      <c r="I63" s="424"/>
      <c r="J63" s="424"/>
      <c r="K63" s="425"/>
    </row>
    <row r="64" spans="1:11" x14ac:dyDescent="0.2">
      <c r="A64" s="426"/>
      <c r="B64" s="222" t="s">
        <v>739</v>
      </c>
      <c r="C64" s="217"/>
      <c r="D64" s="217"/>
      <c r="E64" s="217"/>
      <c r="F64" s="217"/>
      <c r="G64" s="217"/>
      <c r="H64" s="217"/>
      <c r="I64" s="217"/>
      <c r="J64" s="217"/>
      <c r="K64" s="427"/>
    </row>
    <row r="65" spans="1:11" x14ac:dyDescent="0.2">
      <c r="A65" s="426"/>
      <c r="B65" s="222" t="s">
        <v>740</v>
      </c>
      <c r="C65" s="217"/>
      <c r="D65" s="217"/>
      <c r="E65" s="217"/>
      <c r="F65" s="217"/>
      <c r="G65" s="217"/>
      <c r="H65" s="217"/>
      <c r="I65" s="217"/>
      <c r="J65" s="217"/>
      <c r="K65" s="427"/>
    </row>
    <row r="66" spans="1:11" x14ac:dyDescent="0.2">
      <c r="A66" s="426"/>
      <c r="B66" s="217"/>
      <c r="C66" s="217"/>
      <c r="D66" s="217"/>
      <c r="E66" s="217"/>
      <c r="F66" s="217"/>
      <c r="G66" s="217"/>
      <c r="H66" s="217"/>
      <c r="I66" s="217"/>
      <c r="J66" s="217"/>
      <c r="K66" s="427"/>
    </row>
    <row r="67" spans="1:11" x14ac:dyDescent="0.2">
      <c r="A67" s="426"/>
      <c r="B67" s="222" t="s">
        <v>741</v>
      </c>
      <c r="C67" s="217"/>
      <c r="D67" s="217"/>
      <c r="E67" s="217"/>
      <c r="F67" s="217"/>
      <c r="G67" s="217"/>
      <c r="H67" s="217"/>
      <c r="I67" s="217"/>
      <c r="J67" s="217"/>
      <c r="K67" s="427"/>
    </row>
    <row r="68" spans="1:11" x14ac:dyDescent="0.2">
      <c r="A68" s="426"/>
      <c r="B68" s="222" t="s">
        <v>742</v>
      </c>
      <c r="C68" s="217"/>
      <c r="D68" s="217"/>
      <c r="E68" s="217"/>
      <c r="F68" s="217"/>
      <c r="G68" s="217"/>
      <c r="H68" s="217"/>
      <c r="I68" s="217"/>
      <c r="J68" s="217"/>
      <c r="K68" s="427"/>
    </row>
    <row r="69" spans="1:11" x14ac:dyDescent="0.2">
      <c r="A69" s="426"/>
      <c r="B69" s="222" t="s">
        <v>743</v>
      </c>
      <c r="C69" s="217"/>
      <c r="D69" s="217"/>
      <c r="E69" s="217"/>
      <c r="F69" s="217"/>
      <c r="G69" s="217"/>
      <c r="H69" s="217"/>
      <c r="I69" s="217"/>
      <c r="J69" s="217"/>
      <c r="K69" s="427"/>
    </row>
    <row r="70" spans="1:11" x14ac:dyDescent="0.2">
      <c r="A70" s="426"/>
      <c r="B70" s="222" t="s">
        <v>744</v>
      </c>
      <c r="C70" s="217"/>
      <c r="D70" s="217"/>
      <c r="E70" s="217"/>
      <c r="F70" s="217"/>
      <c r="G70" s="217"/>
      <c r="H70" s="217"/>
      <c r="I70" s="217"/>
      <c r="J70" s="217"/>
      <c r="K70" s="427"/>
    </row>
    <row r="71" spans="1:11" x14ac:dyDescent="0.2">
      <c r="A71" s="426"/>
      <c r="B71" s="222"/>
      <c r="C71" s="217"/>
      <c r="D71" s="217"/>
      <c r="E71" s="217"/>
      <c r="F71" s="217"/>
      <c r="G71" s="217"/>
      <c r="H71" s="217"/>
      <c r="I71" s="217"/>
      <c r="J71" s="217"/>
      <c r="K71" s="427"/>
    </row>
    <row r="72" spans="1:11" x14ac:dyDescent="0.2">
      <c r="A72" s="426"/>
      <c r="B72" s="222" t="s">
        <v>745</v>
      </c>
      <c r="C72" s="399" t="str">
        <f>IF(F8&gt;=F9," U/S Wa"," D/S Wa")</f>
        <v xml:space="preserve"> U/S Wa</v>
      </c>
      <c r="D72" s="222" t="s">
        <v>746</v>
      </c>
      <c r="E72" s="217"/>
      <c r="F72" s="217"/>
      <c r="G72" s="217"/>
      <c r="H72" s="187">
        <f>IF(F8&gt;=F9,F8,F9)-F14</f>
        <v>3.8099999999999996</v>
      </c>
      <c r="I72" s="217" t="s">
        <v>24</v>
      </c>
      <c r="J72" s="217"/>
      <c r="K72" s="427"/>
    </row>
    <row r="73" spans="1:11" x14ac:dyDescent="0.2">
      <c r="A73" s="426"/>
      <c r="B73" s="222" t="s">
        <v>747</v>
      </c>
      <c r="C73" s="399" t="str">
        <f>IF(F8&gt;=F9," D/S Wa"," U/S Wa")</f>
        <v xml:space="preserve"> D/S Wa</v>
      </c>
      <c r="D73" s="222" t="s">
        <v>746</v>
      </c>
      <c r="E73" s="217"/>
      <c r="F73" s="217"/>
      <c r="G73" s="217"/>
      <c r="H73" s="187">
        <f>IF(F8&gt;=F9,F9,F8)-F14</f>
        <v>1.7999999999999998</v>
      </c>
      <c r="I73" s="217" t="s">
        <v>24</v>
      </c>
      <c r="J73" s="217"/>
      <c r="K73" s="427"/>
    </row>
    <row r="74" spans="1:11" x14ac:dyDescent="0.2">
      <c r="A74" s="426"/>
      <c r="B74" s="222"/>
      <c r="C74" s="217"/>
      <c r="D74" s="222"/>
      <c r="E74" s="187"/>
      <c r="F74" s="222"/>
      <c r="G74" s="187"/>
      <c r="H74" s="222"/>
      <c r="I74" s="217"/>
      <c r="J74" s="217"/>
      <c r="K74" s="427"/>
    </row>
    <row r="75" spans="1:11" x14ac:dyDescent="0.2">
      <c r="A75" s="426"/>
      <c r="B75" s="222" t="s">
        <v>748</v>
      </c>
      <c r="C75" s="217"/>
      <c r="D75" s="217"/>
      <c r="E75" s="217"/>
      <c r="F75" s="187">
        <f>F12</f>
        <v>1.8</v>
      </c>
      <c r="G75" s="222" t="s">
        <v>24</v>
      </c>
      <c r="H75" s="217"/>
      <c r="I75" s="217"/>
      <c r="J75" s="217"/>
      <c r="K75" s="427"/>
    </row>
    <row r="76" spans="1:11" x14ac:dyDescent="0.2">
      <c r="A76" s="426"/>
      <c r="B76" s="222" t="s">
        <v>749</v>
      </c>
      <c r="C76" s="187">
        <f>H72/F75</f>
        <v>2.1166666666666663</v>
      </c>
      <c r="D76" s="222" t="s">
        <v>750</v>
      </c>
      <c r="E76" s="187" t="str">
        <f>IF(I78="1"," ( H &gt; Hb   and   Htw &gt; Hb )",IF(I78="3"," ( H &gt; 1.5 Hb   and   Htw &lt; Hb )",IF(I78="4"," ( H &lt; 1.5 Hb   and   Htw &gt; 2/3 H )",IF(I78="5"," ( H &lt; 1.5 Hb   and   Htw &lt; 2/3 H )","Error !!"))))</f>
        <v xml:space="preserve"> ( H &gt; 1.5 Hb   and   Htw &lt; Hb )</v>
      </c>
      <c r="F76" s="217"/>
      <c r="G76" s="217"/>
      <c r="H76" s="217"/>
      <c r="I76" s="217"/>
      <c r="J76" s="217"/>
      <c r="K76" s="427"/>
    </row>
    <row r="77" spans="1:11" x14ac:dyDescent="0.2">
      <c r="A77" s="426"/>
      <c r="B77" s="222" t="s">
        <v>751</v>
      </c>
      <c r="C77" s="187">
        <f>H73/F75</f>
        <v>0.99999999999999989</v>
      </c>
      <c r="D77" s="222" t="s">
        <v>750</v>
      </c>
      <c r="E77" s="217"/>
      <c r="F77" s="217"/>
      <c r="G77" s="217"/>
      <c r="H77" s="217"/>
      <c r="I77" s="217"/>
      <c r="J77" s="217"/>
      <c r="K77" s="427"/>
    </row>
    <row r="78" spans="1:11" x14ac:dyDescent="0.2">
      <c r="A78" s="426"/>
      <c r="B78" s="222" t="s">
        <v>751</v>
      </c>
      <c r="C78" s="187">
        <f>H73/H72</f>
        <v>0.47244094488188976</v>
      </c>
      <c r="D78" s="222" t="s">
        <v>207</v>
      </c>
      <c r="E78" s="217"/>
      <c r="F78" s="217"/>
      <c r="G78" s="217"/>
      <c r="H78" s="399" t="s">
        <v>752</v>
      </c>
      <c r="I78" s="450" t="str">
        <f>IF(AND(C$76&gt;1,C$77&gt;1),"1",IF(AND(C$76&gt;=1.5,C$77&lt;=1),"3",IF(AND(C$76&lt;1.5,C$78&gt;0.667),"4",IF(AND(C$76&lt;1.5,C$78&lt;=0.667),"5","0"))))</f>
        <v>3</v>
      </c>
      <c r="J78" s="222" t="s">
        <v>753</v>
      </c>
      <c r="K78" s="427"/>
    </row>
    <row r="79" spans="1:11" x14ac:dyDescent="0.2">
      <c r="A79" s="426"/>
      <c r="B79" s="187"/>
      <c r="C79" s="217"/>
      <c r="D79" s="217"/>
      <c r="E79" s="217"/>
      <c r="F79" s="217"/>
      <c r="G79" s="217"/>
      <c r="H79" s="217"/>
      <c r="I79" s="217"/>
      <c r="J79" s="217"/>
      <c r="K79" s="427"/>
    </row>
    <row r="80" spans="1:11" ht="13.5" thickBot="1" x14ac:dyDescent="0.25">
      <c r="A80" s="426"/>
      <c r="B80" s="791" t="s">
        <v>754</v>
      </c>
      <c r="C80" s="430"/>
      <c r="D80" s="430"/>
      <c r="E80" s="430"/>
      <c r="F80" s="430"/>
      <c r="G80" s="430"/>
      <c r="H80" s="217"/>
      <c r="I80" s="217"/>
      <c r="J80" s="217"/>
      <c r="K80" s="427"/>
    </row>
    <row r="81" spans="1:14" x14ac:dyDescent="0.2">
      <c r="A81" s="426"/>
      <c r="B81" s="217"/>
      <c r="C81" s="217"/>
      <c r="D81" s="217"/>
      <c r="E81" s="217"/>
      <c r="F81" s="217"/>
      <c r="G81" s="217"/>
      <c r="H81" s="217"/>
      <c r="I81" s="217"/>
      <c r="J81" s="217"/>
      <c r="K81" s="427"/>
    </row>
    <row r="82" spans="1:14" x14ac:dyDescent="0.2">
      <c r="A82" s="426"/>
      <c r="B82" s="222" t="s">
        <v>755</v>
      </c>
      <c r="C82" s="217"/>
      <c r="D82" s="217"/>
      <c r="E82" s="217"/>
      <c r="F82" s="217"/>
      <c r="G82" s="217"/>
      <c r="H82" s="217"/>
      <c r="I82" s="217"/>
      <c r="J82" s="217"/>
      <c r="K82" s="427"/>
    </row>
    <row r="83" spans="1:14" x14ac:dyDescent="0.2">
      <c r="A83" s="426"/>
      <c r="B83" s="222" t="s">
        <v>756</v>
      </c>
      <c r="C83" s="217"/>
      <c r="D83" s="217"/>
      <c r="E83" s="217"/>
      <c r="F83" s="217"/>
      <c r="G83" s="217"/>
      <c r="H83" s="217"/>
      <c r="I83" s="217"/>
      <c r="J83" s="217"/>
      <c r="K83" s="427"/>
    </row>
    <row r="84" spans="1:14" x14ac:dyDescent="0.2">
      <c r="A84" s="488"/>
      <c r="B84" s="395"/>
      <c r="C84" s="395"/>
      <c r="D84" s="395"/>
      <c r="E84" s="395"/>
      <c r="F84" s="395"/>
      <c r="G84" s="395"/>
      <c r="H84" s="395"/>
      <c r="I84" s="395"/>
      <c r="J84" s="395"/>
      <c r="K84" s="484"/>
    </row>
    <row r="85" spans="1:14" ht="13.5" thickBot="1" x14ac:dyDescent="0.25">
      <c r="A85" s="488"/>
      <c r="B85" s="791" t="s">
        <v>757</v>
      </c>
      <c r="C85" s="468"/>
      <c r="D85" s="468"/>
      <c r="E85" s="468"/>
      <c r="F85" s="468"/>
      <c r="G85" s="468"/>
      <c r="H85" s="395"/>
      <c r="I85" s="395"/>
      <c r="J85" s="395"/>
      <c r="K85" s="484"/>
    </row>
    <row r="86" spans="1:14" x14ac:dyDescent="0.2">
      <c r="A86" s="488"/>
      <c r="B86" s="395"/>
      <c r="C86" s="395"/>
      <c r="D86" s="395"/>
      <c r="E86" s="395"/>
      <c r="F86" s="395"/>
      <c r="G86" s="395"/>
      <c r="H86" s="395"/>
      <c r="I86" s="395"/>
      <c r="J86" s="395"/>
      <c r="K86" s="484"/>
    </row>
    <row r="87" spans="1:14" x14ac:dyDescent="0.2">
      <c r="A87" s="488"/>
      <c r="B87" s="406" t="s">
        <v>758</v>
      </c>
      <c r="C87" s="395"/>
      <c r="D87" s="395"/>
      <c r="E87" s="395"/>
      <c r="F87" s="395"/>
      <c r="G87" s="395"/>
      <c r="H87" s="395"/>
      <c r="I87" s="395"/>
      <c r="J87" s="395"/>
      <c r="K87" s="484"/>
      <c r="M87" s="171" t="s">
        <v>759</v>
      </c>
      <c r="N87" s="1156" t="s">
        <v>760</v>
      </c>
    </row>
    <row r="88" spans="1:14" x14ac:dyDescent="0.2">
      <c r="A88" s="488"/>
      <c r="B88" s="406" t="s">
        <v>761</v>
      </c>
      <c r="C88" s="395"/>
      <c r="D88" s="395"/>
      <c r="E88" s="395"/>
      <c r="F88" s="395"/>
      <c r="G88" s="395"/>
      <c r="H88" s="395"/>
      <c r="I88" s="395"/>
      <c r="J88" s="395"/>
      <c r="K88" s="484"/>
    </row>
    <row r="89" spans="1:14" x14ac:dyDescent="0.2">
      <c r="A89" s="488"/>
      <c r="B89" s="395"/>
      <c r="C89" s="395"/>
      <c r="D89" s="395"/>
      <c r="E89" s="395"/>
      <c r="F89" s="395"/>
      <c r="G89" s="395"/>
      <c r="H89" s="395"/>
      <c r="I89" s="395"/>
      <c r="J89" s="395"/>
      <c r="K89" s="484"/>
      <c r="M89" s="168">
        <v>0</v>
      </c>
      <c r="N89" s="25">
        <v>0.61</v>
      </c>
    </row>
    <row r="90" spans="1:14" x14ac:dyDescent="0.2">
      <c r="A90" s="488"/>
      <c r="B90" s="406" t="s">
        <v>762</v>
      </c>
      <c r="C90" s="395"/>
      <c r="D90" s="395"/>
      <c r="E90" s="395"/>
      <c r="F90" s="395"/>
      <c r="G90" s="396">
        <f>F75/H72</f>
        <v>0.47244094488188981</v>
      </c>
      <c r="H90" s="395"/>
      <c r="I90" s="395"/>
      <c r="J90" s="395"/>
      <c r="K90" s="484"/>
      <c r="M90" s="168">
        <v>0.05</v>
      </c>
      <c r="N90" s="25">
        <v>0.58799999999999997</v>
      </c>
    </row>
    <row r="91" spans="1:14" x14ac:dyDescent="0.2">
      <c r="A91" s="488"/>
      <c r="B91" s="406" t="s">
        <v>763</v>
      </c>
      <c r="C91" s="395"/>
      <c r="D91" s="395"/>
      <c r="E91" s="395"/>
      <c r="F91" s="395"/>
      <c r="G91" s="396">
        <f>N108</f>
        <v>0.50520472440944886</v>
      </c>
      <c r="H91" s="395"/>
      <c r="I91" s="395"/>
      <c r="J91" s="395"/>
      <c r="K91" s="484"/>
      <c r="M91" s="168">
        <v>0.1</v>
      </c>
      <c r="N91" s="25">
        <v>0.56899999999999995</v>
      </c>
    </row>
    <row r="92" spans="1:14" x14ac:dyDescent="0.2">
      <c r="A92" s="488"/>
      <c r="B92" s="395"/>
      <c r="C92" s="395"/>
      <c r="D92" s="395"/>
      <c r="E92" s="396" t="str">
        <f>IF(G90&gt;0.66,"WARNING: Co values are unreliable for Hb/H &gt; 0.66","")</f>
        <v/>
      </c>
      <c r="F92" s="395"/>
      <c r="G92" s="395"/>
      <c r="H92" s="395"/>
      <c r="I92" s="395"/>
      <c r="J92" s="395"/>
      <c r="K92" s="484"/>
      <c r="M92" s="168">
        <v>0.15</v>
      </c>
      <c r="N92" s="25">
        <v>0.55400000000000005</v>
      </c>
    </row>
    <row r="93" spans="1:14" x14ac:dyDescent="0.2">
      <c r="A93" s="488"/>
      <c r="B93" s="406" t="s">
        <v>764</v>
      </c>
      <c r="C93" s="395"/>
      <c r="D93" s="395"/>
      <c r="E93" s="395"/>
      <c r="F93" s="395"/>
      <c r="G93" s="395">
        <f>F13*F12</f>
        <v>2.7</v>
      </c>
      <c r="H93" s="406" t="s">
        <v>765</v>
      </c>
      <c r="I93" s="395"/>
      <c r="J93" s="395"/>
      <c r="K93" s="484"/>
      <c r="M93" s="168">
        <v>0.2</v>
      </c>
      <c r="N93" s="25">
        <v>0.54300000000000004</v>
      </c>
    </row>
    <row r="94" spans="1:14" x14ac:dyDescent="0.2">
      <c r="A94" s="488"/>
      <c r="B94" s="406" t="s">
        <v>766</v>
      </c>
      <c r="C94" s="395"/>
      <c r="D94" s="395"/>
      <c r="E94" s="395"/>
      <c r="F94" s="395"/>
      <c r="G94" s="395">
        <v>9.81</v>
      </c>
      <c r="H94" s="396" t="s">
        <v>767</v>
      </c>
      <c r="I94" s="395"/>
      <c r="J94" s="395"/>
      <c r="K94" s="484"/>
      <c r="M94" s="168">
        <v>0.25</v>
      </c>
      <c r="N94" s="25">
        <v>0.53300000000000003</v>
      </c>
    </row>
    <row r="95" spans="1:14" x14ac:dyDescent="0.2">
      <c r="A95" s="488"/>
      <c r="B95" s="395"/>
      <c r="C95" s="395"/>
      <c r="D95" s="395"/>
      <c r="E95" s="395"/>
      <c r="F95" s="395"/>
      <c r="G95" s="395"/>
      <c r="H95" s="395"/>
      <c r="I95" s="395"/>
      <c r="J95" s="395"/>
      <c r="K95" s="484"/>
      <c r="M95" s="168">
        <v>0.3</v>
      </c>
      <c r="N95" s="25">
        <v>0.52600000000000002</v>
      </c>
    </row>
    <row r="96" spans="1:14" x14ac:dyDescent="0.2">
      <c r="A96" s="488"/>
      <c r="B96" s="406" t="s">
        <v>768</v>
      </c>
      <c r="C96" s="395"/>
      <c r="D96" s="395"/>
      <c r="E96" s="395"/>
      <c r="F96" s="395"/>
      <c r="G96" s="395">
        <f>F11*G91*G93*(2*G94*H72)^0.5</f>
        <v>11.79351209329135</v>
      </c>
      <c r="H96" s="406" t="s">
        <v>769</v>
      </c>
      <c r="I96" s="395"/>
      <c r="J96" s="395"/>
      <c r="K96" s="484"/>
      <c r="M96" s="168">
        <v>0.35</v>
      </c>
      <c r="N96" s="25">
        <v>0.51800000000000002</v>
      </c>
    </row>
    <row r="97" spans="1:17" x14ac:dyDescent="0.2">
      <c r="A97" s="684"/>
      <c r="B97" s="1157"/>
      <c r="C97" s="1112"/>
      <c r="D97" s="1157"/>
      <c r="E97" s="1158"/>
      <c r="F97" s="1157"/>
      <c r="G97" s="1158"/>
      <c r="H97" s="1157"/>
      <c r="I97" s="1158"/>
      <c r="J97" s="1157"/>
      <c r="K97" s="686"/>
      <c r="M97" s="168">
        <v>0.4</v>
      </c>
      <c r="N97" s="25">
        <v>0.51200000000000001</v>
      </c>
    </row>
    <row r="98" spans="1:17" ht="13.5" thickBot="1" x14ac:dyDescent="0.25">
      <c r="A98" s="684"/>
      <c r="B98" s="1162" t="s">
        <v>770</v>
      </c>
      <c r="C98" s="1163"/>
      <c r="D98" s="1163"/>
      <c r="E98" s="1163"/>
      <c r="F98" s="1163"/>
      <c r="G98" s="1163"/>
      <c r="H98" s="685"/>
      <c r="I98" s="685"/>
      <c r="J98" s="685"/>
      <c r="K98" s="686"/>
      <c r="M98" s="168">
        <v>0.45</v>
      </c>
      <c r="N98" s="25">
        <v>0.50700000000000001</v>
      </c>
    </row>
    <row r="99" spans="1:17" x14ac:dyDescent="0.2">
      <c r="A99" s="684"/>
      <c r="B99" s="1157" t="s">
        <v>771</v>
      </c>
      <c r="C99" s="685"/>
      <c r="D99" s="685"/>
      <c r="E99" s="685"/>
      <c r="F99" s="685"/>
      <c r="G99" s="685"/>
      <c r="H99" s="685"/>
      <c r="I99" s="685"/>
      <c r="J99" s="685"/>
      <c r="K99" s="686"/>
      <c r="M99" s="168">
        <v>0.5</v>
      </c>
      <c r="N99" s="25">
        <v>0.503</v>
      </c>
    </row>
    <row r="100" spans="1:17" x14ac:dyDescent="0.2">
      <c r="A100" s="684"/>
      <c r="B100" s="1157" t="s">
        <v>772</v>
      </c>
      <c r="C100" s="685"/>
      <c r="D100" s="685"/>
      <c r="E100" s="685"/>
      <c r="F100" s="685"/>
      <c r="G100" s="685"/>
      <c r="H100" s="685"/>
      <c r="I100" s="685"/>
      <c r="J100" s="685"/>
      <c r="K100" s="686"/>
      <c r="M100" s="168">
        <v>0.55000000000000004</v>
      </c>
      <c r="N100" s="25">
        <v>0.497</v>
      </c>
    </row>
    <row r="101" spans="1:17" x14ac:dyDescent="0.2">
      <c r="A101" s="684"/>
      <c r="B101" s="685"/>
      <c r="C101" s="685"/>
      <c r="D101" s="685"/>
      <c r="E101" s="685"/>
      <c r="F101" s="685"/>
      <c r="G101" s="685"/>
      <c r="H101" s="685"/>
      <c r="I101" s="685"/>
      <c r="J101" s="685"/>
      <c r="K101" s="686"/>
      <c r="M101" s="168">
        <v>0.6</v>
      </c>
      <c r="N101" s="25">
        <v>0.49399999999999999</v>
      </c>
    </row>
    <row r="102" spans="1:17" ht="13.5" thickBot="1" x14ac:dyDescent="0.25">
      <c r="A102" s="684"/>
      <c r="B102" s="1164" t="s">
        <v>773</v>
      </c>
      <c r="C102" s="1163"/>
      <c r="D102" s="1163"/>
      <c r="E102" s="1163"/>
      <c r="F102" s="1163"/>
      <c r="G102" s="1163"/>
      <c r="H102" s="685"/>
      <c r="I102" s="685"/>
      <c r="J102" s="685"/>
      <c r="K102" s="686"/>
      <c r="M102" s="168">
        <v>0.65</v>
      </c>
      <c r="N102" s="25">
        <v>0.49</v>
      </c>
    </row>
    <row r="103" spans="1:17" x14ac:dyDescent="0.2">
      <c r="A103" s="684"/>
      <c r="B103" s="685"/>
      <c r="C103" s="685"/>
      <c r="D103" s="685"/>
      <c r="E103" s="685"/>
      <c r="F103" s="685"/>
      <c r="G103" s="685"/>
      <c r="H103" s="685"/>
      <c r="I103" s="685"/>
      <c r="J103" s="685"/>
      <c r="K103" s="686"/>
      <c r="M103" s="168">
        <v>0.7</v>
      </c>
      <c r="N103" s="25">
        <v>0.49</v>
      </c>
    </row>
    <row r="104" spans="1:17" x14ac:dyDescent="0.2">
      <c r="A104" s="684"/>
      <c r="B104" s="1157" t="s">
        <v>774</v>
      </c>
      <c r="C104" s="685"/>
      <c r="D104" s="685"/>
      <c r="E104" s="685"/>
      <c r="F104" s="685"/>
      <c r="G104" s="685"/>
      <c r="H104" s="685"/>
      <c r="I104" s="685"/>
      <c r="J104" s="685"/>
      <c r="K104" s="686"/>
      <c r="M104" s="168">
        <v>0.75</v>
      </c>
      <c r="N104" s="25">
        <v>0.49099999999999999</v>
      </c>
    </row>
    <row r="105" spans="1:17" x14ac:dyDescent="0.2">
      <c r="A105" s="684"/>
      <c r="B105" s="1157"/>
      <c r="C105" s="685"/>
      <c r="D105" s="685"/>
      <c r="E105" s="685"/>
      <c r="F105" s="685"/>
      <c r="G105" s="685"/>
      <c r="H105" s="685"/>
      <c r="I105" s="685"/>
      <c r="J105" s="685"/>
      <c r="K105" s="686"/>
      <c r="M105" s="168">
        <v>0.8</v>
      </c>
      <c r="N105" s="25">
        <v>0.49299999999999999</v>
      </c>
    </row>
    <row r="106" spans="1:17" x14ac:dyDescent="0.2">
      <c r="A106" s="684"/>
      <c r="B106" s="1157" t="s">
        <v>775</v>
      </c>
      <c r="C106" s="685"/>
      <c r="D106" s="685"/>
      <c r="E106" s="685"/>
      <c r="F106" s="685"/>
      <c r="G106" s="685"/>
      <c r="H106" s="685"/>
      <c r="I106" s="685"/>
      <c r="J106" s="685"/>
      <c r="K106" s="686"/>
      <c r="M106" s="168">
        <f>TRUNC(20*G90)/20</f>
        <v>0.45</v>
      </c>
      <c r="N106" s="25">
        <f>VLOOKUP(G90,M89:N105,2)</f>
        <v>0.50700000000000001</v>
      </c>
    </row>
    <row r="107" spans="1:17" x14ac:dyDescent="0.2">
      <c r="A107" s="684"/>
      <c r="B107" s="1157" t="s">
        <v>776</v>
      </c>
      <c r="C107" s="685"/>
      <c r="D107" s="685"/>
      <c r="E107" s="685"/>
      <c r="F107" s="685"/>
      <c r="G107" s="685"/>
      <c r="H107" s="685"/>
      <c r="I107" s="685"/>
      <c r="J107" s="685"/>
      <c r="K107" s="686"/>
      <c r="M107" s="168">
        <f>M106+0.05</f>
        <v>0.5</v>
      </c>
      <c r="N107" s="25">
        <f>VLOOKUP(M107,M89:N105,2)</f>
        <v>0.503</v>
      </c>
    </row>
    <row r="108" spans="1:17" x14ac:dyDescent="0.2">
      <c r="A108" s="684"/>
      <c r="B108" s="685"/>
      <c r="C108" s="685"/>
      <c r="D108" s="685"/>
      <c r="E108" s="685"/>
      <c r="F108" s="685"/>
      <c r="G108" s="685"/>
      <c r="H108" s="685"/>
      <c r="I108" s="685"/>
      <c r="J108" s="685"/>
      <c r="K108" s="686"/>
      <c r="M108" s="168">
        <f>G90</f>
        <v>0.47244094488188981</v>
      </c>
      <c r="N108" s="25">
        <f>N106+(N107-N106)*(G90-M106)/0.05</f>
        <v>0.50520472440944886</v>
      </c>
    </row>
    <row r="109" spans="1:17" x14ac:dyDescent="0.2">
      <c r="A109" s="684"/>
      <c r="B109" s="1159" t="s">
        <v>777</v>
      </c>
      <c r="C109" s="1160"/>
      <c r="D109" s="1160"/>
      <c r="E109" s="1160"/>
      <c r="F109" s="1159" t="s">
        <v>778</v>
      </c>
      <c r="G109" s="685"/>
      <c r="H109" s="685"/>
      <c r="I109" s="685"/>
      <c r="J109" s="685"/>
      <c r="K109" s="686"/>
    </row>
    <row r="110" spans="1:17" x14ac:dyDescent="0.2">
      <c r="A110" s="684"/>
      <c r="B110" s="1157" t="s">
        <v>779</v>
      </c>
      <c r="C110" s="685"/>
      <c r="D110" s="685"/>
      <c r="E110" s="685"/>
      <c r="F110" s="1158">
        <v>1.62</v>
      </c>
      <c r="G110" s="1157" t="s">
        <v>780</v>
      </c>
      <c r="H110" s="685"/>
      <c r="I110" s="1158">
        <f>IF(Q112=0,1.48,Q112)</f>
        <v>1.56</v>
      </c>
      <c r="J110" s="1157" t="s">
        <v>781</v>
      </c>
      <c r="K110" s="686"/>
    </row>
    <row r="111" spans="1:17" x14ac:dyDescent="0.2">
      <c r="A111" s="684"/>
      <c r="B111" s="1157" t="s">
        <v>782</v>
      </c>
      <c r="C111" s="685"/>
      <c r="D111" s="685"/>
      <c r="E111" s="685"/>
      <c r="F111" s="1158">
        <v>1.58</v>
      </c>
      <c r="G111" s="685"/>
      <c r="H111" s="685"/>
      <c r="I111" s="685"/>
      <c r="J111" s="685"/>
      <c r="K111" s="686"/>
    </row>
    <row r="112" spans="1:17" x14ac:dyDescent="0.2">
      <c r="A112" s="684"/>
      <c r="B112" s="1157" t="s">
        <v>783</v>
      </c>
      <c r="C112" s="685"/>
      <c r="D112" s="685"/>
      <c r="E112" s="685"/>
      <c r="F112" s="1158">
        <v>1.56</v>
      </c>
      <c r="G112" s="685"/>
      <c r="H112" s="685"/>
      <c r="I112" s="685"/>
      <c r="J112" s="685"/>
      <c r="K112" s="686"/>
      <c r="M112" s="171" t="s">
        <v>784</v>
      </c>
      <c r="Q112" s="170">
        <v>1.56</v>
      </c>
    </row>
    <row r="113" spans="1:17" x14ac:dyDescent="0.2">
      <c r="A113" s="684"/>
      <c r="B113" s="1157" t="s">
        <v>785</v>
      </c>
      <c r="C113" s="685"/>
      <c r="D113" s="685"/>
      <c r="E113" s="685"/>
      <c r="F113" s="1158">
        <v>1.48</v>
      </c>
      <c r="G113" s="685"/>
      <c r="H113" s="685"/>
      <c r="I113" s="685"/>
      <c r="J113" s="685"/>
      <c r="K113" s="686"/>
      <c r="M113" s="171" t="s">
        <v>786</v>
      </c>
    </row>
    <row r="114" spans="1:17" x14ac:dyDescent="0.2">
      <c r="A114" s="684"/>
      <c r="B114" s="1157" t="s">
        <v>787</v>
      </c>
      <c r="C114" s="685"/>
      <c r="D114" s="685"/>
      <c r="E114" s="685"/>
      <c r="F114" s="1158">
        <v>1.35</v>
      </c>
      <c r="G114" s="685"/>
      <c r="H114" s="685"/>
      <c r="I114" s="685"/>
      <c r="J114" s="685"/>
      <c r="K114" s="686"/>
      <c r="M114" s="171" t="s">
        <v>788</v>
      </c>
    </row>
    <row r="115" spans="1:17" x14ac:dyDescent="0.2">
      <c r="A115" s="684"/>
      <c r="B115" s="685"/>
      <c r="C115" s="685"/>
      <c r="D115" s="685"/>
      <c r="E115" s="685"/>
      <c r="F115" s="685"/>
      <c r="G115" s="685"/>
      <c r="H115" s="685"/>
      <c r="I115" s="685"/>
      <c r="J115" s="685"/>
      <c r="K115" s="686"/>
    </row>
    <row r="116" spans="1:17" ht="13.5" thickBot="1" x14ac:dyDescent="0.25">
      <c r="A116" s="805"/>
      <c r="B116" s="806" t="s">
        <v>789</v>
      </c>
      <c r="C116" s="778"/>
      <c r="D116" s="778"/>
      <c r="E116" s="778"/>
      <c r="F116" s="778">
        <f>F11*I110*F13*H72^1.5</f>
        <v>17.402166554185136</v>
      </c>
      <c r="G116" s="806" t="s">
        <v>769</v>
      </c>
      <c r="H116" s="778"/>
      <c r="I116" s="468"/>
      <c r="J116" s="468"/>
      <c r="K116" s="677" t="s">
        <v>2547</v>
      </c>
    </row>
    <row r="117" spans="1:17" x14ac:dyDescent="0.2">
      <c r="A117" s="217"/>
      <c r="B117" s="222"/>
      <c r="C117" s="86"/>
      <c r="D117" s="222"/>
      <c r="E117" s="187"/>
      <c r="F117" s="222"/>
      <c r="G117" s="187"/>
      <c r="H117" s="222"/>
      <c r="I117" s="187"/>
      <c r="J117" s="222"/>
      <c r="K117" s="217"/>
    </row>
    <row r="118" spans="1:17" x14ac:dyDescent="0.2">
      <c r="A118" s="217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</row>
    <row r="119" spans="1:17" x14ac:dyDescent="0.2">
      <c r="A119" s="217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</row>
    <row r="120" spans="1:17" ht="13.5" thickBot="1" x14ac:dyDescent="0.25">
      <c r="A120" s="426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</row>
    <row r="121" spans="1:17" x14ac:dyDescent="0.2">
      <c r="A121" s="423"/>
      <c r="B121" s="681" t="s">
        <v>790</v>
      </c>
      <c r="C121" s="424"/>
      <c r="D121" s="424"/>
      <c r="E121" s="424"/>
      <c r="F121" s="424"/>
      <c r="G121" s="424"/>
      <c r="H121" s="424"/>
      <c r="I121" s="424"/>
      <c r="J121" s="424"/>
      <c r="K121" s="425"/>
      <c r="M121" s="272" t="s">
        <v>791</v>
      </c>
      <c r="P121" s="273">
        <f>IF(C76&gt;=1.5,G96,F116)</f>
        <v>11.79351209329135</v>
      </c>
      <c r="Q121" s="272" t="s">
        <v>769</v>
      </c>
    </row>
    <row r="122" spans="1:17" x14ac:dyDescent="0.2">
      <c r="A122" s="426"/>
      <c r="B122" s="222" t="s">
        <v>792</v>
      </c>
      <c r="C122" s="217"/>
      <c r="D122" s="217"/>
      <c r="E122" s="217"/>
      <c r="F122" s="217"/>
      <c r="G122" s="217"/>
      <c r="H122" s="217"/>
      <c r="I122" s="217"/>
      <c r="J122" s="217"/>
      <c r="K122" s="427"/>
    </row>
    <row r="123" spans="1:17" x14ac:dyDescent="0.2">
      <c r="A123" s="426"/>
      <c r="B123" s="222" t="s">
        <v>793</v>
      </c>
      <c r="C123" s="217"/>
      <c r="D123" s="217"/>
      <c r="E123" s="217"/>
      <c r="F123" s="217"/>
      <c r="G123" s="217"/>
      <c r="H123" s="217"/>
      <c r="I123" s="217"/>
      <c r="J123" s="217"/>
      <c r="K123" s="427"/>
    </row>
    <row r="124" spans="1:17" ht="14.25" x14ac:dyDescent="0.2">
      <c r="A124" s="426"/>
      <c r="B124" s="222" t="s">
        <v>1842</v>
      </c>
      <c r="C124" s="217"/>
      <c r="D124" s="217"/>
      <c r="E124" s="217"/>
      <c r="F124" s="217"/>
      <c r="G124" s="217"/>
      <c r="H124" s="217"/>
      <c r="I124" s="217"/>
      <c r="J124" s="217"/>
      <c r="K124" s="427"/>
    </row>
    <row r="125" spans="1:17" x14ac:dyDescent="0.2">
      <c r="A125" s="426"/>
      <c r="B125" s="222" t="s">
        <v>794</v>
      </c>
      <c r="C125" s="222"/>
      <c r="D125" s="217"/>
      <c r="E125" s="217"/>
      <c r="F125" s="217"/>
      <c r="G125" s="217"/>
      <c r="H125" s="217"/>
      <c r="I125" s="217"/>
      <c r="J125" s="217"/>
      <c r="K125" s="427"/>
    </row>
    <row r="126" spans="1:17" x14ac:dyDescent="0.2">
      <c r="A126" s="426"/>
      <c r="B126" s="222" t="s">
        <v>795</v>
      </c>
      <c r="C126" s="222"/>
      <c r="D126" s="217"/>
      <c r="E126" s="217"/>
      <c r="F126" s="217"/>
      <c r="G126" s="217"/>
      <c r="H126" s="217"/>
      <c r="I126" s="217"/>
      <c r="J126" s="217"/>
      <c r="K126" s="427"/>
    </row>
    <row r="127" spans="1:17" x14ac:dyDescent="0.2">
      <c r="A127" s="426"/>
      <c r="B127" s="222" t="s">
        <v>796</v>
      </c>
      <c r="C127" s="217"/>
      <c r="D127" s="217"/>
      <c r="E127" s="217"/>
      <c r="F127" s="217"/>
      <c r="G127" s="455">
        <f>F15+2*F19+2*F21*TAN(F22*PI()/180)</f>
        <v>2.9994613420953051</v>
      </c>
      <c r="H127" s="455" t="s">
        <v>24</v>
      </c>
      <c r="I127" s="217"/>
      <c r="J127" s="678"/>
      <c r="K127" s="679"/>
      <c r="L127" s="217"/>
    </row>
    <row r="128" spans="1:17" x14ac:dyDescent="0.2">
      <c r="A128" s="426"/>
      <c r="B128" s="222" t="s">
        <v>797</v>
      </c>
      <c r="C128" s="187"/>
      <c r="D128" s="222"/>
      <c r="E128" s="217">
        <f>P121/G127</f>
        <v>3.9318766765811586</v>
      </c>
      <c r="F128" s="217" t="s">
        <v>798</v>
      </c>
      <c r="G128" s="217"/>
      <c r="H128" s="217"/>
      <c r="I128" s="469"/>
      <c r="J128" s="217"/>
      <c r="K128" s="427"/>
    </row>
    <row r="129" spans="1:16" x14ac:dyDescent="0.2">
      <c r="A129" s="426"/>
      <c r="B129" s="222" t="s">
        <v>799</v>
      </c>
      <c r="C129" s="217"/>
      <c r="D129" s="217"/>
      <c r="E129" s="217"/>
      <c r="F129" s="217"/>
      <c r="G129" s="217"/>
      <c r="H129" s="217"/>
      <c r="I129" s="217"/>
      <c r="J129" s="217"/>
      <c r="K129" s="427"/>
    </row>
    <row r="130" spans="1:16" ht="14.25" x14ac:dyDescent="0.2">
      <c r="A130" s="426"/>
      <c r="B130" s="217" t="s">
        <v>1843</v>
      </c>
      <c r="C130" s="217"/>
      <c r="D130" s="217"/>
      <c r="E130" s="217" t="s">
        <v>800</v>
      </c>
      <c r="F130" s="217" t="s">
        <v>1844</v>
      </c>
      <c r="G130" s="217"/>
      <c r="H130" s="222" t="s">
        <v>801</v>
      </c>
      <c r="I130" s="217"/>
      <c r="J130" s="217"/>
      <c r="K130" s="427"/>
    </row>
    <row r="131" spans="1:16" x14ac:dyDescent="0.2">
      <c r="A131" s="426"/>
      <c r="B131" s="222" t="s">
        <v>802</v>
      </c>
      <c r="C131" s="217"/>
      <c r="D131" s="217"/>
      <c r="E131" s="217"/>
      <c r="F131" s="217"/>
      <c r="G131" s="217"/>
      <c r="H131" s="217"/>
      <c r="I131" s="217"/>
      <c r="J131" s="217"/>
      <c r="K131" s="427"/>
    </row>
    <row r="132" spans="1:16" x14ac:dyDescent="0.2">
      <c r="A132" s="426"/>
      <c r="B132" s="217"/>
      <c r="C132" s="217"/>
      <c r="D132" s="217"/>
      <c r="E132" s="217"/>
      <c r="F132" s="217"/>
      <c r="G132" s="217"/>
      <c r="H132" s="217"/>
      <c r="I132" s="217"/>
      <c r="J132" s="217"/>
      <c r="K132" s="427"/>
      <c r="M132" s="171" t="s">
        <v>95</v>
      </c>
      <c r="O132" s="171" t="s">
        <v>96</v>
      </c>
    </row>
    <row r="133" spans="1:16" x14ac:dyDescent="0.2">
      <c r="A133" s="426"/>
      <c r="B133" s="406" t="s">
        <v>1877</v>
      </c>
      <c r="C133" s="217"/>
      <c r="D133" s="217"/>
      <c r="E133" s="217"/>
      <c r="F133" s="187"/>
      <c r="G133" s="217"/>
      <c r="H133" s="470">
        <f>P121/(F11*F13+2*F19)</f>
        <v>6.5519511629396385</v>
      </c>
      <c r="I133" s="456" t="s">
        <v>803</v>
      </c>
      <c r="J133" s="217"/>
      <c r="K133" s="427"/>
      <c r="M133" s="179" t="s">
        <v>97</v>
      </c>
      <c r="N133" s="179" t="s">
        <v>701</v>
      </c>
      <c r="O133" s="179" t="s">
        <v>97</v>
      </c>
      <c r="P133" s="179" t="s">
        <v>701</v>
      </c>
    </row>
    <row r="134" spans="1:16" x14ac:dyDescent="0.2">
      <c r="A134" s="426"/>
      <c r="B134" s="222"/>
      <c r="C134" s="217"/>
      <c r="D134" s="217"/>
      <c r="E134" s="217"/>
      <c r="F134" s="187"/>
      <c r="G134" s="217"/>
      <c r="H134" s="187"/>
      <c r="I134" s="470"/>
      <c r="J134" s="456"/>
      <c r="K134" s="427"/>
      <c r="M134" s="168">
        <f t="shared" ref="M134:M139" si="0">N134+$H$143/N134^2</f>
        <v>1.7471901616775292</v>
      </c>
      <c r="N134" s="25">
        <v>1.2</v>
      </c>
      <c r="O134" s="168">
        <f>P134+$H$143/P134^2</f>
        <v>2.7887606467101169</v>
      </c>
      <c r="P134" s="25">
        <f>$N$140</f>
        <v>0.6</v>
      </c>
    </row>
    <row r="135" spans="1:16" x14ac:dyDescent="0.2">
      <c r="A135" s="426"/>
      <c r="B135" s="222" t="s">
        <v>804</v>
      </c>
      <c r="C135" s="217"/>
      <c r="D135" s="471">
        <f>(H133^2/G94)^0.33</f>
        <v>1.6276231475584226</v>
      </c>
      <c r="E135" s="471" t="s">
        <v>24</v>
      </c>
      <c r="F135" s="222" t="s">
        <v>801</v>
      </c>
      <c r="G135" s="217"/>
      <c r="H135" s="187"/>
      <c r="I135" s="217"/>
      <c r="J135" s="456"/>
      <c r="K135" s="427"/>
      <c r="M135" s="168">
        <f t="shared" si="0"/>
        <v>1.7879538328156421</v>
      </c>
      <c r="N135" s="25">
        <v>1</v>
      </c>
      <c r="O135" s="168">
        <f>P135+$H$143/P135^2</f>
        <v>3.0726078852539609</v>
      </c>
      <c r="P135" s="25">
        <f>$N$140-0.04</f>
        <v>0.55999999999999994</v>
      </c>
    </row>
    <row r="136" spans="1:16" x14ac:dyDescent="0.2">
      <c r="A136" s="426"/>
      <c r="B136" s="222" t="s">
        <v>805</v>
      </c>
      <c r="C136" s="217"/>
      <c r="D136" s="217"/>
      <c r="E136" s="217"/>
      <c r="F136" s="217"/>
      <c r="G136" s="217"/>
      <c r="H136" s="187">
        <f>F14-F20-IF(F8&gt;F9,F17,F18)</f>
        <v>0.90000000000000013</v>
      </c>
      <c r="I136" s="222" t="s">
        <v>806</v>
      </c>
      <c r="J136" s="217"/>
      <c r="K136" s="427"/>
      <c r="M136" s="168">
        <f t="shared" si="0"/>
        <v>2.0311778637744404</v>
      </c>
      <c r="N136" s="25">
        <v>0.8</v>
      </c>
      <c r="O136" s="168">
        <f>P136+$H$143/P136^2</f>
        <v>3.4340304468034097</v>
      </c>
      <c r="P136" s="25">
        <f>$N$140-0.08</f>
        <v>0.52</v>
      </c>
    </row>
    <row r="137" spans="1:16" x14ac:dyDescent="0.2">
      <c r="A137" s="426"/>
      <c r="B137" s="217"/>
      <c r="C137" s="187"/>
      <c r="D137" s="222"/>
      <c r="E137" s="217"/>
      <c r="F137" s="217"/>
      <c r="G137" s="217"/>
      <c r="H137" s="217"/>
      <c r="I137" s="217"/>
      <c r="J137" s="217"/>
      <c r="K137" s="427"/>
      <c r="M137" s="168">
        <f t="shared" si="0"/>
        <v>2.7887606467101169</v>
      </c>
      <c r="N137" s="25">
        <v>0.6</v>
      </c>
      <c r="O137" s="168">
        <f>P137+$H$143/P137^2</f>
        <v>3.8999385104845574</v>
      </c>
      <c r="P137" s="25">
        <f>$N$140-0.12</f>
        <v>0.48</v>
      </c>
    </row>
    <row r="138" spans="1:16" x14ac:dyDescent="0.2">
      <c r="A138" s="426"/>
      <c r="B138" s="222" t="s">
        <v>807</v>
      </c>
      <c r="C138" s="217"/>
      <c r="D138" s="217"/>
      <c r="E138" s="217"/>
      <c r="F138" s="187"/>
      <c r="G138" s="222"/>
      <c r="H138" s="217"/>
      <c r="I138" s="217"/>
      <c r="J138" s="217"/>
      <c r="K138" s="427"/>
      <c r="M138" s="168">
        <f t="shared" si="0"/>
        <v>5.3247114550977619</v>
      </c>
      <c r="N138" s="25">
        <v>0.4</v>
      </c>
      <c r="O138" s="168">
        <f>P138+$H$143/P138^2</f>
        <v>4.5100094670229449</v>
      </c>
      <c r="P138" s="25">
        <f>$N$140-0.16</f>
        <v>0.43999999999999995</v>
      </c>
    </row>
    <row r="139" spans="1:16" x14ac:dyDescent="0.2">
      <c r="A139" s="426"/>
      <c r="B139" s="222"/>
      <c r="C139" s="222"/>
      <c r="D139" s="217"/>
      <c r="E139" s="217"/>
      <c r="F139" s="217"/>
      <c r="G139" s="217"/>
      <c r="H139" s="217"/>
      <c r="I139" s="217"/>
      <c r="J139" s="217"/>
      <c r="K139" s="427"/>
      <c r="M139" s="168">
        <f t="shared" si="0"/>
        <v>19.898845820391045</v>
      </c>
      <c r="N139" s="25">
        <v>0.2</v>
      </c>
      <c r="P139" s="25">
        <f>IF(O135&gt;O134,VLOOKUP($E$143,O134:P138,2),IF(O136&gt;O135,VLOOKUP($E$143,O135:P138,2),IF(O137&gt;O136,VLOOKUP($E$143,O136:P138,2),IF(O138&gt;O137,VLOOKUP($E$143,O137:P138,2),P138))))</f>
        <v>0.55999999999999994</v>
      </c>
    </row>
    <row r="140" spans="1:16" ht="15.75" x14ac:dyDescent="0.3">
      <c r="A140" s="426"/>
      <c r="B140" s="217"/>
      <c r="C140" s="217" t="s">
        <v>808</v>
      </c>
      <c r="D140" s="217">
        <f>H136</f>
        <v>0.90000000000000013</v>
      </c>
      <c r="E140" s="395" t="s">
        <v>1954</v>
      </c>
      <c r="F140" s="217">
        <f>E128^2</f>
        <v>15.459654199842896</v>
      </c>
      <c r="G140" s="395" t="s">
        <v>1952</v>
      </c>
      <c r="H140" s="217"/>
      <c r="I140" s="217"/>
      <c r="J140" s="217"/>
      <c r="K140" s="427"/>
      <c r="N140" s="25">
        <f>IF(M135&gt;M134,VLOOKUP($E$143,M134:N139,2),IF(M136&gt;M135,VLOOKUP($E$143,M135:N139,2),IF(M137&gt;M136,VLOOKUP($E$143,M136:N139,2),IF(M138&gt;M137,VLOOKUP($E$143,M137:N139,2),IF(M139&gt;M138,VLOOKUP($E$143,M138:N139,2),N139)))))</f>
        <v>0.6</v>
      </c>
    </row>
    <row r="141" spans="1:16" ht="15.75" x14ac:dyDescent="0.3">
      <c r="A141" s="426"/>
      <c r="B141" s="217">
        <v>1.5</v>
      </c>
      <c r="C141" s="460" t="s">
        <v>810</v>
      </c>
      <c r="D141" s="217">
        <f>D135</f>
        <v>1.6276231475584226</v>
      </c>
      <c r="E141" s="472" t="s">
        <v>811</v>
      </c>
      <c r="F141" s="217">
        <f>D140</f>
        <v>0.90000000000000013</v>
      </c>
      <c r="G141" s="472" t="s">
        <v>249</v>
      </c>
      <c r="H141" s="395" t="s">
        <v>1953</v>
      </c>
      <c r="I141" s="217">
        <f>F140/(2*G94)</f>
        <v>0.78795383281564202</v>
      </c>
      <c r="J141" s="473" t="s">
        <v>1882</v>
      </c>
      <c r="K141" s="427"/>
      <c r="M141" s="171" t="s">
        <v>102</v>
      </c>
      <c r="O141" s="171" t="s">
        <v>103</v>
      </c>
    </row>
    <row r="142" spans="1:16" x14ac:dyDescent="0.2">
      <c r="A142" s="426"/>
      <c r="B142" s="222"/>
      <c r="C142" s="217"/>
      <c r="D142" s="217"/>
      <c r="E142" s="217"/>
      <c r="F142" s="217"/>
      <c r="G142" s="217"/>
      <c r="H142" s="217"/>
      <c r="I142" s="217"/>
      <c r="J142" s="217"/>
      <c r="K142" s="427"/>
      <c r="M142" s="179" t="s">
        <v>97</v>
      </c>
      <c r="N142" s="179" t="s">
        <v>701</v>
      </c>
      <c r="O142" s="179" t="s">
        <v>97</v>
      </c>
      <c r="P142" s="179" t="s">
        <v>701</v>
      </c>
    </row>
    <row r="143" spans="1:16" ht="15.75" x14ac:dyDescent="0.3">
      <c r="A143" s="426"/>
      <c r="B143" s="222"/>
      <c r="C143" s="187"/>
      <c r="D143" s="222"/>
      <c r="E143" s="187">
        <f>B141*D141+F141</f>
        <v>3.3414347213376345</v>
      </c>
      <c r="F143" s="474" t="s">
        <v>249</v>
      </c>
      <c r="G143" s="396" t="s">
        <v>1962</v>
      </c>
      <c r="H143" s="475">
        <f>I141</f>
        <v>0.78795383281564202</v>
      </c>
      <c r="I143" s="476" t="s">
        <v>1882</v>
      </c>
      <c r="J143" s="217"/>
      <c r="K143" s="427"/>
      <c r="M143" s="168">
        <f>N143+$H$143/N143^2</f>
        <v>3.0726078852539609</v>
      </c>
      <c r="N143" s="25">
        <f>$P$139</f>
        <v>0.55999999999999994</v>
      </c>
      <c r="O143" s="168">
        <f>P143+$H$143/P143^2</f>
        <v>3.206581885325348</v>
      </c>
      <c r="P143" s="25">
        <f>$N$147</f>
        <v>0.54399999999999993</v>
      </c>
    </row>
    <row r="144" spans="1:16" x14ac:dyDescent="0.2">
      <c r="A144" s="426"/>
      <c r="B144" s="217"/>
      <c r="C144" s="217"/>
      <c r="D144" s="217"/>
      <c r="E144" s="217"/>
      <c r="F144" s="217"/>
      <c r="G144" s="217"/>
      <c r="H144" s="217"/>
      <c r="I144" s="217"/>
      <c r="J144" s="217"/>
      <c r="K144" s="427"/>
      <c r="M144" s="168">
        <f>N144+$H$143/N144^2</f>
        <v>3.1379648472473032</v>
      </c>
      <c r="N144" s="25">
        <f>$P$139-0.008</f>
        <v>0.55199999999999994</v>
      </c>
      <c r="O144" s="168">
        <f>P144+$H$143/P144^2</f>
        <v>3.220713501828302</v>
      </c>
      <c r="P144" s="25">
        <f>$N$147-0.0016</f>
        <v>0.54239999999999988</v>
      </c>
    </row>
    <row r="145" spans="1:16" ht="15.75" x14ac:dyDescent="0.3">
      <c r="A145" s="426"/>
      <c r="B145" s="222" t="s">
        <v>814</v>
      </c>
      <c r="C145" s="217"/>
      <c r="D145" s="217"/>
      <c r="E145" s="217"/>
      <c r="F145" s="395" t="s">
        <v>1951</v>
      </c>
      <c r="G145" s="217"/>
      <c r="H145" s="471">
        <f>P147</f>
        <v>0.53759999999999997</v>
      </c>
      <c r="I145" s="455" t="s">
        <v>24</v>
      </c>
      <c r="J145" s="217"/>
      <c r="K145" s="427"/>
      <c r="M145" s="168">
        <f>N145+$H$143/N145^2</f>
        <v>3.206581885325348</v>
      </c>
      <c r="N145" s="25">
        <f>$P$139-0.016</f>
        <v>0.54399999999999993</v>
      </c>
      <c r="O145" s="168">
        <f>P145+$H$143/P145^2</f>
        <v>3.2349849545149874</v>
      </c>
      <c r="P145" s="25">
        <f>$N$147-0.0032</f>
        <v>0.54079999999999995</v>
      </c>
    </row>
    <row r="146" spans="1:16" x14ac:dyDescent="0.2">
      <c r="A146" s="426"/>
      <c r="B146" s="217"/>
      <c r="C146" s="217"/>
      <c r="D146" s="217"/>
      <c r="E146" s="217"/>
      <c r="F146" s="217"/>
      <c r="G146" s="217"/>
      <c r="H146" s="217"/>
      <c r="I146" s="217"/>
      <c r="J146" s="217"/>
      <c r="K146" s="427"/>
      <c r="M146" s="168">
        <f>N146+$H$143/N146^2</f>
        <v>3.3543954632103787</v>
      </c>
      <c r="N146" s="25">
        <f>$P$139-0.032</f>
        <v>0.52799999999999991</v>
      </c>
      <c r="O146" s="168">
        <f>P146+$H$143/P146^2</f>
        <v>3.2639540421592454</v>
      </c>
      <c r="P146" s="25">
        <f>$N$147-0.0064</f>
        <v>0.53759999999999997</v>
      </c>
    </row>
    <row r="147" spans="1:16" x14ac:dyDescent="0.2">
      <c r="A147" s="426"/>
      <c r="B147" s="222" t="s">
        <v>815</v>
      </c>
      <c r="C147" s="217"/>
      <c r="D147" s="222"/>
      <c r="E147" s="217"/>
      <c r="F147" s="217"/>
      <c r="G147" s="217"/>
      <c r="H147" s="187"/>
      <c r="I147" s="222"/>
      <c r="J147" s="217"/>
      <c r="K147" s="427"/>
      <c r="N147" s="25">
        <f>IF(M144&gt;M143,VLOOKUP($E$143,M143:N146,2),IF(M145&gt;M144,VLOOKUP($E$143,M144:N146,2),IF(#REF!&gt;M145,VLOOKUP($E$143,M145:N146,2),IF(M146&gt;#REF!,VLOOKUP($E$143,M146:N146,2),N146))))</f>
        <v>0.54399999999999993</v>
      </c>
      <c r="P147" s="25">
        <f>IF(O144&gt;O143,VLOOKUP($E$143,O143:P146,2),IF(O145&gt;O144,VLOOKUP($E$143,O144:P146,2),IF(#REF!&gt;O145,VLOOKUP($E$143,O145:P146,2),IF(O146&gt;#REF!,VLOOKUP($E$143,O146:P146,2),P146))))</f>
        <v>0.53759999999999997</v>
      </c>
    </row>
    <row r="148" spans="1:16" x14ac:dyDescent="0.2">
      <c r="A148" s="426"/>
      <c r="B148" s="222" t="s">
        <v>816</v>
      </c>
      <c r="C148" s="222"/>
      <c r="D148" s="217"/>
      <c r="E148" s="187"/>
      <c r="F148" s="222"/>
      <c r="G148" s="222"/>
      <c r="H148" s="217"/>
      <c r="I148" s="217"/>
      <c r="J148" s="217"/>
      <c r="K148" s="427"/>
    </row>
    <row r="149" spans="1:16" x14ac:dyDescent="0.2">
      <c r="A149" s="426"/>
      <c r="B149" s="222" t="s">
        <v>817</v>
      </c>
      <c r="C149" s="217"/>
      <c r="D149" s="222"/>
      <c r="E149" s="217"/>
      <c r="F149" s="217"/>
      <c r="G149" s="217"/>
      <c r="H149" s="222"/>
      <c r="I149" s="217"/>
      <c r="J149" s="217"/>
      <c r="K149" s="427"/>
    </row>
    <row r="150" spans="1:16" x14ac:dyDescent="0.2">
      <c r="A150" s="426"/>
      <c r="B150" s="222" t="s">
        <v>818</v>
      </c>
      <c r="C150" s="217"/>
      <c r="D150" s="217"/>
      <c r="E150" s="217"/>
      <c r="F150" s="217"/>
      <c r="G150" s="217"/>
      <c r="H150" s="217"/>
      <c r="I150" s="217"/>
      <c r="J150" s="217"/>
      <c r="K150" s="427"/>
    </row>
    <row r="151" spans="1:16" x14ac:dyDescent="0.2">
      <c r="A151" s="426"/>
      <c r="B151" s="222" t="s">
        <v>819</v>
      </c>
      <c r="C151" s="217"/>
      <c r="D151" s="217"/>
      <c r="E151" s="217"/>
      <c r="F151" s="217"/>
      <c r="G151" s="217"/>
      <c r="H151" s="187"/>
      <c r="I151" s="217"/>
      <c r="J151" s="217"/>
      <c r="K151" s="427"/>
    </row>
    <row r="152" spans="1:16" ht="15.75" x14ac:dyDescent="0.3">
      <c r="A152" s="426"/>
      <c r="B152" s="217"/>
      <c r="C152" s="406" t="s">
        <v>1878</v>
      </c>
      <c r="D152" s="217"/>
      <c r="E152" s="217"/>
      <c r="F152" s="217"/>
      <c r="G152" s="217"/>
      <c r="H152" s="222"/>
      <c r="I152" s="217"/>
      <c r="J152" s="217"/>
      <c r="K152" s="427"/>
    </row>
    <row r="153" spans="1:16" x14ac:dyDescent="0.2">
      <c r="A153" s="426"/>
      <c r="B153" s="222" t="s">
        <v>820</v>
      </c>
      <c r="C153" s="217"/>
      <c r="D153" s="217"/>
      <c r="E153" s="217"/>
      <c r="F153" s="217"/>
      <c r="G153" s="217"/>
      <c r="H153" s="217"/>
      <c r="I153" s="217">
        <f>IF(F8&gt;F9,F8,F9)-IF(F8&gt;F9,F17,F18)</f>
        <v>4.8599999999999994</v>
      </c>
      <c r="J153" s="217" t="s">
        <v>24</v>
      </c>
      <c r="K153" s="427"/>
    </row>
    <row r="154" spans="1:16" ht="15.75" x14ac:dyDescent="0.3">
      <c r="A154" s="426"/>
      <c r="B154" s="222" t="s">
        <v>821</v>
      </c>
      <c r="C154" s="217"/>
      <c r="D154" s="217"/>
      <c r="E154" s="217"/>
      <c r="F154" s="406" t="s">
        <v>1879</v>
      </c>
      <c r="G154" s="217">
        <f>E128</f>
        <v>3.9318766765811586</v>
      </c>
      <c r="H154" s="473" t="s">
        <v>1880</v>
      </c>
      <c r="I154" s="217"/>
      <c r="J154" s="217"/>
      <c r="K154" s="427"/>
    </row>
    <row r="155" spans="1:16" x14ac:dyDescent="0.2">
      <c r="A155" s="426"/>
      <c r="B155" s="222" t="s">
        <v>822</v>
      </c>
      <c r="C155" s="217"/>
      <c r="D155" s="217"/>
      <c r="E155" s="217"/>
      <c r="F155" s="222"/>
      <c r="G155" s="217"/>
      <c r="H155" s="217"/>
      <c r="I155" s="217"/>
      <c r="J155" s="217"/>
      <c r="K155" s="427"/>
      <c r="M155" s="171" t="s">
        <v>95</v>
      </c>
      <c r="O155" s="171" t="s">
        <v>96</v>
      </c>
    </row>
    <row r="156" spans="1:16" x14ac:dyDescent="0.2">
      <c r="A156" s="426"/>
      <c r="B156" s="217"/>
      <c r="C156" s="217"/>
      <c r="D156" s="217"/>
      <c r="E156" s="217"/>
      <c r="F156" s="217"/>
      <c r="G156" s="217"/>
      <c r="H156" s="217"/>
      <c r="I156" s="217"/>
      <c r="J156" s="217"/>
      <c r="K156" s="427"/>
      <c r="M156" s="179" t="s">
        <v>97</v>
      </c>
      <c r="N156" s="179" t="s">
        <v>701</v>
      </c>
      <c r="O156" s="179" t="s">
        <v>97</v>
      </c>
      <c r="P156" s="179" t="s">
        <v>701</v>
      </c>
    </row>
    <row r="157" spans="1:16" ht="15.75" x14ac:dyDescent="0.3">
      <c r="A157" s="426"/>
      <c r="B157" s="217"/>
      <c r="C157" s="217"/>
      <c r="D157" s="187">
        <f>I153</f>
        <v>4.8599999999999994</v>
      </c>
      <c r="E157" s="477" t="s">
        <v>1881</v>
      </c>
      <c r="F157" s="217">
        <f>G154^2/(2*G94)</f>
        <v>0.78795383281564202</v>
      </c>
      <c r="G157" s="473" t="s">
        <v>1882</v>
      </c>
      <c r="H157" s="217"/>
      <c r="I157" s="217"/>
      <c r="J157" s="217"/>
      <c r="K157" s="427"/>
      <c r="M157" s="168">
        <f t="shared" ref="M157:M162" si="1">N157+$F$157/N157^2</f>
        <v>1.7471901616775292</v>
      </c>
      <c r="N157" s="25">
        <v>1.2</v>
      </c>
      <c r="O157" s="168">
        <f>P157+$F$157/P157^2</f>
        <v>2.7887606467101169</v>
      </c>
      <c r="P157" s="25">
        <f>$N$163</f>
        <v>0.6</v>
      </c>
    </row>
    <row r="158" spans="1:16" x14ac:dyDescent="0.2">
      <c r="A158" s="426"/>
      <c r="B158" s="217"/>
      <c r="C158" s="217"/>
      <c r="D158" s="217"/>
      <c r="E158" s="217"/>
      <c r="F158" s="187"/>
      <c r="G158" s="217"/>
      <c r="H158" s="217"/>
      <c r="I158" s="217"/>
      <c r="J158" s="217"/>
      <c r="K158" s="427"/>
      <c r="M158" s="168">
        <f t="shared" si="1"/>
        <v>1.7879538328156421</v>
      </c>
      <c r="N158" s="25">
        <v>1</v>
      </c>
      <c r="O158" s="168">
        <f>P158+$F$157/P158^2</f>
        <v>3.0726078852539609</v>
      </c>
      <c r="P158" s="25">
        <f>$N$163-0.04</f>
        <v>0.55999999999999994</v>
      </c>
    </row>
    <row r="159" spans="1:16" ht="15.75" x14ac:dyDescent="0.3">
      <c r="A159" s="426"/>
      <c r="B159" s="222" t="s">
        <v>823</v>
      </c>
      <c r="C159" s="217"/>
      <c r="D159" s="217"/>
      <c r="E159" s="217"/>
      <c r="F159" s="217"/>
      <c r="G159" s="406" t="s">
        <v>1883</v>
      </c>
      <c r="H159" s="478">
        <f>P171</f>
        <v>0.42239999999999994</v>
      </c>
      <c r="I159" s="456" t="s">
        <v>24</v>
      </c>
      <c r="J159" s="217"/>
      <c r="K159" s="427"/>
      <c r="M159" s="168">
        <f t="shared" si="1"/>
        <v>2.0311778637744404</v>
      </c>
      <c r="N159" s="25">
        <v>0.8</v>
      </c>
      <c r="O159" s="168">
        <f>P159+$F$157/P159^2</f>
        <v>3.4340304468034097</v>
      </c>
      <c r="P159" s="25">
        <f>$N$163-0.08</f>
        <v>0.52</v>
      </c>
    </row>
    <row r="160" spans="1:16" x14ac:dyDescent="0.2">
      <c r="A160" s="426"/>
      <c r="B160" s="217"/>
      <c r="C160" s="217"/>
      <c r="D160" s="217"/>
      <c r="E160" s="217"/>
      <c r="F160" s="222"/>
      <c r="G160" s="217"/>
      <c r="H160" s="217"/>
      <c r="I160" s="217"/>
      <c r="J160" s="217"/>
      <c r="K160" s="427"/>
      <c r="M160" s="168">
        <f t="shared" si="1"/>
        <v>2.7887606467101169</v>
      </c>
      <c r="N160" s="25">
        <v>0.6</v>
      </c>
      <c r="O160" s="168">
        <f>P160+$F$157/P160^2</f>
        <v>3.8999385104845574</v>
      </c>
      <c r="P160" s="25">
        <f>$N$163-0.12</f>
        <v>0.48</v>
      </c>
    </row>
    <row r="161" spans="1:17" x14ac:dyDescent="0.2">
      <c r="A161" s="426"/>
      <c r="B161" s="222" t="s">
        <v>824</v>
      </c>
      <c r="C161" s="217"/>
      <c r="D161" s="217"/>
      <c r="E161" s="217"/>
      <c r="F161" s="217"/>
      <c r="G161" s="217"/>
      <c r="H161" s="217"/>
      <c r="I161" s="217"/>
      <c r="J161" s="217"/>
      <c r="K161" s="427"/>
      <c r="M161" s="168">
        <f t="shared" si="1"/>
        <v>5.3247114550977619</v>
      </c>
      <c r="N161" s="25">
        <v>0.4</v>
      </c>
      <c r="O161" s="168">
        <f>P161+$F$157/P161^2</f>
        <v>4.5100094670229449</v>
      </c>
      <c r="P161" s="25">
        <f>$N$163-0.16</f>
        <v>0.43999999999999995</v>
      </c>
    </row>
    <row r="162" spans="1:17" x14ac:dyDescent="0.2">
      <c r="A162" s="426"/>
      <c r="B162" s="222" t="s">
        <v>825</v>
      </c>
      <c r="C162" s="217"/>
      <c r="D162" s="217"/>
      <c r="E162" s="217"/>
      <c r="F162" s="217"/>
      <c r="G162" s="217"/>
      <c r="H162" s="217"/>
      <c r="I162" s="217"/>
      <c r="J162" s="217"/>
      <c r="K162" s="427"/>
      <c r="M162" s="168">
        <f t="shared" si="1"/>
        <v>19.898845820391045</v>
      </c>
      <c r="N162" s="25">
        <v>0.2</v>
      </c>
      <c r="P162" s="25">
        <f>IF(O158&gt;O157,VLOOKUP($D$157,O157:P161,2),IF(O159&gt;O158,VLOOKUP($D$157,O158:P161,2),IF(O160&gt;O159,VLOOKUP($D$157,O159:P161,2),IF(O161&gt;O160,VLOOKUP($D$157,O160:P161,2),P161))))</f>
        <v>0.43999999999999995</v>
      </c>
    </row>
    <row r="163" spans="1:17" ht="15.75" x14ac:dyDescent="0.3">
      <c r="A163" s="426"/>
      <c r="B163" s="217"/>
      <c r="C163" s="217"/>
      <c r="D163" s="217"/>
      <c r="E163" s="406" t="s">
        <v>1884</v>
      </c>
      <c r="F163" s="217"/>
      <c r="G163" s="217"/>
      <c r="H163" s="478">
        <f>MIN(H145:H159)</f>
        <v>0.42239999999999994</v>
      </c>
      <c r="I163" s="456" t="s">
        <v>24</v>
      </c>
      <c r="J163" s="217"/>
      <c r="K163" s="427"/>
      <c r="N163" s="25">
        <f>IF(M158&gt;M157,VLOOKUP($D$157,M157:N162,2),IF(M159&gt;M158,VLOOKUP($D$157,M158:N162,2),IF(M160&gt;M159,VLOOKUP($D$157,M159:N162,2),IF(M161&gt;M160,VLOOKUP($D$157,M160:N162,2),IF(M162&gt;M161,VLOOKUP($D$157,M161:N162,2),N162)))))</f>
        <v>0.6</v>
      </c>
    </row>
    <row r="164" spans="1:17" x14ac:dyDescent="0.2">
      <c r="A164" s="426"/>
      <c r="B164" s="217"/>
      <c r="C164" s="217"/>
      <c r="D164" s="217"/>
      <c r="E164" s="217"/>
      <c r="F164" s="217"/>
      <c r="G164" s="217"/>
      <c r="H164" s="217"/>
      <c r="I164" s="217"/>
      <c r="J164" s="217"/>
      <c r="K164" s="427"/>
      <c r="M164" s="171" t="s">
        <v>102</v>
      </c>
      <c r="O164" s="171" t="s">
        <v>103</v>
      </c>
    </row>
    <row r="165" spans="1:17" x14ac:dyDescent="0.2">
      <c r="A165" s="426"/>
      <c r="B165" s="222" t="s">
        <v>826</v>
      </c>
      <c r="C165" s="217"/>
      <c r="D165" s="217"/>
      <c r="E165" s="217"/>
      <c r="F165" s="217"/>
      <c r="G165" s="217"/>
      <c r="H165" s="217"/>
      <c r="I165" s="217"/>
      <c r="J165" s="217"/>
      <c r="K165" s="427"/>
      <c r="M165" s="179" t="s">
        <v>97</v>
      </c>
      <c r="N165" s="179" t="s">
        <v>701</v>
      </c>
      <c r="O165" s="179" t="s">
        <v>97</v>
      </c>
      <c r="P165" s="179" t="s">
        <v>701</v>
      </c>
    </row>
    <row r="166" spans="1:17" x14ac:dyDescent="0.2">
      <c r="A166" s="426"/>
      <c r="B166" s="217"/>
      <c r="C166" s="217"/>
      <c r="D166" s="217"/>
      <c r="E166" s="217"/>
      <c r="F166" s="217"/>
      <c r="G166" s="217"/>
      <c r="H166" s="217"/>
      <c r="I166" s="217"/>
      <c r="J166" s="217"/>
      <c r="K166" s="427"/>
      <c r="M166" s="168">
        <f>N166+$F$157/N166^2</f>
        <v>4.5100094670229449</v>
      </c>
      <c r="N166" s="25">
        <f>$P$162</f>
        <v>0.43999999999999995</v>
      </c>
      <c r="O166" s="168">
        <f>P166+$F$157/P166^2</f>
        <v>4.8069756631343576</v>
      </c>
      <c r="P166" s="25">
        <f>$N$171</f>
        <v>0.42399999999999993</v>
      </c>
    </row>
    <row r="167" spans="1:17" ht="15.75" x14ac:dyDescent="0.3">
      <c r="A167" s="426"/>
      <c r="B167" s="222" t="s">
        <v>827</v>
      </c>
      <c r="C167" s="217"/>
      <c r="D167" s="217"/>
      <c r="E167" s="217"/>
      <c r="F167" s="395" t="s">
        <v>1886</v>
      </c>
      <c r="G167" s="217"/>
      <c r="H167" s="217"/>
      <c r="I167" s="217"/>
      <c r="J167" s="217"/>
      <c r="K167" s="427"/>
      <c r="M167" s="168">
        <f>N167+$F$157/N167^2</f>
        <v>4.6541463092401951</v>
      </c>
      <c r="N167" s="25">
        <f>$P$162-0.008</f>
        <v>0.43199999999999994</v>
      </c>
      <c r="O167" s="168">
        <f>P167+$F$157/P167^2</f>
        <v>4.8386429112662164</v>
      </c>
      <c r="P167" s="25">
        <f>$N$171-0.0016</f>
        <v>0.42239999999999994</v>
      </c>
    </row>
    <row r="168" spans="1:17" ht="13.5" thickBot="1" x14ac:dyDescent="0.25">
      <c r="A168" s="426"/>
      <c r="B168" s="217"/>
      <c r="C168" s="217"/>
      <c r="D168" s="217"/>
      <c r="E168" s="217"/>
      <c r="F168" s="217"/>
      <c r="G168" s="217"/>
      <c r="H168" s="217"/>
      <c r="I168" s="217"/>
      <c r="J168" s="217"/>
      <c r="K168" s="427"/>
      <c r="M168" s="168">
        <f>N168+$F$157/N168^2</f>
        <v>4.8069756631343576</v>
      </c>
      <c r="N168" s="25">
        <f>$P$162-0.016</f>
        <v>0.42399999999999993</v>
      </c>
      <c r="O168" s="168">
        <f>P168+$F$157/P168^2</f>
        <v>4.8706903546908329</v>
      </c>
      <c r="P168" s="25">
        <f>$N$171-0.0032</f>
        <v>0.42079999999999995</v>
      </c>
    </row>
    <row r="169" spans="1:17" ht="16.5" thickBot="1" x14ac:dyDescent="0.35">
      <c r="A169" s="426"/>
      <c r="B169" s="395" t="s">
        <v>1885</v>
      </c>
      <c r="C169" s="217"/>
      <c r="D169" s="217">
        <f>P121/(G127*H163)</f>
        <v>9.3084201623606972</v>
      </c>
      <c r="E169" s="217" t="s">
        <v>828</v>
      </c>
      <c r="F169" s="217"/>
      <c r="G169" s="395" t="s">
        <v>1887</v>
      </c>
      <c r="H169" s="437">
        <f>D169/(G94*H145)^0.5</f>
        <v>4.0533288931836964</v>
      </c>
      <c r="I169" s="217"/>
      <c r="J169" s="217"/>
      <c r="K169" s="427"/>
      <c r="M169" s="168">
        <f>N169+$F$157/N169^2</f>
        <v>4.9691725731303293</v>
      </c>
      <c r="N169" s="25">
        <f>$P$162-0.024</f>
        <v>0.41599999999999993</v>
      </c>
      <c r="O169" s="168">
        <f>P169+$F$157/P169^2</f>
        <v>4.9031238089798137</v>
      </c>
      <c r="P169" s="25">
        <f>$N$171-0.0048</f>
        <v>0.41919999999999991</v>
      </c>
    </row>
    <row r="170" spans="1:17" ht="13.5" thickBot="1" x14ac:dyDescent="0.25">
      <c r="A170" s="429"/>
      <c r="B170" s="777" t="str">
        <f>IF(D169&gt;7.6,"WARNING:","")</f>
        <v>WARNING:</v>
      </c>
      <c r="C170" s="778"/>
      <c r="D170" s="778"/>
      <c r="E170" s="778"/>
      <c r="F170" s="430"/>
      <c r="G170" s="430"/>
      <c r="H170" s="430"/>
      <c r="I170" s="430"/>
      <c r="J170" s="430"/>
      <c r="K170" s="489" t="s">
        <v>2455</v>
      </c>
      <c r="M170" s="168">
        <f>N170+$F$157/N170^2</f>
        <v>5.1414789072450642</v>
      </c>
      <c r="N170" s="25">
        <f>$P$162-0.032</f>
        <v>0.40799999999999992</v>
      </c>
      <c r="O170" s="168">
        <f>P170+$F$157/P170^2</f>
        <v>4.9359492013272019</v>
      </c>
      <c r="P170" s="25">
        <f>$N$171-0.0064</f>
        <v>0.41759999999999992</v>
      </c>
    </row>
    <row r="171" spans="1:17" x14ac:dyDescent="0.2">
      <c r="A171" s="426"/>
      <c r="B171" s="479" t="str">
        <f>IF(D169&gt;7.6,"V1 &gt; 7.6 m/sec not usually allowed.","")</f>
        <v>V1 &gt; 7.6 m/sec not usually allowed.</v>
      </c>
      <c r="C171" s="480"/>
      <c r="D171" s="480"/>
      <c r="E171" s="480"/>
      <c r="F171" s="217"/>
      <c r="G171" s="217"/>
      <c r="H171" s="217"/>
      <c r="I171" s="217"/>
      <c r="J171" s="217"/>
      <c r="K171" s="427"/>
      <c r="N171" s="25">
        <f>IF(M167&gt;M166,VLOOKUP($D$157,M166:N170,2),IF(M168&gt;M167,VLOOKUP($D$157,M167:N170,2),IF(M169&gt;M168,VLOOKUP($D$157,M168:N170,2),IF(M170&gt;M169,VLOOKUP($D$157,M169:N170,2),N170))))</f>
        <v>0.42399999999999993</v>
      </c>
      <c r="P171" s="25">
        <f>IF(O167&gt;O166,VLOOKUP($D$157,O166:P170,2),IF(O168&gt;O167,VLOOKUP($D$157,O167:P170,2),IF(O169&gt;O168,VLOOKUP($D$157,O168:P170,2),IF(O170&gt;O169,VLOOKUP($D$157,O169:P170,2),P170))))</f>
        <v>0.42239999999999994</v>
      </c>
    </row>
    <row r="172" spans="1:17" x14ac:dyDescent="0.2">
      <c r="A172" s="426"/>
      <c r="B172" s="222" t="s">
        <v>829</v>
      </c>
      <c r="C172" s="217"/>
      <c r="D172" s="217"/>
      <c r="E172" s="217"/>
      <c r="F172" s="217"/>
      <c r="G172" s="217"/>
      <c r="H172" s="217"/>
      <c r="I172" s="217"/>
      <c r="J172" s="217"/>
      <c r="K172" s="427"/>
    </row>
    <row r="173" spans="1:17" x14ac:dyDescent="0.2">
      <c r="A173" s="426"/>
      <c r="B173" s="222" t="s">
        <v>830</v>
      </c>
      <c r="C173" s="217"/>
      <c r="D173" s="217"/>
      <c r="E173" s="217"/>
      <c r="F173" s="217"/>
      <c r="G173" s="217"/>
      <c r="H173" s="217"/>
      <c r="I173" s="217"/>
      <c r="J173" s="217"/>
      <c r="K173" s="427"/>
    </row>
    <row r="174" spans="1:17" x14ac:dyDescent="0.2">
      <c r="A174" s="426"/>
      <c r="B174" s="222" t="s">
        <v>831</v>
      </c>
      <c r="C174" s="217"/>
      <c r="D174" s="217"/>
      <c r="E174" s="217"/>
      <c r="F174" s="217"/>
      <c r="G174" s="395" t="s">
        <v>2383</v>
      </c>
      <c r="H174" s="217"/>
      <c r="I174" s="217"/>
      <c r="J174" s="217"/>
      <c r="K174" s="427"/>
      <c r="M174" s="171" t="s">
        <v>834</v>
      </c>
      <c r="Q174" s="5">
        <v>3</v>
      </c>
    </row>
    <row r="175" spans="1:17" x14ac:dyDescent="0.2">
      <c r="A175" s="426"/>
      <c r="B175" s="222" t="s">
        <v>832</v>
      </c>
      <c r="C175" s="217"/>
      <c r="D175" s="217"/>
      <c r="E175" s="217"/>
      <c r="F175" s="217"/>
      <c r="G175" s="217"/>
      <c r="H175" s="217"/>
      <c r="I175" s="217"/>
      <c r="J175" s="217"/>
      <c r="K175" s="427"/>
      <c r="M175" s="171" t="s">
        <v>836</v>
      </c>
    </row>
    <row r="176" spans="1:17" x14ac:dyDescent="0.2">
      <c r="A176" s="426"/>
      <c r="B176" s="217"/>
      <c r="C176" s="217"/>
      <c r="D176" s="217"/>
      <c r="E176" s="217"/>
      <c r="F176" s="217"/>
      <c r="G176" s="217"/>
      <c r="H176" s="217"/>
      <c r="I176" s="217"/>
      <c r="J176" s="217"/>
      <c r="K176" s="427"/>
    </row>
    <row r="177" spans="1:19" x14ac:dyDescent="0.2">
      <c r="A177" s="217"/>
      <c r="B177" s="461" t="s">
        <v>1859</v>
      </c>
      <c r="C177" s="446"/>
      <c r="D177" s="446"/>
      <c r="E177" s="446"/>
      <c r="F177" s="446"/>
      <c r="G177" s="446"/>
      <c r="H177" s="446"/>
      <c r="I177" s="446"/>
      <c r="J177" s="446"/>
      <c r="K177" s="217"/>
      <c r="M177" s="171" t="s">
        <v>838</v>
      </c>
    </row>
    <row r="178" spans="1:19" x14ac:dyDescent="0.2">
      <c r="A178" s="217"/>
      <c r="B178" s="461" t="s">
        <v>1860</v>
      </c>
      <c r="C178" s="446"/>
      <c r="D178" s="446"/>
      <c r="E178" s="446"/>
      <c r="F178" s="446"/>
      <c r="G178" s="446"/>
      <c r="H178" s="446"/>
      <c r="I178" s="446"/>
      <c r="J178" s="678"/>
      <c r="K178" s="217"/>
      <c r="M178" s="171" t="s">
        <v>839</v>
      </c>
    </row>
    <row r="179" spans="1:19" x14ac:dyDescent="0.2">
      <c r="A179" s="426"/>
      <c r="B179" s="217"/>
      <c r="C179" s="217"/>
      <c r="D179" s="217"/>
      <c r="E179" s="217"/>
      <c r="F179" s="217"/>
      <c r="G179" s="217"/>
      <c r="H179" s="217"/>
      <c r="I179" s="217"/>
      <c r="J179" s="217"/>
      <c r="K179" s="427"/>
    </row>
    <row r="180" spans="1:19" x14ac:dyDescent="0.2">
      <c r="A180" s="426"/>
      <c r="B180" s="222" t="s">
        <v>583</v>
      </c>
      <c r="C180" s="187" t="str">
        <f>IF($Q$185=1,"USBR Stilling Basin Type I",IF($Q$185=2,"USBR Stilling Basin Type II",IF($Q$185=3,"Indian Standard Stilling Basin I",IF($Q$185=4,"USBR Stilling Basin Type IV","ERROR!!"))))</f>
        <v>Indian Standard Stilling Basin I</v>
      </c>
      <c r="D180" s="217"/>
      <c r="E180" s="217"/>
      <c r="F180" s="217"/>
      <c r="G180" s="217"/>
      <c r="H180" s="217"/>
      <c r="I180" s="222" t="s">
        <v>837</v>
      </c>
      <c r="J180" s="217"/>
      <c r="K180" s="427"/>
      <c r="M180" s="171" t="s">
        <v>840</v>
      </c>
    </row>
    <row r="181" spans="1:19" x14ac:dyDescent="0.2">
      <c r="A181" s="426"/>
      <c r="B181" s="187" t="str">
        <f>IF(Q174=0,"   (The default Stilling Basin has been followed.)","   (The default Stilling Basin has been overridden by the user.)")</f>
        <v xml:space="preserve">   (The default Stilling Basin has been overridden by the user.)</v>
      </c>
      <c r="C181" s="217"/>
      <c r="D181" s="217"/>
      <c r="E181" s="217"/>
      <c r="F181" s="217"/>
      <c r="G181" s="217"/>
      <c r="H181" s="217"/>
      <c r="I181" s="217"/>
      <c r="J181" s="217"/>
      <c r="K181" s="427"/>
      <c r="M181" s="171" t="s">
        <v>842</v>
      </c>
    </row>
    <row r="182" spans="1:19" ht="13.5" thickBot="1" x14ac:dyDescent="0.25">
      <c r="A182" s="426"/>
      <c r="B182" s="217"/>
      <c r="C182" s="217"/>
      <c r="D182" s="217"/>
      <c r="E182" s="217"/>
      <c r="F182" s="217"/>
      <c r="G182" s="217"/>
      <c r="H182" s="217"/>
      <c r="I182" s="217"/>
      <c r="J182" s="217"/>
      <c r="K182" s="427"/>
      <c r="M182" s="171" t="s">
        <v>843</v>
      </c>
    </row>
    <row r="183" spans="1:19" x14ac:dyDescent="0.2">
      <c r="A183" s="423"/>
      <c r="B183" s="424"/>
      <c r="C183" s="424"/>
      <c r="D183" s="424"/>
      <c r="E183" s="424"/>
      <c r="F183" s="424"/>
      <c r="G183" s="424"/>
      <c r="H183" s="424"/>
      <c r="I183" s="424"/>
      <c r="J183" s="424"/>
      <c r="K183" s="425"/>
    </row>
    <row r="184" spans="1:19" x14ac:dyDescent="0.2">
      <c r="A184" s="426"/>
      <c r="B184" s="222" t="s">
        <v>841</v>
      </c>
      <c r="C184" s="217"/>
      <c r="D184" s="217"/>
      <c r="E184" s="217"/>
      <c r="F184" s="217"/>
      <c r="G184" s="217"/>
      <c r="H184" s="217"/>
      <c r="I184" s="217"/>
      <c r="J184" s="217"/>
      <c r="K184" s="427"/>
      <c r="M184" s="171" t="s">
        <v>845</v>
      </c>
    </row>
    <row r="185" spans="1:19" x14ac:dyDescent="0.2">
      <c r="A185" s="426"/>
      <c r="B185" s="217"/>
      <c r="C185" s="217"/>
      <c r="D185" s="217"/>
      <c r="E185" s="217"/>
      <c r="F185" s="217"/>
      <c r="G185" s="217"/>
      <c r="H185" s="217"/>
      <c r="I185" s="217"/>
      <c r="J185" s="217"/>
      <c r="K185" s="427"/>
      <c r="M185" s="171" t="s">
        <v>846</v>
      </c>
      <c r="Q185" s="30">
        <f>IF(Q174=0,IF(H169&lt;=2.5,1,IF(H169&lt;4.5,4,2)),Q174)</f>
        <v>3</v>
      </c>
      <c r="R185" s="171" t="s">
        <v>753</v>
      </c>
    </row>
    <row r="186" spans="1:19" x14ac:dyDescent="0.2">
      <c r="A186" s="426"/>
      <c r="B186" s="222" t="s">
        <v>844</v>
      </c>
      <c r="C186" s="217"/>
      <c r="D186" s="217"/>
      <c r="E186" s="217"/>
      <c r="F186" s="217"/>
      <c r="G186" s="217"/>
      <c r="H186" s="217"/>
      <c r="I186" s="217"/>
      <c r="J186" s="217"/>
      <c r="K186" s="427"/>
    </row>
    <row r="187" spans="1:19" x14ac:dyDescent="0.2">
      <c r="A187" s="426"/>
      <c r="B187" s="217"/>
      <c r="C187" s="217"/>
      <c r="D187" s="217"/>
      <c r="E187" s="217"/>
      <c r="F187" s="217"/>
      <c r="G187" s="217"/>
      <c r="H187" s="217"/>
      <c r="I187" s="217"/>
      <c r="J187" s="217"/>
      <c r="K187" s="427"/>
    </row>
    <row r="188" spans="1:19" ht="15.75" x14ac:dyDescent="0.3">
      <c r="A188" s="426"/>
      <c r="B188" s="406" t="s">
        <v>1888</v>
      </c>
      <c r="C188" s="217"/>
      <c r="D188" s="217"/>
      <c r="E188" s="217"/>
      <c r="F188" s="217">
        <f>H163/2*((1+8*H169^2)^0.5-1)</f>
        <v>2.2193055384136118</v>
      </c>
      <c r="G188" s="217" t="s">
        <v>24</v>
      </c>
      <c r="H188" s="217"/>
      <c r="I188" s="217"/>
      <c r="J188" s="217"/>
      <c r="K188" s="427"/>
    </row>
    <row r="189" spans="1:19" ht="13.5" thickBot="1" x14ac:dyDescent="0.25">
      <c r="A189" s="426"/>
      <c r="B189" s="222" t="s">
        <v>847</v>
      </c>
      <c r="C189" s="187"/>
      <c r="D189" s="222"/>
      <c r="E189" s="217"/>
      <c r="F189" s="217"/>
      <c r="G189" s="217"/>
      <c r="H189" s="217"/>
      <c r="I189" s="217"/>
      <c r="J189" s="217"/>
      <c r="K189" s="427"/>
    </row>
    <row r="190" spans="1:19" x14ac:dyDescent="0.2">
      <c r="A190" s="426"/>
      <c r="B190" s="217"/>
      <c r="C190" s="217"/>
      <c r="D190" s="217"/>
      <c r="E190" s="217"/>
      <c r="F190" s="217"/>
      <c r="G190" s="217"/>
      <c r="H190" s="217"/>
      <c r="I190" s="217"/>
      <c r="J190" s="217"/>
      <c r="K190" s="217"/>
      <c r="L190" s="423"/>
      <c r="M190" s="466" t="s">
        <v>848</v>
      </c>
      <c r="N190" s="424"/>
      <c r="O190" s="466" t="s">
        <v>849</v>
      </c>
      <c r="P190" s="424"/>
      <c r="Q190" s="424"/>
      <c r="R190" s="424"/>
      <c r="S190" s="425"/>
    </row>
    <row r="191" spans="1:19" x14ac:dyDescent="0.2">
      <c r="A191" s="426"/>
      <c r="B191" s="222" t="s">
        <v>850</v>
      </c>
      <c r="C191" s="217"/>
      <c r="D191" s="217"/>
      <c r="E191" s="217"/>
      <c r="F191" s="217"/>
      <c r="G191" s="217"/>
      <c r="H191" s="217"/>
      <c r="I191" s="217"/>
      <c r="J191" s="217"/>
      <c r="K191" s="217"/>
      <c r="L191" s="426"/>
      <c r="M191" s="217"/>
      <c r="N191" s="217"/>
      <c r="O191" s="217"/>
      <c r="P191" s="217"/>
      <c r="Q191" s="217"/>
      <c r="R191" s="217"/>
      <c r="S191" s="427"/>
    </row>
    <row r="192" spans="1:19" x14ac:dyDescent="0.2">
      <c r="A192" s="426"/>
      <c r="B192" s="222" t="s">
        <v>851</v>
      </c>
      <c r="C192" s="217"/>
      <c r="D192" s="217"/>
      <c r="E192" s="217"/>
      <c r="F192" s="217"/>
      <c r="G192" s="217"/>
      <c r="H192" s="217"/>
      <c r="I192" s="217"/>
      <c r="J192" s="217"/>
      <c r="K192" s="217"/>
      <c r="L192" s="426"/>
      <c r="M192" s="1407" t="s">
        <v>852</v>
      </c>
      <c r="N192" s="222" t="s">
        <v>853</v>
      </c>
      <c r="O192" s="1407" t="s">
        <v>852</v>
      </c>
      <c r="P192" s="222" t="s">
        <v>853</v>
      </c>
      <c r="Q192" s="217"/>
      <c r="R192" s="217"/>
      <c r="S192" s="427"/>
    </row>
    <row r="193" spans="1:19" x14ac:dyDescent="0.2">
      <c r="A193" s="426"/>
      <c r="B193" s="217"/>
      <c r="C193" s="217"/>
      <c r="D193" s="217"/>
      <c r="E193" s="217"/>
      <c r="F193" s="217"/>
      <c r="G193" s="217"/>
      <c r="H193" s="217"/>
      <c r="I193" s="217"/>
      <c r="J193" s="217"/>
      <c r="K193" s="217"/>
      <c r="L193" s="426"/>
      <c r="M193" s="217"/>
      <c r="N193" s="217"/>
      <c r="O193" s="217"/>
      <c r="P193" s="217"/>
      <c r="Q193" s="217"/>
      <c r="R193" s="217"/>
      <c r="S193" s="427"/>
    </row>
    <row r="194" spans="1:19" x14ac:dyDescent="0.2">
      <c r="A194" s="426"/>
      <c r="B194" s="222" t="s">
        <v>854</v>
      </c>
      <c r="C194" s="217"/>
      <c r="D194" s="217"/>
      <c r="E194" s="217"/>
      <c r="F194" s="217"/>
      <c r="G194" s="217"/>
      <c r="H194" s="217"/>
      <c r="I194" s="217"/>
      <c r="J194" s="217"/>
      <c r="K194" s="217"/>
      <c r="L194" s="426"/>
      <c r="M194" s="187">
        <v>2</v>
      </c>
      <c r="N194" s="187">
        <v>4.3</v>
      </c>
      <c r="O194" s="187">
        <v>4</v>
      </c>
      <c r="P194" s="187">
        <v>3.6</v>
      </c>
      <c r="Q194" s="217"/>
      <c r="R194" s="217"/>
      <c r="S194" s="427"/>
    </row>
    <row r="195" spans="1:19" x14ac:dyDescent="0.2">
      <c r="A195" s="426"/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426"/>
      <c r="M195" s="187">
        <v>3</v>
      </c>
      <c r="N195" s="187">
        <v>5.2</v>
      </c>
      <c r="O195" s="187">
        <v>4.5</v>
      </c>
      <c r="P195" s="187">
        <v>3.74</v>
      </c>
      <c r="Q195" s="217"/>
      <c r="R195" s="217"/>
      <c r="S195" s="427"/>
    </row>
    <row r="196" spans="1:19" x14ac:dyDescent="0.2">
      <c r="A196" s="426"/>
      <c r="B196" s="222" t="s">
        <v>855</v>
      </c>
      <c r="C196" s="217"/>
      <c r="D196" s="217"/>
      <c r="E196" s="217"/>
      <c r="F196" s="217"/>
      <c r="G196" s="217"/>
      <c r="H196" s="217"/>
      <c r="I196" s="217"/>
      <c r="J196" s="217"/>
      <c r="K196" s="217"/>
      <c r="L196" s="426"/>
      <c r="M196" s="187">
        <v>4</v>
      </c>
      <c r="N196" s="187">
        <v>5.8</v>
      </c>
      <c r="O196" s="187">
        <v>5</v>
      </c>
      <c r="P196" s="187">
        <v>3.86</v>
      </c>
      <c r="Q196" s="217"/>
      <c r="R196" s="217"/>
      <c r="S196" s="427"/>
    </row>
    <row r="197" spans="1:19" x14ac:dyDescent="0.2">
      <c r="A197" s="426"/>
      <c r="B197" s="217"/>
      <c r="C197" s="217"/>
      <c r="D197" s="217"/>
      <c r="E197" s="217"/>
      <c r="F197" s="217"/>
      <c r="G197" s="217"/>
      <c r="H197" s="217"/>
      <c r="I197" s="217"/>
      <c r="J197" s="217"/>
      <c r="K197" s="217"/>
      <c r="L197" s="426"/>
      <c r="M197" s="187">
        <v>5</v>
      </c>
      <c r="N197" s="187">
        <v>6</v>
      </c>
      <c r="O197" s="187">
        <v>5.5</v>
      </c>
      <c r="P197" s="187">
        <v>3.96</v>
      </c>
      <c r="Q197" s="217"/>
      <c r="R197" s="217"/>
      <c r="S197" s="427"/>
    </row>
    <row r="198" spans="1:19" x14ac:dyDescent="0.2">
      <c r="A198" s="426"/>
      <c r="B198" s="222" t="s">
        <v>856</v>
      </c>
      <c r="C198" s="217"/>
      <c r="D198" s="222" t="s">
        <v>857</v>
      </c>
      <c r="E198" s="217"/>
      <c r="F198" s="217"/>
      <c r="G198" s="217"/>
      <c r="H198" s="217"/>
      <c r="I198" s="217"/>
      <c r="J198" s="217"/>
      <c r="K198" s="217"/>
      <c r="L198" s="426"/>
      <c r="M198" s="187">
        <v>6</v>
      </c>
      <c r="N198" s="187">
        <v>6.1</v>
      </c>
      <c r="O198" s="187">
        <v>6</v>
      </c>
      <c r="P198" s="187">
        <v>4.0199999999999996</v>
      </c>
      <c r="Q198" s="217"/>
      <c r="R198" s="217"/>
      <c r="S198" s="427"/>
    </row>
    <row r="199" spans="1:19" x14ac:dyDescent="0.2">
      <c r="A199" s="426"/>
      <c r="B199" s="222" t="s">
        <v>858</v>
      </c>
      <c r="C199" s="217"/>
      <c r="D199" s="187">
        <v>1</v>
      </c>
      <c r="E199" s="222" t="s">
        <v>859</v>
      </c>
      <c r="F199" s="187" t="str">
        <f>IF($Q$185=1,"USBR Stilling Basin Type I",IF($Q$185=2,"USBR Stilling Basin Type II",IF($Q$185=3,"Indian Standard Stilling Basin I",IF($Q$185=4,"USBR Stilling Basin Type IV","ERROR!!"))))</f>
        <v>Indian Standard Stilling Basin I</v>
      </c>
      <c r="G199" s="217"/>
      <c r="H199" s="217"/>
      <c r="I199" s="217"/>
      <c r="J199" s="217"/>
      <c r="K199" s="217"/>
      <c r="L199" s="426"/>
      <c r="M199" s="187">
        <v>7</v>
      </c>
      <c r="N199" s="187">
        <v>6.1</v>
      </c>
      <c r="O199" s="187">
        <v>6.5</v>
      </c>
      <c r="P199" s="187">
        <v>4.0999999999999996</v>
      </c>
      <c r="Q199" s="217"/>
      <c r="R199" s="217"/>
      <c r="S199" s="427"/>
    </row>
    <row r="200" spans="1:19" x14ac:dyDescent="0.2">
      <c r="A200" s="426"/>
      <c r="B200" s="222" t="s">
        <v>860</v>
      </c>
      <c r="C200" s="217"/>
      <c r="D200" s="187">
        <v>1.05</v>
      </c>
      <c r="E200" s="222" t="s">
        <v>861</v>
      </c>
      <c r="F200" s="217"/>
      <c r="G200" s="187">
        <f>IF(Q185=4,1.1,IF(Q185=2,1.05,1))</f>
        <v>1</v>
      </c>
      <c r="H200" s="222" t="s">
        <v>862</v>
      </c>
      <c r="I200" s="217"/>
      <c r="J200" s="217"/>
      <c r="K200" s="217"/>
      <c r="L200" s="426"/>
      <c r="M200" s="187">
        <v>8</v>
      </c>
      <c r="N200" s="187">
        <v>6.1</v>
      </c>
      <c r="O200" s="187">
        <v>7</v>
      </c>
      <c r="P200" s="187">
        <v>4.16</v>
      </c>
      <c r="Q200" s="217"/>
      <c r="R200" s="217"/>
      <c r="S200" s="427"/>
    </row>
    <row r="201" spans="1:19" x14ac:dyDescent="0.2">
      <c r="A201" s="426"/>
      <c r="B201" s="222" t="s">
        <v>863</v>
      </c>
      <c r="C201" s="217"/>
      <c r="D201" s="187">
        <v>1.1000000000000001</v>
      </c>
      <c r="E201" s="217"/>
      <c r="F201" s="217"/>
      <c r="G201" s="217"/>
      <c r="H201" s="217"/>
      <c r="I201" s="217"/>
      <c r="J201" s="217"/>
      <c r="K201" s="217"/>
      <c r="L201" s="426"/>
      <c r="M201" s="187">
        <v>9</v>
      </c>
      <c r="N201" s="187">
        <v>6.2</v>
      </c>
      <c r="O201" s="187">
        <v>7.5</v>
      </c>
      <c r="P201" s="187">
        <v>4.2</v>
      </c>
      <c r="Q201" s="217"/>
      <c r="R201" s="217"/>
      <c r="S201" s="427"/>
    </row>
    <row r="202" spans="1:19" x14ac:dyDescent="0.2">
      <c r="A202" s="426"/>
      <c r="B202" s="222" t="s">
        <v>864</v>
      </c>
      <c r="C202" s="217"/>
      <c r="D202" s="187">
        <v>1</v>
      </c>
      <c r="E202" s="217"/>
      <c r="F202" s="217"/>
      <c r="G202" s="217"/>
      <c r="H202" s="217"/>
      <c r="I202" s="217"/>
      <c r="J202" s="217"/>
      <c r="K202" s="217"/>
      <c r="L202" s="426"/>
      <c r="M202" s="187">
        <v>10</v>
      </c>
      <c r="N202" s="187">
        <v>6.2</v>
      </c>
      <c r="O202" s="187">
        <v>8</v>
      </c>
      <c r="P202" s="187">
        <v>4.22</v>
      </c>
      <c r="Q202" s="217"/>
      <c r="R202" s="217"/>
      <c r="S202" s="427"/>
    </row>
    <row r="203" spans="1:19" x14ac:dyDescent="0.2">
      <c r="A203" s="426"/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426"/>
      <c r="M203" s="187">
        <v>11</v>
      </c>
      <c r="N203" s="187">
        <v>6.1</v>
      </c>
      <c r="O203" s="187">
        <v>8.5</v>
      </c>
      <c r="P203" s="187">
        <v>4.26</v>
      </c>
      <c r="Q203" s="217"/>
      <c r="R203" s="217"/>
      <c r="S203" s="427"/>
    </row>
    <row r="204" spans="1:19" x14ac:dyDescent="0.2">
      <c r="A204" s="426"/>
      <c r="B204" s="222" t="s">
        <v>865</v>
      </c>
      <c r="C204" s="217"/>
      <c r="D204" s="187">
        <f>G200</f>
        <v>1</v>
      </c>
      <c r="E204" s="222" t="s">
        <v>866</v>
      </c>
      <c r="F204" s="187">
        <f>F188</f>
        <v>2.2193055384136118</v>
      </c>
      <c r="G204" s="222" t="s">
        <v>867</v>
      </c>
      <c r="H204" s="187">
        <f>D204*F204</f>
        <v>2.2193055384136118</v>
      </c>
      <c r="I204" s="222" t="s">
        <v>24</v>
      </c>
      <c r="J204" s="217"/>
      <c r="K204" s="217"/>
      <c r="L204" s="426"/>
      <c r="M204" s="187">
        <v>12</v>
      </c>
      <c r="N204" s="187">
        <v>6.1</v>
      </c>
      <c r="O204" s="187">
        <v>9</v>
      </c>
      <c r="P204" s="187">
        <v>4.28</v>
      </c>
      <c r="Q204" s="217"/>
      <c r="R204" s="217"/>
      <c r="S204" s="427"/>
    </row>
    <row r="205" spans="1:19" x14ac:dyDescent="0.2">
      <c r="A205" s="426"/>
      <c r="B205" s="217"/>
      <c r="C205" s="217"/>
      <c r="D205" s="217"/>
      <c r="E205" s="217"/>
      <c r="F205" s="217"/>
      <c r="G205" s="217"/>
      <c r="H205" s="217"/>
      <c r="I205" s="217"/>
      <c r="J205" s="217"/>
      <c r="K205" s="217"/>
      <c r="L205" s="426"/>
      <c r="M205" s="187">
        <v>13</v>
      </c>
      <c r="N205" s="187">
        <v>6</v>
      </c>
      <c r="O205" s="187">
        <v>9.5</v>
      </c>
      <c r="P205" s="187">
        <v>4.3</v>
      </c>
      <c r="Q205" s="217"/>
      <c r="R205" s="217"/>
      <c r="S205" s="427"/>
    </row>
    <row r="206" spans="1:19" x14ac:dyDescent="0.2">
      <c r="A206" s="426"/>
      <c r="B206" s="222" t="s">
        <v>868</v>
      </c>
      <c r="C206" s="217"/>
      <c r="D206" s="217"/>
      <c r="E206" s="217"/>
      <c r="F206" s="217"/>
      <c r="G206" s="217"/>
      <c r="H206" s="217"/>
      <c r="I206" s="187">
        <f>IF(F8&gt;=F9,F9,F8)-F17</f>
        <v>2.85</v>
      </c>
      <c r="J206" s="217" t="s">
        <v>24</v>
      </c>
      <c r="K206" s="217"/>
      <c r="L206" s="426"/>
      <c r="M206" s="187">
        <v>14</v>
      </c>
      <c r="N206" s="187">
        <v>6</v>
      </c>
      <c r="O206" s="187">
        <v>10</v>
      </c>
      <c r="P206" s="187">
        <v>4.32</v>
      </c>
      <c r="Q206" s="217"/>
      <c r="R206" s="217"/>
      <c r="S206" s="427"/>
    </row>
    <row r="207" spans="1:19" x14ac:dyDescent="0.2">
      <c r="A207" s="426"/>
      <c r="B207" s="217"/>
      <c r="C207" s="187"/>
      <c r="D207" s="217"/>
      <c r="E207" s="222"/>
      <c r="F207" s="217"/>
      <c r="G207" s="217"/>
      <c r="H207" s="217"/>
      <c r="I207" s="217"/>
      <c r="J207" s="217"/>
      <c r="K207" s="217"/>
      <c r="L207" s="426"/>
      <c r="M207" s="187">
        <v>15</v>
      </c>
      <c r="N207" s="187">
        <v>6</v>
      </c>
      <c r="O207" s="187">
        <v>10.5</v>
      </c>
      <c r="P207" s="187">
        <v>4.32</v>
      </c>
      <c r="Q207" s="217"/>
      <c r="R207" s="217"/>
      <c r="S207" s="427"/>
    </row>
    <row r="208" spans="1:19" x14ac:dyDescent="0.2">
      <c r="A208" s="426"/>
      <c r="B208" s="187" t="str">
        <f>IF(I206&gt;=H204,"TWD  &gt;=  TWD min;   Design is O.K.","TWD  &lt;  TWD min;   Design is not O.K., unless Tailwater Velocity &lt;= 1.0 m/s")</f>
        <v>TWD  &gt;=  TWD min;   Design is O.K.</v>
      </c>
      <c r="C208" s="217"/>
      <c r="D208" s="217"/>
      <c r="E208" s="217"/>
      <c r="F208" s="222"/>
      <c r="G208" s="187"/>
      <c r="H208" s="222"/>
      <c r="I208" s="217"/>
      <c r="J208" s="217"/>
      <c r="K208" s="217"/>
      <c r="L208" s="426"/>
      <c r="M208" s="187">
        <v>16</v>
      </c>
      <c r="N208" s="187">
        <v>5.9</v>
      </c>
      <c r="O208" s="187">
        <v>11</v>
      </c>
      <c r="P208" s="187">
        <v>4.34</v>
      </c>
      <c r="Q208" s="217"/>
      <c r="R208" s="217"/>
      <c r="S208" s="427"/>
    </row>
    <row r="209" spans="1:19" x14ac:dyDescent="0.2">
      <c r="A209" s="426"/>
      <c r="B209" s="187" t="str">
        <f>IF(H204&gt;=I206,"","                   (refer to the discussion on Tailwater Velocity below)")</f>
        <v xml:space="preserve">                   (refer to the discussion on Tailwater Velocity below)</v>
      </c>
      <c r="C209" s="217"/>
      <c r="D209" s="217"/>
      <c r="E209" s="217"/>
      <c r="F209" s="217"/>
      <c r="G209" s="217"/>
      <c r="H209" s="217"/>
      <c r="I209" s="217"/>
      <c r="J209" s="217"/>
      <c r="K209" s="217"/>
      <c r="L209" s="426"/>
      <c r="M209" s="187">
        <v>17</v>
      </c>
      <c r="N209" s="187">
        <v>5.8</v>
      </c>
      <c r="O209" s="187">
        <v>11.5</v>
      </c>
      <c r="P209" s="187">
        <v>4.34</v>
      </c>
      <c r="Q209" s="217"/>
      <c r="R209" s="217"/>
      <c r="S209" s="427"/>
    </row>
    <row r="210" spans="1:19" x14ac:dyDescent="0.2">
      <c r="A210" s="426"/>
      <c r="B210" s="217"/>
      <c r="C210" s="217"/>
      <c r="D210" s="217"/>
      <c r="E210" s="217"/>
      <c r="F210" s="217"/>
      <c r="G210" s="217"/>
      <c r="H210" s="217"/>
      <c r="I210" s="217"/>
      <c r="J210" s="217"/>
      <c r="K210" s="217"/>
      <c r="L210" s="426"/>
      <c r="M210" s="187">
        <v>18</v>
      </c>
      <c r="N210" s="187">
        <v>5.7</v>
      </c>
      <c r="O210" s="187">
        <v>12</v>
      </c>
      <c r="P210" s="187">
        <v>4.34</v>
      </c>
      <c r="Q210" s="217"/>
      <c r="R210" s="217"/>
      <c r="S210" s="427"/>
    </row>
    <row r="211" spans="1:19" x14ac:dyDescent="0.2">
      <c r="A211" s="426"/>
      <c r="B211" s="187" t="str">
        <f>IF(F8&gt;=F9,"LENGTH OF OUTLET (D/S) STILLING BASIN","LENGTH OF INLET (U/S) STILLING BASIN")</f>
        <v>LENGTH OF OUTLET (D/S) STILLING BASIN</v>
      </c>
      <c r="C211" s="217"/>
      <c r="D211" s="217"/>
      <c r="E211" s="217"/>
      <c r="F211" s="217"/>
      <c r="G211" s="217"/>
      <c r="H211" s="217"/>
      <c r="I211" s="217"/>
      <c r="J211" s="217"/>
      <c r="K211" s="217"/>
      <c r="L211" s="426"/>
      <c r="M211" s="187">
        <v>19</v>
      </c>
      <c r="N211" s="187">
        <v>5.5</v>
      </c>
      <c r="O211" s="187">
        <v>12.5</v>
      </c>
      <c r="P211" s="187">
        <v>4.34</v>
      </c>
      <c r="Q211" s="217"/>
      <c r="R211" s="217"/>
      <c r="S211" s="427"/>
    </row>
    <row r="212" spans="1:19" x14ac:dyDescent="0.2">
      <c r="A212" s="426"/>
      <c r="B212" s="217"/>
      <c r="C212" s="217"/>
      <c r="D212" s="217"/>
      <c r="E212" s="217"/>
      <c r="F212" s="217"/>
      <c r="G212" s="217"/>
      <c r="H212" s="217"/>
      <c r="I212" s="217"/>
      <c r="J212" s="217"/>
      <c r="K212" s="217"/>
      <c r="L212" s="426"/>
      <c r="M212" s="187">
        <v>20</v>
      </c>
      <c r="N212" s="187">
        <v>5.4</v>
      </c>
      <c r="O212" s="187">
        <v>13</v>
      </c>
      <c r="P212" s="187">
        <v>4.34</v>
      </c>
      <c r="Q212" s="217"/>
      <c r="R212" s="217"/>
      <c r="S212" s="427"/>
    </row>
    <row r="213" spans="1:19" x14ac:dyDescent="0.2">
      <c r="A213" s="426"/>
      <c r="B213" s="222" t="s">
        <v>869</v>
      </c>
      <c r="C213" s="217"/>
      <c r="D213" s="217"/>
      <c r="E213" s="217"/>
      <c r="F213" s="217"/>
      <c r="G213" s="217"/>
      <c r="H213" s="217"/>
      <c r="I213" s="217"/>
      <c r="J213" s="217"/>
      <c r="K213" s="217"/>
      <c r="L213" s="426"/>
      <c r="M213" s="217"/>
      <c r="N213" s="217"/>
      <c r="O213" s="187">
        <v>13.5</v>
      </c>
      <c r="P213" s="187">
        <v>4.32</v>
      </c>
      <c r="Q213" s="217"/>
      <c r="R213" s="217"/>
      <c r="S213" s="427"/>
    </row>
    <row r="214" spans="1:19" x14ac:dyDescent="0.2">
      <c r="A214" s="426"/>
      <c r="B214" s="222" t="s">
        <v>870</v>
      </c>
      <c r="C214" s="217"/>
      <c r="D214" s="217"/>
      <c r="E214" s="217"/>
      <c r="F214" s="217"/>
      <c r="G214" s="217"/>
      <c r="H214" s="217"/>
      <c r="I214" s="217"/>
      <c r="J214" s="217"/>
      <c r="K214" s="217"/>
      <c r="L214" s="426"/>
      <c r="M214" s="187">
        <f>TRUNC($E$216)</f>
        <v>4</v>
      </c>
      <c r="N214" s="187">
        <f>VLOOKUP($E$216,M194:N212,2)</f>
        <v>5.8</v>
      </c>
      <c r="O214" s="187">
        <v>14</v>
      </c>
      <c r="P214" s="187">
        <v>4.3</v>
      </c>
      <c r="Q214" s="217"/>
      <c r="R214" s="217"/>
      <c r="S214" s="427"/>
    </row>
    <row r="215" spans="1:19" x14ac:dyDescent="0.2">
      <c r="A215" s="426"/>
      <c r="B215" s="222"/>
      <c r="C215" s="217"/>
      <c r="D215" s="217"/>
      <c r="E215" s="217"/>
      <c r="F215" s="217"/>
      <c r="G215" s="217"/>
      <c r="H215" s="217"/>
      <c r="I215" s="217"/>
      <c r="J215" s="217"/>
      <c r="K215" s="217"/>
      <c r="L215" s="426"/>
      <c r="M215" s="187">
        <f>M214+1</f>
        <v>5</v>
      </c>
      <c r="N215" s="187">
        <f>VLOOKUP(M215,M194:N212,2)</f>
        <v>6</v>
      </c>
      <c r="O215" s="187">
        <v>14.5</v>
      </c>
      <c r="P215" s="187">
        <v>4.28</v>
      </c>
      <c r="Q215" s="217"/>
      <c r="R215" s="217"/>
      <c r="S215" s="427"/>
    </row>
    <row r="216" spans="1:19" x14ac:dyDescent="0.2">
      <c r="A216" s="426"/>
      <c r="B216" s="222" t="s">
        <v>871</v>
      </c>
      <c r="C216" s="217"/>
      <c r="D216" s="217"/>
      <c r="E216" s="187">
        <f>H169</f>
        <v>4.0533288931836964</v>
      </c>
      <c r="F216" s="217"/>
      <c r="G216" s="217"/>
      <c r="H216" s="217"/>
      <c r="I216" s="217"/>
      <c r="J216" s="217"/>
      <c r="K216" s="217"/>
      <c r="L216" s="426"/>
      <c r="M216" s="187">
        <f>$E$216</f>
        <v>4.0533288931836964</v>
      </c>
      <c r="N216" s="187">
        <f>N214+(N215-N214)*($E$216-M214)</f>
        <v>5.8106657786367393</v>
      </c>
      <c r="O216" s="217"/>
      <c r="P216" s="217"/>
      <c r="Q216" s="217"/>
      <c r="R216" s="217"/>
      <c r="S216" s="427"/>
    </row>
    <row r="217" spans="1:19" x14ac:dyDescent="0.2">
      <c r="A217" s="426"/>
      <c r="B217" s="222" t="s">
        <v>872</v>
      </c>
      <c r="C217" s="217"/>
      <c r="D217" s="187" t="str">
        <f>IF($Q$185=1,"USBR Stilling Basin Type I",IF($Q$185=2,"USBR Stilling Basin Type II",IF($Q$185=3,"Indian Standard Stilling Basin I",IF($Q$185=4,"USBR Stilling Basin Type IV","ERROR!!"))))</f>
        <v>Indian Standard Stilling Basin I</v>
      </c>
      <c r="E217" s="217"/>
      <c r="F217" s="217"/>
      <c r="G217" s="217"/>
      <c r="H217" s="217"/>
      <c r="I217" s="217"/>
      <c r="J217" s="217"/>
      <c r="K217" s="217"/>
      <c r="L217" s="426"/>
      <c r="M217" s="217"/>
      <c r="N217" s="217"/>
      <c r="O217" s="187">
        <f>TRUNC(2*$E$216)/2</f>
        <v>4</v>
      </c>
      <c r="P217" s="187">
        <f>VLOOKUP(E216,O194:P215,2)</f>
        <v>3.6</v>
      </c>
      <c r="Q217" s="217"/>
      <c r="R217" s="217"/>
      <c r="S217" s="427"/>
    </row>
    <row r="218" spans="1:19" x14ac:dyDescent="0.2">
      <c r="A218" s="426"/>
      <c r="B218" s="222" t="s">
        <v>873</v>
      </c>
      <c r="C218" s="187">
        <v>4.4000000000000004</v>
      </c>
      <c r="D218" s="217"/>
      <c r="E218" s="217"/>
      <c r="F218" s="217"/>
      <c r="G218" s="217"/>
      <c r="H218" s="217"/>
      <c r="I218" s="460"/>
      <c r="J218" s="217"/>
      <c r="K218" s="217"/>
      <c r="L218" s="426"/>
      <c r="M218" s="217"/>
      <c r="N218" s="217"/>
      <c r="O218" s="187">
        <f>O217+0.5</f>
        <v>4.5</v>
      </c>
      <c r="P218" s="187">
        <f>VLOOKUP(O218,O194:P215,2)</f>
        <v>3.74</v>
      </c>
      <c r="Q218" s="217"/>
      <c r="R218" s="217"/>
      <c r="S218" s="427"/>
    </row>
    <row r="219" spans="1:19" x14ac:dyDescent="0.2">
      <c r="A219" s="426"/>
      <c r="B219" s="217"/>
      <c r="C219" s="217"/>
      <c r="D219" s="217"/>
      <c r="E219" s="217"/>
      <c r="F219" s="217"/>
      <c r="G219" s="217"/>
      <c r="H219" s="217"/>
      <c r="I219" s="217" t="s">
        <v>1867</v>
      </c>
      <c r="J219" s="217">
        <f>H222/F220*F188*0.8</f>
        <v>2.3636363636363638</v>
      </c>
      <c r="K219" s="217"/>
      <c r="L219" s="426"/>
      <c r="M219" s="217"/>
      <c r="N219" s="217"/>
      <c r="O219" s="187">
        <f>$E$216</f>
        <v>4.0533288931836964</v>
      </c>
      <c r="P219" s="187">
        <f>P217+(P218-P217)/0.5*($E$216-O217)</f>
        <v>3.6149320900914352</v>
      </c>
      <c r="Q219" s="217"/>
      <c r="R219" s="217"/>
      <c r="S219" s="427"/>
    </row>
    <row r="220" spans="1:19" x14ac:dyDescent="0.2">
      <c r="A220" s="426"/>
      <c r="B220" s="222" t="s">
        <v>874</v>
      </c>
      <c r="C220" s="217"/>
      <c r="D220" s="217"/>
      <c r="E220" s="217"/>
      <c r="F220" s="460">
        <f>C218*F188</f>
        <v>9.7649443690198918</v>
      </c>
      <c r="G220" s="217" t="s">
        <v>24</v>
      </c>
      <c r="H220" s="217"/>
      <c r="I220" s="217" t="s">
        <v>1868</v>
      </c>
      <c r="J220" s="217">
        <v>2</v>
      </c>
      <c r="K220" s="217"/>
      <c r="L220" s="426"/>
      <c r="M220" s="217"/>
      <c r="N220" s="217"/>
      <c r="O220" s="217"/>
      <c r="P220" s="217"/>
      <c r="Q220" s="217"/>
      <c r="R220" s="217"/>
      <c r="S220" s="427"/>
    </row>
    <row r="221" spans="1:19" x14ac:dyDescent="0.2">
      <c r="A221" s="426"/>
      <c r="B221" s="222"/>
      <c r="C221" s="217"/>
      <c r="D221" s="217"/>
      <c r="E221" s="217"/>
      <c r="F221" s="1413" t="s">
        <v>2518</v>
      </c>
      <c r="G221" s="496">
        <f>F220+3</f>
        <v>12.764944369019892</v>
      </c>
      <c r="H221" s="396" t="s">
        <v>2545</v>
      </c>
      <c r="I221" s="222"/>
      <c r="J221" s="217"/>
      <c r="K221" s="217"/>
      <c r="L221" s="426"/>
      <c r="M221" s="217"/>
      <c r="N221" s="217"/>
      <c r="O221" s="217"/>
      <c r="P221" s="217"/>
      <c r="Q221" s="217"/>
      <c r="R221" s="217"/>
      <c r="S221" s="427"/>
    </row>
    <row r="222" spans="1:19" x14ac:dyDescent="0.2">
      <c r="A222" s="426"/>
      <c r="B222" s="217"/>
      <c r="C222" s="217"/>
      <c r="D222" s="217"/>
      <c r="E222" s="217"/>
      <c r="F222" s="406" t="s">
        <v>577</v>
      </c>
      <c r="G222" s="496" t="s">
        <v>875</v>
      </c>
      <c r="H222" s="478">
        <v>13</v>
      </c>
      <c r="I222" s="222" t="s">
        <v>876</v>
      </c>
      <c r="J222" s="217"/>
      <c r="K222" s="217"/>
      <c r="L222" s="426"/>
      <c r="M222" s="222" t="s">
        <v>877</v>
      </c>
      <c r="N222" s="217"/>
      <c r="O222" s="222" t="s">
        <v>878</v>
      </c>
      <c r="P222" s="217"/>
      <c r="Q222" s="217"/>
      <c r="R222" s="217"/>
      <c r="S222" s="427"/>
    </row>
    <row r="223" spans="1:19" x14ac:dyDescent="0.2">
      <c r="A223" s="426"/>
      <c r="B223" s="222"/>
      <c r="C223" s="187"/>
      <c r="D223" s="222"/>
      <c r="E223" s="187"/>
      <c r="F223" s="222"/>
      <c r="G223" s="187"/>
      <c r="H223" s="222"/>
      <c r="I223" s="217"/>
      <c r="J223" s="217"/>
      <c r="K223" s="217"/>
      <c r="L223" s="426"/>
      <c r="M223" s="217"/>
      <c r="N223" s="217"/>
      <c r="O223" s="217"/>
      <c r="P223" s="217"/>
      <c r="Q223" s="217"/>
      <c r="R223" s="217"/>
      <c r="S223" s="427"/>
    </row>
    <row r="224" spans="1:19" x14ac:dyDescent="0.2">
      <c r="A224" s="426"/>
      <c r="B224" s="222" t="s">
        <v>879</v>
      </c>
      <c r="C224" s="217"/>
      <c r="D224" s="217"/>
      <c r="E224" s="217"/>
      <c r="F224" s="217"/>
      <c r="G224" s="217"/>
      <c r="H224" s="217"/>
      <c r="I224" s="217"/>
      <c r="J224" s="217"/>
      <c r="K224" s="217"/>
      <c r="L224" s="426"/>
      <c r="M224" s="222" t="s">
        <v>852</v>
      </c>
      <c r="N224" s="222" t="s">
        <v>853</v>
      </c>
      <c r="O224" s="222" t="s">
        <v>852</v>
      </c>
      <c r="P224" s="222" t="s">
        <v>853</v>
      </c>
      <c r="Q224" s="217"/>
      <c r="R224" s="217"/>
      <c r="S224" s="427"/>
    </row>
    <row r="225" spans="1:19" x14ac:dyDescent="0.2">
      <c r="A225" s="426"/>
      <c r="B225" s="217"/>
      <c r="C225" s="217"/>
      <c r="D225" s="217"/>
      <c r="E225" s="217"/>
      <c r="F225" s="217"/>
      <c r="G225" s="217"/>
      <c r="H225" s="217"/>
      <c r="I225" s="217"/>
      <c r="J225" s="217"/>
      <c r="K225" s="217"/>
      <c r="L225" s="426"/>
      <c r="M225" s="187">
        <v>2</v>
      </c>
      <c r="N225" s="187">
        <v>4.3</v>
      </c>
      <c r="O225" s="187">
        <v>2</v>
      </c>
      <c r="P225" s="187">
        <v>3.15</v>
      </c>
      <c r="Q225" s="217"/>
      <c r="R225" s="217"/>
      <c r="S225" s="427"/>
    </row>
    <row r="226" spans="1:19" x14ac:dyDescent="0.2">
      <c r="A226" s="426"/>
      <c r="B226" s="222" t="s">
        <v>880</v>
      </c>
      <c r="C226" s="217"/>
      <c r="D226" s="217"/>
      <c r="E226" s="217"/>
      <c r="F226" s="217"/>
      <c r="G226" s="217"/>
      <c r="H226" s="217"/>
      <c r="I226" s="217"/>
      <c r="J226" s="217"/>
      <c r="K226" s="217"/>
      <c r="L226" s="426"/>
      <c r="M226" s="187">
        <v>2.5</v>
      </c>
      <c r="N226" s="187">
        <v>4.82</v>
      </c>
      <c r="O226" s="187">
        <v>2.5</v>
      </c>
      <c r="P226" s="187">
        <v>3.6</v>
      </c>
      <c r="Q226" s="217"/>
      <c r="R226" s="217"/>
      <c r="S226" s="427"/>
    </row>
    <row r="227" spans="1:19" x14ac:dyDescent="0.2">
      <c r="A227" s="426"/>
      <c r="B227" s="222" t="s">
        <v>881</v>
      </c>
      <c r="C227" s="217"/>
      <c r="D227" s="217"/>
      <c r="E227" s="217"/>
      <c r="F227" s="217"/>
      <c r="G227" s="217"/>
      <c r="H227" s="217"/>
      <c r="I227" s="217"/>
      <c r="J227" s="217"/>
      <c r="K227" s="217"/>
      <c r="L227" s="426"/>
      <c r="M227" s="187">
        <v>3</v>
      </c>
      <c r="N227" s="187">
        <v>5.26</v>
      </c>
      <c r="O227" s="187">
        <v>3</v>
      </c>
      <c r="P227" s="187">
        <v>4</v>
      </c>
      <c r="Q227" s="217"/>
      <c r="R227" s="217"/>
      <c r="S227" s="427"/>
    </row>
    <row r="228" spans="1:19" x14ac:dyDescent="0.2">
      <c r="A228" s="426"/>
      <c r="B228" s="222"/>
      <c r="C228" s="217"/>
      <c r="D228" s="217"/>
      <c r="E228" s="217"/>
      <c r="F228" s="217"/>
      <c r="G228" s="217"/>
      <c r="H228" s="217"/>
      <c r="I228" s="217"/>
      <c r="J228" s="217"/>
      <c r="K228" s="217"/>
      <c r="L228" s="426"/>
      <c r="M228" s="187">
        <v>3.5</v>
      </c>
      <c r="N228" s="187">
        <v>5.58</v>
      </c>
      <c r="O228" s="187">
        <v>3.5</v>
      </c>
      <c r="P228" s="187">
        <v>4.4000000000000004</v>
      </c>
      <c r="Q228" s="217"/>
      <c r="R228" s="217"/>
      <c r="S228" s="427"/>
    </row>
    <row r="229" spans="1:19" ht="15.75" x14ac:dyDescent="0.3">
      <c r="A229" s="426"/>
      <c r="B229" s="406" t="s">
        <v>1955</v>
      </c>
      <c r="C229" s="217"/>
      <c r="D229" s="406" t="s">
        <v>1956</v>
      </c>
      <c r="E229" s="217"/>
      <c r="F229" s="217"/>
      <c r="G229" s="217"/>
      <c r="H229" s="217"/>
      <c r="I229" s="217"/>
      <c r="J229" s="217"/>
      <c r="K229" s="217"/>
      <c r="L229" s="426"/>
      <c r="M229" s="187">
        <v>4</v>
      </c>
      <c r="N229" s="187">
        <v>5.78</v>
      </c>
      <c r="O229" s="187">
        <v>4</v>
      </c>
      <c r="P229" s="187">
        <v>4.75</v>
      </c>
      <c r="Q229" s="217"/>
      <c r="R229" s="217"/>
      <c r="S229" s="427"/>
    </row>
    <row r="230" spans="1:19" x14ac:dyDescent="0.2">
      <c r="A230" s="426"/>
      <c r="B230" s="222"/>
      <c r="C230" s="217"/>
      <c r="D230" s="217"/>
      <c r="E230" s="217"/>
      <c r="F230" s="217"/>
      <c r="G230" s="217"/>
      <c r="H230" s="217"/>
      <c r="I230" s="217"/>
      <c r="J230" s="217"/>
      <c r="K230" s="217"/>
      <c r="L230" s="426"/>
      <c r="M230" s="187">
        <v>4.5</v>
      </c>
      <c r="N230" s="187">
        <v>5.92</v>
      </c>
      <c r="O230" s="187">
        <v>4.5</v>
      </c>
      <c r="P230" s="187">
        <v>5</v>
      </c>
      <c r="Q230" s="217"/>
      <c r="R230" s="217"/>
      <c r="S230" s="427"/>
    </row>
    <row r="231" spans="1:19" ht="15.75" x14ac:dyDescent="0.3">
      <c r="A231" s="426"/>
      <c r="B231" s="406" t="s">
        <v>2500</v>
      </c>
      <c r="C231" s="217"/>
      <c r="D231" s="217"/>
      <c r="E231" s="217"/>
      <c r="F231" s="217"/>
      <c r="G231" s="217"/>
      <c r="H231" s="217">
        <f>F15+2*(F21+F26+H222)*(F22*PI()/180)</f>
        <v>6.4635197613288478</v>
      </c>
      <c r="I231" s="217" t="s">
        <v>24</v>
      </c>
      <c r="J231" s="217"/>
      <c r="K231" s="217"/>
      <c r="L231" s="426"/>
      <c r="M231" s="187">
        <v>5</v>
      </c>
      <c r="N231" s="187">
        <v>6</v>
      </c>
      <c r="O231" s="217"/>
      <c r="P231" s="217"/>
      <c r="Q231" s="217"/>
      <c r="R231" s="217"/>
      <c r="S231" s="427"/>
    </row>
    <row r="232" spans="1:19" x14ac:dyDescent="0.2">
      <c r="A232" s="426"/>
      <c r="B232" s="222"/>
      <c r="C232" s="217"/>
      <c r="D232" s="217"/>
      <c r="E232" s="217"/>
      <c r="F232" s="217"/>
      <c r="G232" s="217"/>
      <c r="H232" s="217"/>
      <c r="I232" s="217"/>
      <c r="J232" s="217"/>
      <c r="K232" s="217"/>
      <c r="L232" s="426"/>
      <c r="M232" s="217"/>
      <c r="N232" s="217"/>
      <c r="O232" s="187">
        <f>TRUNC(2*$E$216)/2</f>
        <v>4</v>
      </c>
      <c r="P232" s="187">
        <f>VLOOKUP($E$216,O225:P230,2)</f>
        <v>4.75</v>
      </c>
      <c r="Q232" s="217"/>
      <c r="R232" s="217"/>
      <c r="S232" s="427"/>
    </row>
    <row r="233" spans="1:19" ht="15.75" x14ac:dyDescent="0.3">
      <c r="A233" s="426"/>
      <c r="B233" s="217"/>
      <c r="C233" s="222" t="s">
        <v>323</v>
      </c>
      <c r="D233" s="946" t="s">
        <v>1957</v>
      </c>
      <c r="E233" s="217"/>
      <c r="F233" s="683">
        <v>5.8</v>
      </c>
      <c r="G233" s="222" t="s">
        <v>876</v>
      </c>
      <c r="H233" s="217"/>
      <c r="I233" s="217"/>
      <c r="J233" s="217"/>
      <c r="K233" s="217"/>
      <c r="L233" s="426"/>
      <c r="M233" s="187">
        <f>TRUNC(2*$E$216)/2</f>
        <v>4</v>
      </c>
      <c r="N233" s="187">
        <f>VLOOKUP($E$216,M225:N231,2)</f>
        <v>5.78</v>
      </c>
      <c r="O233" s="187">
        <f>O232+0.5</f>
        <v>4.5</v>
      </c>
      <c r="P233" s="187">
        <f>VLOOKUP(O233,O225:P230,2)</f>
        <v>5</v>
      </c>
      <c r="Q233" s="217"/>
      <c r="R233" s="217"/>
      <c r="S233" s="427"/>
    </row>
    <row r="234" spans="1:19" x14ac:dyDescent="0.2">
      <c r="A234" s="426"/>
      <c r="B234" s="222"/>
      <c r="C234" s="217"/>
      <c r="D234" s="217"/>
      <c r="E234" s="217"/>
      <c r="F234" s="187"/>
      <c r="G234" s="222"/>
      <c r="H234" s="217"/>
      <c r="I234" s="217"/>
      <c r="J234" s="217"/>
      <c r="K234" s="217"/>
      <c r="L234" s="426"/>
      <c r="M234" s="187">
        <f>M233+0.5</f>
        <v>4.5</v>
      </c>
      <c r="N234" s="187">
        <f>VLOOKUP(M234,M225:N231,2)</f>
        <v>5.92</v>
      </c>
      <c r="O234" s="187">
        <f>$E$216</f>
        <v>4.0533288931836964</v>
      </c>
      <c r="P234" s="187">
        <f>P232+(P233-P232)/0.5*($E$216-O232)</f>
        <v>4.7766644465918482</v>
      </c>
      <c r="Q234" s="217"/>
      <c r="R234" s="217"/>
      <c r="S234" s="427"/>
    </row>
    <row r="235" spans="1:19" x14ac:dyDescent="0.2">
      <c r="A235" s="426"/>
      <c r="B235" s="222" t="s">
        <v>885</v>
      </c>
      <c r="C235" s="217"/>
      <c r="D235" s="217"/>
      <c r="E235" s="217"/>
      <c r="F235" s="217"/>
      <c r="G235" s="187">
        <f>I206</f>
        <v>2.85</v>
      </c>
      <c r="H235" s="222" t="s">
        <v>24</v>
      </c>
      <c r="I235" s="217"/>
      <c r="J235" s="217"/>
      <c r="K235" s="217"/>
      <c r="L235" s="426"/>
      <c r="M235" s="187">
        <f>$E$216</f>
        <v>4.0533288931836964</v>
      </c>
      <c r="N235" s="187">
        <f>N233+(N234-N233)/0.5*($E$216-M233)</f>
        <v>5.794932090091435</v>
      </c>
      <c r="O235" s="217"/>
      <c r="P235" s="217"/>
      <c r="Q235" s="217"/>
      <c r="R235" s="217"/>
      <c r="S235" s="427"/>
    </row>
    <row r="236" spans="1:19" x14ac:dyDescent="0.2">
      <c r="A236" s="426"/>
      <c r="B236" s="222" t="s">
        <v>886</v>
      </c>
      <c r="C236" s="217"/>
      <c r="D236" s="217"/>
      <c r="E236" s="217"/>
      <c r="F236" s="187">
        <f>F24</f>
        <v>2</v>
      </c>
      <c r="G236" s="222" t="s">
        <v>726</v>
      </c>
      <c r="H236" s="217"/>
      <c r="I236" s="217"/>
      <c r="J236" s="217"/>
      <c r="K236" s="217"/>
      <c r="L236" s="426"/>
      <c r="M236" s="217"/>
      <c r="N236" s="217"/>
      <c r="O236" s="217"/>
      <c r="P236" s="217"/>
      <c r="Q236" s="217"/>
      <c r="R236" s="217"/>
      <c r="S236" s="427"/>
    </row>
    <row r="237" spans="1:19" x14ac:dyDescent="0.2">
      <c r="A237" s="426"/>
      <c r="B237" s="217"/>
      <c r="C237" s="217"/>
      <c r="D237" s="217"/>
      <c r="E237" s="217"/>
      <c r="F237" s="217"/>
      <c r="G237" s="217"/>
      <c r="H237" s="217"/>
      <c r="I237" s="217"/>
      <c r="J237" s="217"/>
      <c r="K237" s="217"/>
      <c r="L237" s="426"/>
      <c r="M237" s="222" t="s">
        <v>887</v>
      </c>
      <c r="N237" s="217"/>
      <c r="O237" s="217"/>
      <c r="P237" s="217"/>
      <c r="Q237" s="217"/>
      <c r="R237" s="407">
        <v>12</v>
      </c>
      <c r="S237" s="427"/>
    </row>
    <row r="238" spans="1:19" x14ac:dyDescent="0.2">
      <c r="A238" s="426"/>
      <c r="B238" s="222" t="s">
        <v>888</v>
      </c>
      <c r="C238" s="217"/>
      <c r="D238" s="217"/>
      <c r="E238" s="217"/>
      <c r="F238" s="217">
        <f>F233*G235+F236*G235^2</f>
        <v>32.775000000000006</v>
      </c>
      <c r="G238" s="222" t="s">
        <v>765</v>
      </c>
      <c r="H238" s="217"/>
      <c r="I238" s="217"/>
      <c r="J238" s="217"/>
      <c r="K238" s="217"/>
      <c r="L238" s="426"/>
      <c r="M238" s="222" t="s">
        <v>889</v>
      </c>
      <c r="N238" s="217"/>
      <c r="O238" s="217"/>
      <c r="P238" s="217"/>
      <c r="Q238" s="217"/>
      <c r="R238" s="217"/>
      <c r="S238" s="427"/>
    </row>
    <row r="239" spans="1:19" x14ac:dyDescent="0.2">
      <c r="A239" s="426"/>
      <c r="B239" s="222"/>
      <c r="C239" s="187"/>
      <c r="D239" s="222"/>
      <c r="E239" s="187"/>
      <c r="F239" s="222"/>
      <c r="G239" s="187"/>
      <c r="H239" s="222"/>
      <c r="I239" s="187"/>
      <c r="J239" s="222"/>
      <c r="K239" s="217"/>
      <c r="L239" s="426"/>
      <c r="M239" s="217"/>
      <c r="N239" s="217"/>
      <c r="O239" s="217"/>
      <c r="P239" s="217"/>
      <c r="Q239" s="217"/>
      <c r="R239" s="217"/>
      <c r="S239" s="427"/>
    </row>
    <row r="240" spans="1:19" x14ac:dyDescent="0.2">
      <c r="A240" s="426"/>
      <c r="B240" s="222" t="s">
        <v>890</v>
      </c>
      <c r="C240" s="187"/>
      <c r="D240" s="217"/>
      <c r="E240" s="217"/>
      <c r="F240" s="217">
        <f>P121/F238</f>
        <v>0.35983255814771464</v>
      </c>
      <c r="G240" s="222" t="s">
        <v>828</v>
      </c>
      <c r="H240" s="217"/>
      <c r="I240" s="217"/>
      <c r="J240" s="217"/>
      <c r="K240" s="217"/>
      <c r="L240" s="426"/>
      <c r="M240" s="217"/>
      <c r="N240" s="217"/>
      <c r="O240" s="217"/>
      <c r="P240" s="217"/>
      <c r="Q240" s="217"/>
      <c r="R240" s="217"/>
      <c r="S240" s="427"/>
    </row>
    <row r="241" spans="1:19" ht="13.5" thickBot="1" x14ac:dyDescent="0.25">
      <c r="A241" s="429"/>
      <c r="B241" s="481" t="str">
        <f>IF(F240&lt;=1,"V3  &lt;=  1.0 m/sec;  Design is O.K.","V3  &gt;  1.0 m/sec;  Design is Not O.K.")</f>
        <v>V3  &lt;=  1.0 m/sec;  Design is O.K.</v>
      </c>
      <c r="C241" s="430"/>
      <c r="D241" s="430"/>
      <c r="E241" s="430"/>
      <c r="F241" s="482"/>
      <c r="G241" s="430"/>
      <c r="H241" s="430"/>
      <c r="I241" s="430"/>
      <c r="J241" s="465"/>
      <c r="K241" s="465" t="s">
        <v>2456</v>
      </c>
      <c r="L241" s="426"/>
      <c r="M241" s="222" t="s">
        <v>891</v>
      </c>
      <c r="N241" s="217"/>
      <c r="O241" s="217"/>
      <c r="P241" s="217"/>
      <c r="Q241" s="217"/>
      <c r="R241" s="407">
        <f>F233</f>
        <v>5.8</v>
      </c>
      <c r="S241" s="427"/>
    </row>
    <row r="242" spans="1:19" x14ac:dyDescent="0.2">
      <c r="A242" s="217"/>
      <c r="B242" s="222"/>
      <c r="C242" s="217"/>
      <c r="D242" s="187"/>
      <c r="E242" s="217"/>
      <c r="F242" s="453"/>
      <c r="G242" s="217"/>
      <c r="H242" s="217"/>
      <c r="I242" s="217"/>
      <c r="J242" s="217"/>
      <c r="K242" s="217"/>
      <c r="L242" s="426"/>
      <c r="M242" s="222" t="s">
        <v>892</v>
      </c>
      <c r="N242" s="217"/>
      <c r="O242" s="217"/>
      <c r="P242" s="217"/>
      <c r="Q242" s="217"/>
      <c r="R242" s="217"/>
      <c r="S242" s="427"/>
    </row>
    <row r="243" spans="1:19" x14ac:dyDescent="0.2">
      <c r="A243" s="217"/>
      <c r="B243" s="222" t="s">
        <v>893</v>
      </c>
      <c r="C243" s="217"/>
      <c r="D243" s="217"/>
      <c r="E243" s="217"/>
      <c r="F243" s="483"/>
      <c r="G243" s="217"/>
      <c r="H243" s="217"/>
      <c r="I243" s="217"/>
      <c r="J243" s="217"/>
      <c r="K243" s="217"/>
      <c r="L243" s="426"/>
      <c r="M243" s="217"/>
      <c r="N243" s="217"/>
      <c r="O243" s="217"/>
      <c r="P243" s="217"/>
      <c r="Q243" s="217"/>
      <c r="R243" s="217"/>
      <c r="S243" s="427"/>
    </row>
    <row r="244" spans="1:19" ht="13.5" thickBot="1" x14ac:dyDescent="0.25">
      <c r="A244" s="217"/>
      <c r="B244" s="222"/>
      <c r="C244" s="217"/>
      <c r="D244" s="187"/>
      <c r="E244" s="217"/>
      <c r="F244" s="395"/>
      <c r="G244" s="217"/>
      <c r="H244" s="217"/>
      <c r="I244" s="217"/>
      <c r="J244" s="217"/>
      <c r="K244" s="217"/>
      <c r="L244" s="429"/>
      <c r="M244" s="430"/>
      <c r="N244" s="430"/>
      <c r="O244" s="430"/>
      <c r="P244" s="430"/>
      <c r="Q244" s="430"/>
      <c r="R244" s="430"/>
      <c r="S244" s="489" t="s">
        <v>2458</v>
      </c>
    </row>
    <row r="245" spans="1:19" x14ac:dyDescent="0.2">
      <c r="A245" s="217"/>
      <c r="B245" s="222" t="s">
        <v>1845</v>
      </c>
      <c r="C245" s="187"/>
      <c r="D245" s="222"/>
      <c r="E245" s="217"/>
      <c r="F245" s="217"/>
      <c r="G245" s="217"/>
      <c r="H245" s="217"/>
      <c r="I245" s="217"/>
      <c r="J245" s="217"/>
      <c r="K245" s="217"/>
    </row>
    <row r="246" spans="1:19" x14ac:dyDescent="0.2">
      <c r="A246" s="217"/>
      <c r="B246" s="217"/>
      <c r="C246" s="217"/>
      <c r="D246" s="217"/>
      <c r="E246" s="217"/>
      <c r="F246" s="217"/>
      <c r="G246" s="217"/>
      <c r="H246" s="217"/>
      <c r="I246" s="217"/>
      <c r="J246" s="217"/>
      <c r="K246" s="217"/>
    </row>
    <row r="247" spans="1:19" x14ac:dyDescent="0.2">
      <c r="A247" s="217"/>
      <c r="B247" s="217" t="s">
        <v>894</v>
      </c>
      <c r="C247" s="187" t="str">
        <f>IF(C76&gt;1.5,"Q(T3)/B3(r/s)","Q(T5)/B3(r/s)")</f>
        <v>Q(T3)/B3(r/s)</v>
      </c>
      <c r="D247" s="217"/>
      <c r="E247" s="217"/>
      <c r="F247" s="217">
        <f>P121/F233</f>
        <v>2.0333641540157501</v>
      </c>
      <c r="G247" s="222" t="s">
        <v>769</v>
      </c>
      <c r="H247" s="217"/>
      <c r="I247" s="217"/>
      <c r="J247" s="217"/>
      <c r="K247" s="217"/>
    </row>
    <row r="248" spans="1:19" x14ac:dyDescent="0.2">
      <c r="A248" s="217"/>
      <c r="B248" s="217"/>
      <c r="C248" s="217"/>
      <c r="D248" s="217"/>
      <c r="E248" s="217"/>
      <c r="F248" s="217"/>
      <c r="G248" s="217"/>
      <c r="H248" s="676" t="s">
        <v>1890</v>
      </c>
      <c r="I248" s="217"/>
      <c r="J248" s="217">
        <v>0.02</v>
      </c>
      <c r="K248" s="395" t="s">
        <v>43</v>
      </c>
    </row>
    <row r="249" spans="1:19" ht="14.25" x14ac:dyDescent="0.2">
      <c r="A249" s="217"/>
      <c r="B249" s="222" t="s">
        <v>895</v>
      </c>
      <c r="C249" s="217"/>
      <c r="D249" s="217"/>
      <c r="E249" s="187">
        <f>J249</f>
        <v>0.24890158697766473</v>
      </c>
      <c r="F249" s="222" t="s">
        <v>896</v>
      </c>
      <c r="G249" s="217"/>
      <c r="H249" s="395" t="s">
        <v>1891</v>
      </c>
      <c r="I249" s="217"/>
      <c r="J249" s="217">
        <f>1.76*J248^0.5</f>
        <v>0.24890158697766473</v>
      </c>
      <c r="K249" s="217"/>
    </row>
    <row r="250" spans="1:19" x14ac:dyDescent="0.2">
      <c r="A250" s="217"/>
      <c r="B250" s="222"/>
      <c r="C250" s="217"/>
      <c r="D250" s="217"/>
      <c r="E250" s="217"/>
      <c r="F250" s="217"/>
      <c r="G250" s="217"/>
      <c r="H250" s="217"/>
      <c r="I250" s="217"/>
      <c r="J250" s="217"/>
      <c r="K250" s="217"/>
    </row>
    <row r="251" spans="1:19" x14ac:dyDescent="0.2">
      <c r="A251" s="217"/>
      <c r="B251" s="217" t="s">
        <v>897</v>
      </c>
      <c r="C251" s="217"/>
      <c r="D251" s="217"/>
      <c r="E251" s="217"/>
      <c r="F251" s="217">
        <f>1.35*(F247^2/E249)^0.33</f>
        <v>3.4124527485326164</v>
      </c>
      <c r="G251" s="217"/>
      <c r="H251" s="217"/>
      <c r="I251" s="217"/>
      <c r="J251" s="217"/>
      <c r="K251" s="217"/>
    </row>
    <row r="252" spans="1:19" x14ac:dyDescent="0.2">
      <c r="A252" s="217"/>
      <c r="B252" s="217"/>
      <c r="C252" s="217"/>
      <c r="D252" s="217"/>
      <c r="E252" s="217"/>
      <c r="F252" s="217"/>
      <c r="G252" s="217"/>
      <c r="H252" s="217"/>
      <c r="I252" s="217"/>
      <c r="J252" s="217"/>
      <c r="K252" s="217"/>
    </row>
    <row r="253" spans="1:19" x14ac:dyDescent="0.2">
      <c r="A253" s="217"/>
      <c r="B253" s="475" t="s">
        <v>1846</v>
      </c>
      <c r="C253" s="217"/>
      <c r="D253" s="217"/>
      <c r="E253" s="249"/>
      <c r="F253" s="187">
        <f>1.25*F251</f>
        <v>4.2655659356657702</v>
      </c>
      <c r="G253" s="222" t="s">
        <v>898</v>
      </c>
      <c r="H253" s="222"/>
      <c r="I253" s="217"/>
      <c r="J253" s="217"/>
      <c r="K253" s="217"/>
    </row>
    <row r="254" spans="1:19" x14ac:dyDescent="0.2">
      <c r="A254" s="217"/>
      <c r="B254" s="217"/>
      <c r="C254" s="217"/>
      <c r="D254" s="217"/>
      <c r="E254" s="249"/>
      <c r="F254" s="187"/>
      <c r="G254" s="217"/>
      <c r="H254" s="217"/>
      <c r="I254" s="217"/>
      <c r="J254" s="217"/>
      <c r="K254" s="217"/>
    </row>
    <row r="255" spans="1:19" x14ac:dyDescent="0.2">
      <c r="A255" s="217"/>
      <c r="B255" s="222" t="s">
        <v>1847</v>
      </c>
      <c r="C255" s="217"/>
      <c r="D255" s="217"/>
      <c r="E255" s="249"/>
      <c r="F255" s="187">
        <f>1.5*F251</f>
        <v>5.118679122798925</v>
      </c>
      <c r="G255" s="222" t="s">
        <v>899</v>
      </c>
      <c r="H255" s="222"/>
      <c r="I255" s="217"/>
      <c r="J255" s="217"/>
      <c r="K255" s="217"/>
    </row>
    <row r="256" spans="1:19" x14ac:dyDescent="0.2">
      <c r="A256" s="217"/>
      <c r="B256" s="217"/>
      <c r="C256" s="217"/>
      <c r="D256" s="217"/>
      <c r="E256" s="217"/>
      <c r="F256" s="217"/>
      <c r="G256" s="217"/>
      <c r="H256" s="217"/>
      <c r="I256" s="217"/>
      <c r="J256" s="217"/>
      <c r="K256" s="217"/>
    </row>
    <row r="257" spans="1:16" x14ac:dyDescent="0.2">
      <c r="A257" s="217"/>
      <c r="B257" s="222" t="s">
        <v>900</v>
      </c>
      <c r="C257" s="222"/>
      <c r="D257" s="217"/>
      <c r="E257" s="217"/>
      <c r="F257" s="222"/>
      <c r="G257" s="217"/>
      <c r="H257" s="217">
        <f>F253-(H72+F14-F18)</f>
        <v>-0.44443406433422883</v>
      </c>
      <c r="I257" s="217" t="s">
        <v>24</v>
      </c>
      <c r="J257" s="217"/>
      <c r="K257" s="217"/>
    </row>
    <row r="258" spans="1:16" x14ac:dyDescent="0.2">
      <c r="A258" s="217"/>
      <c r="B258" s="217"/>
      <c r="C258" s="217"/>
      <c r="D258" s="217"/>
      <c r="E258" s="217"/>
      <c r="F258" s="217"/>
      <c r="G258" s="217"/>
      <c r="H258" s="217"/>
      <c r="I258" s="217"/>
      <c r="J258" s="217"/>
      <c r="K258" s="217"/>
    </row>
    <row r="259" spans="1:16" x14ac:dyDescent="0.2">
      <c r="A259" s="217"/>
      <c r="B259" s="217"/>
      <c r="C259" s="399" t="s">
        <v>577</v>
      </c>
      <c r="D259" s="187">
        <f>ABS(ROUND(IF(P260=0,H257,P260),1))</f>
        <v>3</v>
      </c>
      <c r="E259" s="222" t="s">
        <v>24</v>
      </c>
      <c r="F259" s="222" t="s">
        <v>901</v>
      </c>
      <c r="G259" s="217"/>
      <c r="H259" s="217"/>
      <c r="I259" s="217"/>
      <c r="J259" s="217"/>
      <c r="K259" s="217"/>
      <c r="M259" s="171" t="s">
        <v>902</v>
      </c>
    </row>
    <row r="260" spans="1:16" x14ac:dyDescent="0.2">
      <c r="A260" s="217"/>
      <c r="B260" s="222" t="s">
        <v>903</v>
      </c>
      <c r="C260" s="222"/>
      <c r="D260" s="217"/>
      <c r="E260" s="217"/>
      <c r="F260" s="217"/>
      <c r="G260" s="217"/>
      <c r="H260" s="217"/>
      <c r="I260" s="399">
        <f>F255-F188</f>
        <v>2.8993735843853132</v>
      </c>
      <c r="J260" s="222" t="s">
        <v>24</v>
      </c>
      <c r="K260" s="217"/>
      <c r="M260" s="171" t="s">
        <v>904</v>
      </c>
      <c r="P260" s="173">
        <v>3</v>
      </c>
    </row>
    <row r="261" spans="1:16" x14ac:dyDescent="0.2">
      <c r="A261" s="217"/>
      <c r="B261" s="217"/>
      <c r="C261" s="217"/>
      <c r="D261" s="217"/>
      <c r="E261" s="485"/>
      <c r="F261" s="217"/>
      <c r="G261" s="222"/>
      <c r="H261" s="217"/>
      <c r="I261" s="217"/>
      <c r="J261" s="217"/>
      <c r="K261" s="217"/>
    </row>
    <row r="262" spans="1:16" x14ac:dyDescent="0.2">
      <c r="A262" s="217"/>
      <c r="B262" s="217"/>
      <c r="C262" s="399" t="s">
        <v>577</v>
      </c>
      <c r="D262" s="187">
        <f>ABS(ROUND(IF(P264=0,I260,P264),1))</f>
        <v>3</v>
      </c>
      <c r="E262" s="222" t="s">
        <v>24</v>
      </c>
      <c r="F262" s="222" t="s">
        <v>901</v>
      </c>
      <c r="G262" s="217"/>
      <c r="H262" s="217"/>
      <c r="I262" s="217"/>
      <c r="J262" s="217"/>
      <c r="K262" s="217"/>
    </row>
    <row r="263" spans="1:16" x14ac:dyDescent="0.2">
      <c r="A263" s="217"/>
      <c r="B263" s="217"/>
      <c r="C263" s="217"/>
      <c r="D263" s="217"/>
      <c r="E263" s="217"/>
      <c r="F263" s="217"/>
      <c r="G263" s="217"/>
      <c r="H263" s="217"/>
      <c r="I263" s="217"/>
      <c r="J263" s="217"/>
      <c r="K263" s="217"/>
      <c r="M263" s="171" t="s">
        <v>902</v>
      </c>
    </row>
    <row r="264" spans="1:16" x14ac:dyDescent="0.2">
      <c r="A264" s="217"/>
      <c r="B264" s="217"/>
      <c r="C264" s="475" t="s">
        <v>905</v>
      </c>
      <c r="D264" s="217"/>
      <c r="E264" s="460">
        <f>D259</f>
        <v>3</v>
      </c>
      <c r="F264" s="217" t="s">
        <v>24</v>
      </c>
      <c r="G264" s="217"/>
      <c r="H264" s="217"/>
      <c r="I264" s="217"/>
      <c r="J264" s="217"/>
      <c r="K264" s="217"/>
      <c r="M264" s="171" t="s">
        <v>906</v>
      </c>
      <c r="P264" s="173">
        <v>3</v>
      </c>
    </row>
    <row r="265" spans="1:16" x14ac:dyDescent="0.2">
      <c r="A265" s="217"/>
      <c r="B265" s="217"/>
      <c r="C265" s="475" t="s">
        <v>907</v>
      </c>
      <c r="D265" s="217"/>
      <c r="E265" s="460">
        <f>D262</f>
        <v>3</v>
      </c>
      <c r="F265" s="217" t="s">
        <v>24</v>
      </c>
      <c r="G265" s="217"/>
      <c r="H265" s="217"/>
      <c r="I265" s="217"/>
      <c r="J265" s="217"/>
      <c r="K265" s="217"/>
    </row>
    <row r="266" spans="1:16" x14ac:dyDescent="0.2">
      <c r="A266" s="217"/>
      <c r="B266" s="217"/>
      <c r="C266" s="217"/>
      <c r="D266" s="217"/>
      <c r="E266" s="217"/>
      <c r="F266" s="217"/>
      <c r="G266" s="217"/>
      <c r="H266" s="217"/>
      <c r="I266" s="217"/>
      <c r="J266" s="217"/>
      <c r="K266" s="217"/>
    </row>
    <row r="267" spans="1:16" x14ac:dyDescent="0.2">
      <c r="A267" s="217"/>
      <c r="B267" s="222" t="s">
        <v>908</v>
      </c>
      <c r="C267" s="217"/>
      <c r="D267" s="217"/>
      <c r="E267" s="217"/>
      <c r="F267" s="217"/>
      <c r="G267" s="217"/>
      <c r="H267" s="217"/>
      <c r="I267" s="217"/>
      <c r="J267" s="217"/>
      <c r="K267" s="217"/>
    </row>
    <row r="268" spans="1:16" x14ac:dyDescent="0.2">
      <c r="A268" s="217"/>
      <c r="B268" s="217"/>
      <c r="C268" s="217"/>
      <c r="D268" s="217"/>
      <c r="E268" s="217"/>
      <c r="F268" s="217"/>
      <c r="G268" s="217"/>
      <c r="H268" s="217"/>
      <c r="I268" s="217"/>
      <c r="J268" s="217"/>
      <c r="K268" s="217"/>
    </row>
    <row r="269" spans="1:16" x14ac:dyDescent="0.2">
      <c r="A269" s="217"/>
      <c r="B269" s="222" t="s">
        <v>909</v>
      </c>
      <c r="C269" s="217"/>
      <c r="D269" s="217"/>
      <c r="E269" s="217"/>
      <c r="F269" s="217"/>
      <c r="G269" s="217"/>
      <c r="H269" s="217"/>
      <c r="I269" s="217"/>
      <c r="J269" s="217"/>
      <c r="K269" s="217"/>
    </row>
    <row r="270" spans="1:16" x14ac:dyDescent="0.2">
      <c r="A270" s="217"/>
      <c r="B270" s="222" t="s">
        <v>910</v>
      </c>
      <c r="C270" s="217"/>
      <c r="D270" s="217"/>
      <c r="E270" s="217"/>
      <c r="F270" s="217"/>
      <c r="G270" s="217"/>
      <c r="H270" s="217"/>
      <c r="I270" s="217"/>
      <c r="J270" s="217"/>
      <c r="K270" s="217"/>
    </row>
    <row r="271" spans="1:16" x14ac:dyDescent="0.2">
      <c r="A271" s="217"/>
      <c r="B271" s="217"/>
      <c r="C271" s="217"/>
      <c r="D271" s="217"/>
      <c r="E271" s="217"/>
      <c r="F271" s="217"/>
      <c r="G271" s="217"/>
      <c r="H271" s="217"/>
      <c r="I271" s="217"/>
      <c r="J271" s="217"/>
      <c r="K271" s="217"/>
    </row>
    <row r="272" spans="1:16" x14ac:dyDescent="0.2">
      <c r="A272" s="217"/>
      <c r="B272" s="486" t="s">
        <v>911</v>
      </c>
      <c r="C272" s="217"/>
      <c r="D272" s="217"/>
      <c r="E272" s="217"/>
      <c r="F272" s="217"/>
      <c r="G272" s="217"/>
      <c r="H272" s="217"/>
      <c r="I272" s="217"/>
      <c r="J272" s="217"/>
      <c r="K272" s="217"/>
    </row>
    <row r="273" spans="1:11" x14ac:dyDescent="0.2">
      <c r="A273" s="217"/>
      <c r="B273" s="222"/>
      <c r="C273" s="217"/>
      <c r="D273" s="217"/>
      <c r="E273" s="217"/>
      <c r="F273" s="217"/>
      <c r="G273" s="217"/>
      <c r="H273" s="217"/>
      <c r="I273" s="217"/>
      <c r="J273" s="217"/>
      <c r="K273" s="217"/>
    </row>
    <row r="274" spans="1:11" x14ac:dyDescent="0.2">
      <c r="A274" s="217"/>
      <c r="B274" s="475" t="s">
        <v>912</v>
      </c>
      <c r="C274" s="217"/>
      <c r="D274" s="217"/>
      <c r="E274" s="217"/>
      <c r="F274" s="217"/>
      <c r="G274" s="217"/>
      <c r="H274" s="217"/>
      <c r="I274" s="217">
        <f>1*E264</f>
        <v>3</v>
      </c>
      <c r="J274" s="217" t="s">
        <v>24</v>
      </c>
      <c r="K274" s="217"/>
    </row>
    <row r="275" spans="1:11" x14ac:dyDescent="0.2">
      <c r="A275" s="217"/>
      <c r="B275" s="217"/>
      <c r="C275" s="217"/>
      <c r="D275" s="217"/>
      <c r="E275" s="222" t="s">
        <v>913</v>
      </c>
      <c r="F275" s="187">
        <v>6</v>
      </c>
      <c r="G275" s="222" t="s">
        <v>24</v>
      </c>
      <c r="H275" s="222" t="s">
        <v>914</v>
      </c>
      <c r="I275" s="217"/>
      <c r="J275" s="217"/>
      <c r="K275" s="217"/>
    </row>
    <row r="276" spans="1:11" x14ac:dyDescent="0.2">
      <c r="A276" s="217"/>
      <c r="B276" s="217"/>
      <c r="C276" s="217"/>
      <c r="D276" s="217"/>
      <c r="E276" s="217"/>
      <c r="F276" s="217"/>
      <c r="G276" s="217"/>
      <c r="H276" s="217"/>
      <c r="I276" s="217"/>
      <c r="J276" s="217"/>
      <c r="K276" s="217"/>
    </row>
    <row r="277" spans="1:11" x14ac:dyDescent="0.2">
      <c r="A277" s="217"/>
      <c r="B277" s="475" t="s">
        <v>915</v>
      </c>
      <c r="C277" s="217"/>
      <c r="D277" s="217"/>
      <c r="E277" s="217"/>
      <c r="F277" s="217"/>
      <c r="G277" s="217"/>
      <c r="H277" s="217"/>
      <c r="I277" s="217">
        <f>1.5*E264</f>
        <v>4.5</v>
      </c>
      <c r="J277" s="217" t="s">
        <v>24</v>
      </c>
      <c r="K277" s="217"/>
    </row>
    <row r="278" spans="1:11" x14ac:dyDescent="0.2">
      <c r="A278" s="217"/>
      <c r="B278" s="217"/>
      <c r="C278" s="217"/>
      <c r="D278" s="217"/>
      <c r="E278" s="222" t="s">
        <v>913</v>
      </c>
      <c r="F278" s="187">
        <v>5</v>
      </c>
      <c r="G278" s="222" t="s">
        <v>24</v>
      </c>
      <c r="H278" s="222" t="s">
        <v>914</v>
      </c>
      <c r="I278" s="217"/>
      <c r="J278" s="217"/>
      <c r="K278" s="217"/>
    </row>
    <row r="279" spans="1:11" x14ac:dyDescent="0.2">
      <c r="A279" s="217"/>
      <c r="B279" s="217"/>
      <c r="C279" s="217"/>
      <c r="D279" s="217"/>
      <c r="E279" s="475"/>
      <c r="F279" s="187"/>
      <c r="G279" s="222"/>
      <c r="H279" s="217"/>
      <c r="I279" s="217"/>
      <c r="J279" s="217"/>
      <c r="K279" s="217"/>
    </row>
    <row r="280" spans="1:11" x14ac:dyDescent="0.2">
      <c r="A280" s="217"/>
      <c r="B280" s="486" t="s">
        <v>916</v>
      </c>
      <c r="C280" s="217"/>
      <c r="D280" s="217"/>
      <c r="E280" s="217"/>
      <c r="F280" s="217"/>
      <c r="G280" s="217"/>
      <c r="H280" s="217"/>
      <c r="I280" s="217"/>
      <c r="J280" s="217"/>
      <c r="K280" s="217"/>
    </row>
    <row r="281" spans="1:11" x14ac:dyDescent="0.2">
      <c r="A281" s="217"/>
      <c r="B281" s="222"/>
      <c r="C281" s="217"/>
      <c r="D281" s="217"/>
      <c r="E281" s="217"/>
      <c r="F281" s="217"/>
      <c r="G281" s="217"/>
      <c r="H281" s="217"/>
      <c r="I281" s="217"/>
      <c r="J281" s="217"/>
      <c r="K281" s="217"/>
    </row>
    <row r="282" spans="1:11" x14ac:dyDescent="0.2">
      <c r="A282" s="217"/>
      <c r="B282" s="222" t="s">
        <v>917</v>
      </c>
      <c r="C282" s="217"/>
      <c r="D282" s="217"/>
      <c r="E282" s="217"/>
      <c r="F282" s="217"/>
      <c r="G282" s="217"/>
      <c r="H282" s="217"/>
      <c r="I282" s="217">
        <f>1.5*E265</f>
        <v>4.5</v>
      </c>
      <c r="J282" s="217" t="s">
        <v>24</v>
      </c>
      <c r="K282" s="217"/>
    </row>
    <row r="283" spans="1:11" x14ac:dyDescent="0.2">
      <c r="A283" s="217"/>
      <c r="B283" s="217"/>
      <c r="C283" s="217"/>
      <c r="D283" s="217"/>
      <c r="E283" s="222" t="s">
        <v>918</v>
      </c>
      <c r="F283" s="187">
        <v>6</v>
      </c>
      <c r="G283" s="222" t="s">
        <v>24</v>
      </c>
      <c r="H283" s="222" t="s">
        <v>914</v>
      </c>
      <c r="I283" s="217"/>
      <c r="J283" s="217"/>
      <c r="K283" s="217"/>
    </row>
    <row r="284" spans="1:11" x14ac:dyDescent="0.2">
      <c r="A284" s="217"/>
      <c r="B284" s="217"/>
      <c r="C284" s="217"/>
      <c r="D284" s="217"/>
      <c r="E284" s="475"/>
      <c r="F284" s="187"/>
      <c r="G284" s="249"/>
      <c r="H284" s="187"/>
      <c r="I284" s="217"/>
      <c r="J284" s="217"/>
      <c r="K284" s="217"/>
    </row>
    <row r="285" spans="1:11" x14ac:dyDescent="0.2">
      <c r="A285" s="217"/>
      <c r="B285" s="222" t="s">
        <v>919</v>
      </c>
      <c r="C285" s="217"/>
      <c r="D285" s="217"/>
      <c r="E285" s="217"/>
      <c r="F285" s="217"/>
      <c r="G285" s="217"/>
      <c r="H285" s="217"/>
      <c r="I285" s="217">
        <f>1.5*E265</f>
        <v>4.5</v>
      </c>
      <c r="J285" s="217" t="s">
        <v>24</v>
      </c>
      <c r="K285" s="217"/>
    </row>
    <row r="286" spans="1:11" x14ac:dyDescent="0.2">
      <c r="A286" s="217"/>
      <c r="B286" s="217"/>
      <c r="C286" s="217"/>
      <c r="D286" s="217"/>
      <c r="E286" s="222" t="s">
        <v>918</v>
      </c>
      <c r="F286" s="187">
        <v>5</v>
      </c>
      <c r="G286" s="222" t="s">
        <v>24</v>
      </c>
      <c r="H286" s="222" t="s">
        <v>914</v>
      </c>
      <c r="I286" s="217"/>
      <c r="J286" s="217"/>
      <c r="K286" s="217"/>
    </row>
    <row r="287" spans="1:11" x14ac:dyDescent="0.2">
      <c r="A287" s="217"/>
      <c r="B287" s="217"/>
      <c r="C287" s="217"/>
      <c r="D287" s="217"/>
      <c r="E287" s="222"/>
      <c r="F287" s="187"/>
      <c r="G287" s="222"/>
      <c r="H287" s="222"/>
      <c r="I287" s="217"/>
      <c r="J287" s="217"/>
      <c r="K287" s="217"/>
    </row>
    <row r="288" spans="1:11" x14ac:dyDescent="0.2">
      <c r="A288" s="217"/>
      <c r="B288" s="217"/>
      <c r="C288" s="217"/>
      <c r="D288" s="217"/>
      <c r="E288" s="222"/>
      <c r="F288" s="187"/>
      <c r="G288" s="222"/>
      <c r="H288" s="222"/>
      <c r="I288" s="217"/>
      <c r="J288" s="678"/>
      <c r="K288" s="678"/>
    </row>
    <row r="289" spans="5:8" x14ac:dyDescent="0.2">
      <c r="E289" s="171"/>
      <c r="F289" s="168"/>
      <c r="G289" s="171"/>
      <c r="H289" s="171"/>
    </row>
    <row r="290" spans="5:8" x14ac:dyDescent="0.2">
      <c r="E290" s="171"/>
      <c r="F290" s="168"/>
      <c r="G290" s="171"/>
      <c r="H290" s="171"/>
    </row>
    <row r="291" spans="5:8" x14ac:dyDescent="0.2">
      <c r="E291" s="171"/>
      <c r="F291" s="168"/>
      <c r="G291" s="171"/>
      <c r="H291" s="171"/>
    </row>
    <row r="292" spans="5:8" x14ac:dyDescent="0.2">
      <c r="E292" s="171"/>
      <c r="F292" s="168"/>
      <c r="G292" s="171"/>
      <c r="H292" s="171"/>
    </row>
    <row r="293" spans="5:8" x14ac:dyDescent="0.2">
      <c r="E293" s="171"/>
      <c r="F293" s="168"/>
      <c r="G293" s="171"/>
      <c r="H293" s="171"/>
    </row>
    <row r="294" spans="5:8" x14ac:dyDescent="0.2">
      <c r="E294" s="171"/>
      <c r="F294" s="168"/>
      <c r="G294" s="171"/>
      <c r="H294" s="171"/>
    </row>
    <row r="295" spans="5:8" x14ac:dyDescent="0.2">
      <c r="E295" s="171"/>
      <c r="F295" s="168"/>
      <c r="G295" s="171"/>
      <c r="H295" s="171"/>
    </row>
    <row r="296" spans="5:8" x14ac:dyDescent="0.2">
      <c r="E296" s="171"/>
      <c r="F296" s="168"/>
      <c r="G296" s="171"/>
      <c r="H296" s="171"/>
    </row>
    <row r="297" spans="5:8" x14ac:dyDescent="0.2">
      <c r="E297" s="171"/>
      <c r="F297" s="168"/>
      <c r="G297" s="171"/>
      <c r="H297" s="171"/>
    </row>
    <row r="298" spans="5:8" x14ac:dyDescent="0.2">
      <c r="E298" s="171"/>
      <c r="F298" s="168"/>
      <c r="G298" s="171"/>
      <c r="H298" s="171"/>
    </row>
    <row r="299" spans="5:8" x14ac:dyDescent="0.2">
      <c r="E299" s="171"/>
      <c r="F299" s="168"/>
      <c r="G299" s="171"/>
      <c r="H299" s="171"/>
    </row>
    <row r="300" spans="5:8" x14ac:dyDescent="0.2">
      <c r="E300" s="171"/>
      <c r="F300" s="168"/>
      <c r="G300" s="171"/>
      <c r="H300" s="171"/>
    </row>
    <row r="301" spans="5:8" x14ac:dyDescent="0.2">
      <c r="E301" s="171"/>
      <c r="F301" s="168"/>
      <c r="G301" s="171"/>
      <c r="H301" s="171"/>
    </row>
    <row r="302" spans="5:8" x14ac:dyDescent="0.2">
      <c r="E302" s="171"/>
      <c r="F302" s="168"/>
      <c r="G302" s="171"/>
      <c r="H302" s="171"/>
    </row>
    <row r="303" spans="5:8" x14ac:dyDescent="0.2">
      <c r="E303" s="171"/>
      <c r="F303" s="168"/>
      <c r="G303" s="171"/>
      <c r="H303" s="171"/>
    </row>
    <row r="304" spans="5:8" x14ac:dyDescent="0.2">
      <c r="E304" s="171"/>
      <c r="F304" s="168"/>
      <c r="G304" s="171"/>
      <c r="H304" s="171"/>
    </row>
    <row r="305" spans="1:11" x14ac:dyDescent="0.2">
      <c r="E305" s="171"/>
      <c r="F305" s="168"/>
      <c r="G305" s="171"/>
      <c r="H305" s="171"/>
    </row>
    <row r="306" spans="1:11" ht="13.5" thickBot="1" x14ac:dyDescent="0.25">
      <c r="E306" s="171"/>
      <c r="F306" s="168"/>
      <c r="G306" s="171"/>
      <c r="H306" s="171"/>
    </row>
    <row r="307" spans="1:11" x14ac:dyDescent="0.2">
      <c r="A307" s="423"/>
      <c r="B307" s="424"/>
      <c r="C307" s="424"/>
      <c r="D307" s="424"/>
      <c r="E307" s="424"/>
      <c r="F307" s="424"/>
      <c r="G307" s="424"/>
      <c r="H307" s="494" t="s">
        <v>1966</v>
      </c>
      <c r="I307" s="424" t="str">
        <f>H3</f>
        <v>1.50m x 1.80m</v>
      </c>
      <c r="J307" s="424"/>
      <c r="K307" s="425"/>
    </row>
    <row r="308" spans="1:11" ht="15.75" x14ac:dyDescent="0.25">
      <c r="A308" s="426"/>
      <c r="B308" s="495" t="s">
        <v>920</v>
      </c>
      <c r="C308" s="217"/>
      <c r="D308" s="217" t="str">
        <f>D2</f>
        <v>DR-5</v>
      </c>
      <c r="E308" s="217"/>
      <c r="F308" s="217"/>
      <c r="G308" s="217"/>
      <c r="H308" s="217"/>
      <c r="I308" s="446" t="str">
        <f>F4</f>
        <v>DRAINAGE MODE</v>
      </c>
      <c r="J308" s="217"/>
      <c r="K308" s="427"/>
    </row>
    <row r="309" spans="1:11" x14ac:dyDescent="0.2">
      <c r="A309" s="426"/>
      <c r="B309" s="217"/>
      <c r="C309" s="217"/>
      <c r="D309" s="217"/>
      <c r="E309" s="217"/>
      <c r="F309" s="217"/>
      <c r="G309" s="217"/>
      <c r="H309" s="217"/>
      <c r="I309" s="395" t="s">
        <v>2374</v>
      </c>
      <c r="J309" s="217"/>
      <c r="K309" s="672">
        <f>'Design Data'!D22</f>
        <v>1</v>
      </c>
    </row>
    <row r="310" spans="1:11" x14ac:dyDescent="0.2">
      <c r="A310" s="426"/>
      <c r="B310" s="217" t="s">
        <v>921</v>
      </c>
      <c r="C310" s="217"/>
      <c r="D310" s="217"/>
      <c r="E310" s="446">
        <f>P121</f>
        <v>11.79351209329135</v>
      </c>
      <c r="F310" s="217" t="str">
        <f>G116</f>
        <v>m³/sec</v>
      </c>
      <c r="G310" s="217" t="s">
        <v>949</v>
      </c>
      <c r="H310" s="217"/>
      <c r="I310" s="460" t="str">
        <f>I8</f>
        <v>3</v>
      </c>
      <c r="J310" s="217"/>
      <c r="K310" s="427"/>
    </row>
    <row r="311" spans="1:11" x14ac:dyDescent="0.2">
      <c r="A311" s="426"/>
      <c r="B311" s="217"/>
      <c r="C311" s="217"/>
      <c r="D311" s="217"/>
      <c r="E311" s="217"/>
      <c r="F311" s="217"/>
      <c r="G311" s="217"/>
      <c r="H311" s="217"/>
      <c r="I311" s="217"/>
      <c r="J311" s="217"/>
      <c r="K311" s="427"/>
    </row>
    <row r="312" spans="1:11" x14ac:dyDescent="0.2">
      <c r="A312" s="426"/>
      <c r="B312" s="395" t="s">
        <v>1912</v>
      </c>
      <c r="C312" s="217"/>
      <c r="D312" s="217"/>
      <c r="E312" s="217">
        <f>F14-F20</f>
        <v>-1.3499999999999999</v>
      </c>
      <c r="F312" s="395" t="s">
        <v>345</v>
      </c>
      <c r="G312" s="217"/>
      <c r="H312" s="217"/>
      <c r="I312" s="217"/>
      <c r="J312" s="217"/>
      <c r="K312" s="427"/>
    </row>
    <row r="313" spans="1:11" x14ac:dyDescent="0.2">
      <c r="A313" s="426"/>
      <c r="B313" s="395" t="s">
        <v>1917</v>
      </c>
      <c r="C313" s="217"/>
      <c r="D313" s="217"/>
      <c r="E313" s="217">
        <f>F17</f>
        <v>-2.25</v>
      </c>
      <c r="F313" s="395" t="s">
        <v>345</v>
      </c>
      <c r="G313" s="217"/>
      <c r="H313" s="217"/>
      <c r="I313" s="217"/>
      <c r="J313" s="217"/>
      <c r="K313" s="427"/>
    </row>
    <row r="314" spans="1:11" x14ac:dyDescent="0.2">
      <c r="A314" s="426"/>
      <c r="B314" s="217"/>
      <c r="C314" s="217"/>
      <c r="D314" s="217"/>
      <c r="E314" s="217"/>
      <c r="F314" s="217"/>
      <c r="G314" s="217"/>
      <c r="H314" s="216" t="s">
        <v>930</v>
      </c>
      <c r="I314" s="217"/>
      <c r="J314" s="217">
        <f>J219</f>
        <v>2.3636363636363638</v>
      </c>
      <c r="K314" s="427" t="s">
        <v>24</v>
      </c>
    </row>
    <row r="315" spans="1:11" x14ac:dyDescent="0.2">
      <c r="A315" s="426"/>
      <c r="B315" s="395" t="s">
        <v>1911</v>
      </c>
      <c r="C315" s="217"/>
      <c r="D315" s="217"/>
      <c r="E315" s="217">
        <f>D135</f>
        <v>1.6276231475584226</v>
      </c>
      <c r="F315" s="217" t="s">
        <v>24</v>
      </c>
      <c r="G315" s="217"/>
      <c r="H315" s="216" t="s">
        <v>931</v>
      </c>
      <c r="I315" s="217"/>
      <c r="J315" s="607">
        <f>J220</f>
        <v>2</v>
      </c>
      <c r="K315" s="427" t="s">
        <v>24</v>
      </c>
    </row>
    <row r="316" spans="1:11" x14ac:dyDescent="0.2">
      <c r="A316" s="426"/>
      <c r="B316" s="217" t="s">
        <v>922</v>
      </c>
      <c r="C316" s="217"/>
      <c r="D316" s="217"/>
      <c r="E316" s="217">
        <f>H145</f>
        <v>0.53759999999999997</v>
      </c>
      <c r="F316" s="217" t="s">
        <v>24</v>
      </c>
      <c r="G316" s="217"/>
      <c r="H316" s="216"/>
      <c r="I316" s="217"/>
      <c r="J316" s="217"/>
      <c r="K316" s="427"/>
    </row>
    <row r="317" spans="1:11" x14ac:dyDescent="0.2">
      <c r="A317" s="426"/>
      <c r="B317" s="217" t="s">
        <v>923</v>
      </c>
      <c r="C317" s="217"/>
      <c r="D317" s="217"/>
      <c r="E317" s="217">
        <f>H159</f>
        <v>0.42239999999999994</v>
      </c>
      <c r="F317" s="217" t="s">
        <v>24</v>
      </c>
      <c r="G317" s="217"/>
      <c r="H317" s="216" t="s">
        <v>933</v>
      </c>
      <c r="I317" s="217"/>
      <c r="J317" s="217">
        <f>E316</f>
        <v>0.53759999999999997</v>
      </c>
      <c r="K317" s="427" t="s">
        <v>24</v>
      </c>
    </row>
    <row r="318" spans="1:11" x14ac:dyDescent="0.2">
      <c r="A318" s="426"/>
      <c r="B318" s="217"/>
      <c r="C318" s="217"/>
      <c r="D318" s="217"/>
      <c r="E318" s="217"/>
      <c r="F318" s="217"/>
      <c r="G318" s="217"/>
      <c r="H318" s="339" t="s">
        <v>2520</v>
      </c>
      <c r="J318" s="169">
        <f>0.7*E316</f>
        <v>0.37631999999999993</v>
      </c>
    </row>
    <row r="319" spans="1:11" x14ac:dyDescent="0.2">
      <c r="A319" s="426"/>
      <c r="B319" s="395" t="s">
        <v>1913</v>
      </c>
      <c r="C319" s="217"/>
      <c r="D319" s="217"/>
      <c r="E319" s="217">
        <f>H169</f>
        <v>4.0533288931836964</v>
      </c>
      <c r="F319" s="217"/>
      <c r="G319" s="217"/>
      <c r="H319" s="216" t="s">
        <v>935</v>
      </c>
      <c r="I319" s="217"/>
      <c r="J319" s="607">
        <v>0.3</v>
      </c>
      <c r="K319" s="427" t="s">
        <v>24</v>
      </c>
    </row>
    <row r="320" spans="1:11" x14ac:dyDescent="0.2">
      <c r="A320" s="426"/>
      <c r="B320" s="217" t="s">
        <v>924</v>
      </c>
      <c r="C320" s="496"/>
      <c r="D320" s="217"/>
      <c r="E320" s="497" t="str">
        <f>C180</f>
        <v>Indian Standard Stilling Basin I</v>
      </c>
      <c r="F320" s="217"/>
      <c r="G320" s="217"/>
      <c r="H320" s="397" t="s">
        <v>2402</v>
      </c>
      <c r="I320" s="217"/>
      <c r="J320" s="395">
        <f>0.71*E316</f>
        <v>0.38169599999999998</v>
      </c>
      <c r="K320" s="484" t="s">
        <v>24</v>
      </c>
    </row>
    <row r="321" spans="1:11" x14ac:dyDescent="0.2">
      <c r="A321" s="426"/>
      <c r="B321" s="217"/>
      <c r="C321" s="217"/>
      <c r="D321" s="217"/>
      <c r="E321" s="217"/>
      <c r="F321" s="217"/>
      <c r="G321" s="217"/>
      <c r="H321" s="397" t="s">
        <v>935</v>
      </c>
      <c r="I321" s="217"/>
      <c r="J321" s="607">
        <v>0.3</v>
      </c>
      <c r="K321" s="484" t="s">
        <v>24</v>
      </c>
    </row>
    <row r="322" spans="1:11" x14ac:dyDescent="0.2">
      <c r="A322" s="426"/>
      <c r="B322" s="217" t="s">
        <v>925</v>
      </c>
      <c r="C322" s="217"/>
      <c r="D322" s="217"/>
      <c r="E322" s="217">
        <f>I206</f>
        <v>2.85</v>
      </c>
      <c r="F322" s="217" t="s">
        <v>24</v>
      </c>
      <c r="G322" s="217"/>
      <c r="H322" s="1165" t="s">
        <v>2378</v>
      </c>
      <c r="I322" s="217"/>
      <c r="J322" s="217">
        <f>0.375*0.7*J317</f>
        <v>0.14111999999999997</v>
      </c>
      <c r="K322" s="484" t="s">
        <v>24</v>
      </c>
    </row>
    <row r="323" spans="1:11" x14ac:dyDescent="0.2">
      <c r="A323" s="426"/>
      <c r="B323" s="217" t="s">
        <v>926</v>
      </c>
      <c r="C323" s="217"/>
      <c r="D323" s="217"/>
      <c r="E323" s="217">
        <f>H204</f>
        <v>2.2193055384136118</v>
      </c>
      <c r="F323" s="217" t="s">
        <v>24</v>
      </c>
      <c r="G323" s="217"/>
    </row>
    <row r="324" spans="1:11" x14ac:dyDescent="0.2">
      <c r="A324" s="426"/>
      <c r="B324" s="217" t="s">
        <v>927</v>
      </c>
      <c r="C324" s="217"/>
      <c r="D324" s="217"/>
      <c r="E324" s="217">
        <f>F188</f>
        <v>2.2193055384136118</v>
      </c>
      <c r="F324" s="217" t="s">
        <v>24</v>
      </c>
      <c r="G324" s="217"/>
      <c r="H324" s="397" t="s">
        <v>2521</v>
      </c>
      <c r="I324" s="217"/>
      <c r="J324" s="608"/>
      <c r="K324" s="427"/>
    </row>
    <row r="325" spans="1:11" x14ac:dyDescent="0.2">
      <c r="A325" s="426"/>
      <c r="B325" s="217"/>
      <c r="C325" s="217"/>
      <c r="D325" s="217"/>
      <c r="E325" s="217"/>
      <c r="F325" s="217"/>
      <c r="G325" s="217"/>
      <c r="H325" s="216"/>
      <c r="I325" s="217"/>
      <c r="J325" s="217"/>
      <c r="K325" s="427"/>
    </row>
    <row r="326" spans="1:11" x14ac:dyDescent="0.2">
      <c r="A326" s="426"/>
      <c r="B326" s="395" t="s">
        <v>929</v>
      </c>
      <c r="C326" s="217"/>
      <c r="D326" s="217"/>
      <c r="E326" s="217">
        <f>F220</f>
        <v>9.7649443690198918</v>
      </c>
      <c r="F326" s="217" t="s">
        <v>24</v>
      </c>
      <c r="G326" s="217"/>
      <c r="H326" s="397" t="s">
        <v>2379</v>
      </c>
      <c r="I326" s="217"/>
      <c r="J326" s="217">
        <f>0.2*E324</f>
        <v>0.44386110768272236</v>
      </c>
      <c r="K326" s="484" t="s">
        <v>24</v>
      </c>
    </row>
    <row r="327" spans="1:11" x14ac:dyDescent="0.2">
      <c r="A327" s="426"/>
      <c r="B327" s="395" t="s">
        <v>1914</v>
      </c>
      <c r="C327" s="217"/>
      <c r="D327" s="217"/>
      <c r="E327" s="1130">
        <f>F21</f>
        <v>3.1999999999999997</v>
      </c>
      <c r="F327" s="422" t="s">
        <v>24</v>
      </c>
      <c r="G327" s="217"/>
      <c r="H327" s="339" t="s">
        <v>2519</v>
      </c>
      <c r="J327" s="169">
        <f>0.15*E324</f>
        <v>0.33289583076204177</v>
      </c>
    </row>
    <row r="328" spans="1:11" x14ac:dyDescent="0.2">
      <c r="A328" s="426"/>
      <c r="B328" s="395" t="s">
        <v>1909</v>
      </c>
      <c r="C328" s="217"/>
      <c r="D328" s="217"/>
      <c r="E328" s="1131">
        <f>H222</f>
        <v>13</v>
      </c>
      <c r="F328" s="422" t="s">
        <v>24</v>
      </c>
      <c r="G328" s="217"/>
      <c r="H328" s="216" t="s">
        <v>935</v>
      </c>
      <c r="I328" s="217"/>
      <c r="J328" s="607">
        <v>0.3</v>
      </c>
      <c r="K328" s="484" t="s">
        <v>24</v>
      </c>
    </row>
    <row r="329" spans="1:11" x14ac:dyDescent="0.2">
      <c r="A329" s="426"/>
      <c r="B329" s="406" t="s">
        <v>2493</v>
      </c>
      <c r="C329" s="217"/>
      <c r="D329" s="407"/>
      <c r="E329" s="422">
        <f>F26</f>
        <v>0.5</v>
      </c>
      <c r="F329" s="947" t="s">
        <v>24</v>
      </c>
      <c r="G329" s="406"/>
      <c r="H329" s="397" t="s">
        <v>2402</v>
      </c>
      <c r="I329" s="217"/>
      <c r="J329" s="217">
        <f>0.15*E324</f>
        <v>0.33289583076204177</v>
      </c>
      <c r="K329" s="484" t="s">
        <v>24</v>
      </c>
    </row>
    <row r="330" spans="1:11" x14ac:dyDescent="0.2">
      <c r="A330" s="426"/>
      <c r="B330" s="217" t="s">
        <v>932</v>
      </c>
      <c r="C330" s="217"/>
      <c r="D330" s="217"/>
      <c r="E330" s="498">
        <f>F22</f>
        <v>8</v>
      </c>
      <c r="F330" s="217" t="s">
        <v>32</v>
      </c>
      <c r="G330" s="217"/>
      <c r="H330" s="216" t="s">
        <v>935</v>
      </c>
      <c r="I330" s="217"/>
      <c r="J330" s="607">
        <v>0.3</v>
      </c>
      <c r="K330" s="484" t="s">
        <v>24</v>
      </c>
    </row>
    <row r="331" spans="1:11" x14ac:dyDescent="0.2">
      <c r="A331" s="426"/>
      <c r="B331" s="217"/>
      <c r="C331" s="217"/>
      <c r="D331" s="217"/>
      <c r="E331" s="217"/>
      <c r="F331" s="217"/>
      <c r="G331" s="217"/>
      <c r="H331" s="216"/>
      <c r="I331" s="217"/>
      <c r="J331" s="217"/>
      <c r="K331" s="427"/>
    </row>
    <row r="332" spans="1:11" x14ac:dyDescent="0.2">
      <c r="A332" s="426"/>
      <c r="B332" s="217" t="s">
        <v>934</v>
      </c>
      <c r="C332" s="217"/>
      <c r="D332" s="217"/>
      <c r="E332" s="1130">
        <f>F233</f>
        <v>5.8</v>
      </c>
      <c r="F332" s="217" t="s">
        <v>24</v>
      </c>
      <c r="G332" s="217"/>
      <c r="H332" s="216"/>
      <c r="I332" s="217"/>
      <c r="J332" s="217"/>
      <c r="K332" s="427"/>
    </row>
    <row r="333" spans="1:11" x14ac:dyDescent="0.2">
      <c r="A333" s="426"/>
      <c r="B333" s="217" t="s">
        <v>936</v>
      </c>
      <c r="C333" s="217"/>
      <c r="D333" s="217"/>
      <c r="E333" s="217">
        <f>F240</f>
        <v>0.35983255814771464</v>
      </c>
      <c r="F333" s="217" t="str">
        <f>G240</f>
        <v>m/sec</v>
      </c>
      <c r="G333" s="217"/>
      <c r="H333" s="216"/>
      <c r="I333" s="217"/>
      <c r="J333" s="217"/>
      <c r="K333" s="427"/>
    </row>
    <row r="334" spans="1:11" x14ac:dyDescent="0.2">
      <c r="A334" s="426"/>
      <c r="B334" s="217" t="s">
        <v>937</v>
      </c>
      <c r="C334" s="217"/>
      <c r="D334" s="217"/>
      <c r="E334" s="217">
        <f>F238</f>
        <v>32.775000000000006</v>
      </c>
      <c r="F334" s="222" t="s">
        <v>765</v>
      </c>
      <c r="G334" s="217"/>
      <c r="H334" s="216"/>
      <c r="I334" s="217"/>
      <c r="J334" s="217"/>
      <c r="K334" s="427"/>
    </row>
    <row r="335" spans="1:11" x14ac:dyDescent="0.2">
      <c r="A335" s="426"/>
      <c r="B335" s="217"/>
      <c r="C335" s="217"/>
      <c r="D335" s="217"/>
      <c r="E335" s="217"/>
      <c r="F335" s="217"/>
      <c r="G335" s="217"/>
      <c r="H335" s="216"/>
      <c r="I335" s="217"/>
      <c r="J335" s="217"/>
      <c r="K335" s="427"/>
    </row>
    <row r="336" spans="1:11" x14ac:dyDescent="0.2">
      <c r="A336" s="426"/>
      <c r="B336" s="217" t="s">
        <v>938</v>
      </c>
      <c r="C336" s="217"/>
      <c r="D336" s="217"/>
      <c r="E336" s="217">
        <f>E249</f>
        <v>0.24890158697766473</v>
      </c>
      <c r="F336" s="217"/>
      <c r="G336" s="217"/>
      <c r="H336" s="216"/>
      <c r="I336" s="217"/>
      <c r="J336" s="217"/>
      <c r="K336" s="427"/>
    </row>
    <row r="337" spans="1:11" x14ac:dyDescent="0.2">
      <c r="A337" s="426"/>
      <c r="B337" s="217" t="s">
        <v>939</v>
      </c>
      <c r="C337" s="217"/>
      <c r="D337" s="217"/>
      <c r="E337" s="217">
        <f>F251</f>
        <v>3.4124527485326164</v>
      </c>
      <c r="F337" s="217" t="s">
        <v>24</v>
      </c>
      <c r="G337" s="217"/>
      <c r="H337" s="216"/>
      <c r="I337" s="217"/>
      <c r="J337" s="217"/>
      <c r="K337" s="427"/>
    </row>
    <row r="338" spans="1:11" x14ac:dyDescent="0.2">
      <c r="A338" s="426"/>
      <c r="B338" s="217"/>
      <c r="C338" s="217"/>
      <c r="D338" s="217"/>
      <c r="E338" s="217"/>
      <c r="F338" s="217"/>
      <c r="G338" s="217"/>
      <c r="H338" s="216"/>
      <c r="I338" s="217"/>
      <c r="J338" s="217"/>
      <c r="K338" s="427"/>
    </row>
    <row r="339" spans="1:11" x14ac:dyDescent="0.2">
      <c r="A339" s="426"/>
      <c r="B339" s="217" t="s">
        <v>940</v>
      </c>
      <c r="C339" s="217"/>
      <c r="D339" s="217"/>
      <c r="E339" s="217">
        <f>F253</f>
        <v>4.2655659356657702</v>
      </c>
      <c r="F339" s="217" t="s">
        <v>24</v>
      </c>
      <c r="G339" s="217"/>
      <c r="H339" s="216"/>
      <c r="I339" s="217"/>
      <c r="J339" s="217"/>
      <c r="K339" s="427"/>
    </row>
    <row r="340" spans="1:11" x14ac:dyDescent="0.2">
      <c r="A340" s="426"/>
      <c r="B340" s="217" t="s">
        <v>941</v>
      </c>
      <c r="C340" s="217"/>
      <c r="D340" s="217"/>
      <c r="E340" s="217">
        <f>F255</f>
        <v>5.118679122798925</v>
      </c>
      <c r="F340" s="217" t="s">
        <v>24</v>
      </c>
      <c r="G340" s="217"/>
      <c r="H340" s="216"/>
      <c r="I340" s="217"/>
      <c r="J340" s="217"/>
      <c r="K340" s="427"/>
    </row>
    <row r="341" spans="1:11" x14ac:dyDescent="0.2">
      <c r="A341" s="426"/>
      <c r="B341" s="217"/>
      <c r="C341" s="217"/>
      <c r="D341" s="217"/>
      <c r="E341" s="217"/>
      <c r="F341" s="217"/>
      <c r="G341" s="217"/>
      <c r="H341" s="216"/>
      <c r="I341" s="217"/>
      <c r="J341" s="217"/>
      <c r="K341" s="427"/>
    </row>
    <row r="342" spans="1:11" x14ac:dyDescent="0.2">
      <c r="A342" s="426"/>
      <c r="B342" s="217" t="s">
        <v>942</v>
      </c>
      <c r="C342" s="217"/>
      <c r="D342" s="217"/>
      <c r="E342" s="217">
        <f>H257</f>
        <v>-0.44443406433422883</v>
      </c>
      <c r="F342" s="217" t="s">
        <v>24</v>
      </c>
      <c r="G342" s="217" t="s">
        <v>943</v>
      </c>
      <c r="H342" s="216">
        <f>D259</f>
        <v>3</v>
      </c>
      <c r="I342" s="217" t="s">
        <v>24</v>
      </c>
      <c r="J342" s="217"/>
      <c r="K342" s="427"/>
    </row>
    <row r="343" spans="1:11" x14ac:dyDescent="0.2">
      <c r="A343" s="426"/>
      <c r="B343" s="217" t="s">
        <v>944</v>
      </c>
      <c r="C343" s="217"/>
      <c r="D343" s="217"/>
      <c r="E343" s="217">
        <f>I260</f>
        <v>2.8993735843853132</v>
      </c>
      <c r="F343" s="217" t="s">
        <v>24</v>
      </c>
      <c r="G343" s="217" t="s">
        <v>943</v>
      </c>
      <c r="H343" s="216">
        <f>D262</f>
        <v>3</v>
      </c>
      <c r="I343" s="217" t="s">
        <v>24</v>
      </c>
      <c r="J343" s="217"/>
      <c r="K343" s="427"/>
    </row>
    <row r="344" spans="1:11" x14ac:dyDescent="0.2">
      <c r="A344" s="426"/>
      <c r="B344" s="217"/>
      <c r="C344" s="217"/>
      <c r="D344" s="217"/>
      <c r="E344" s="217"/>
      <c r="F344" s="217"/>
      <c r="G344" s="217"/>
      <c r="H344" s="216"/>
      <c r="I344" s="217"/>
      <c r="J344" s="217"/>
      <c r="K344" s="427"/>
    </row>
    <row r="345" spans="1:11" x14ac:dyDescent="0.2">
      <c r="A345" s="426"/>
      <c r="B345" s="217" t="s">
        <v>945</v>
      </c>
      <c r="C345" s="217"/>
      <c r="D345" s="217"/>
      <c r="E345" s="217">
        <f>I274</f>
        <v>3</v>
      </c>
      <c r="F345" s="217" t="s">
        <v>24</v>
      </c>
      <c r="G345" s="217" t="s">
        <v>577</v>
      </c>
      <c r="H345" s="216">
        <f>F275</f>
        <v>6</v>
      </c>
      <c r="I345" s="217" t="s">
        <v>24</v>
      </c>
      <c r="J345" s="217"/>
      <c r="K345" s="427"/>
    </row>
    <row r="346" spans="1:11" x14ac:dyDescent="0.2">
      <c r="A346" s="426"/>
      <c r="B346" s="217" t="s">
        <v>946</v>
      </c>
      <c r="C346" s="217"/>
      <c r="D346" s="217"/>
      <c r="E346" s="217">
        <f>I277</f>
        <v>4.5</v>
      </c>
      <c r="F346" s="217" t="s">
        <v>24</v>
      </c>
      <c r="G346" s="217" t="s">
        <v>577</v>
      </c>
      <c r="H346" s="216">
        <f>F278</f>
        <v>5</v>
      </c>
      <c r="I346" s="217" t="s">
        <v>24</v>
      </c>
      <c r="J346" s="217"/>
      <c r="K346" s="427"/>
    </row>
    <row r="347" spans="1:11" x14ac:dyDescent="0.2">
      <c r="A347" s="426"/>
      <c r="B347" s="217"/>
      <c r="C347" s="217"/>
      <c r="D347" s="217"/>
      <c r="E347" s="217"/>
      <c r="F347" s="217"/>
      <c r="G347" s="217"/>
      <c r="H347" s="216"/>
      <c r="I347" s="217"/>
      <c r="J347" s="217"/>
      <c r="K347" s="427"/>
    </row>
    <row r="348" spans="1:11" x14ac:dyDescent="0.2">
      <c r="A348" s="426"/>
      <c r="B348" s="217" t="s">
        <v>947</v>
      </c>
      <c r="C348" s="217"/>
      <c r="D348" s="217"/>
      <c r="E348" s="217">
        <f>I282</f>
        <v>4.5</v>
      </c>
      <c r="F348" s="217" t="s">
        <v>24</v>
      </c>
      <c r="G348" s="217" t="s">
        <v>943</v>
      </c>
      <c r="H348" s="216">
        <f>F283</f>
        <v>6</v>
      </c>
      <c r="I348" s="217" t="s">
        <v>24</v>
      </c>
      <c r="J348" s="217"/>
      <c r="K348" s="427"/>
    </row>
    <row r="349" spans="1:11" x14ac:dyDescent="0.2">
      <c r="A349" s="426"/>
      <c r="B349" s="217" t="s">
        <v>948</v>
      </c>
      <c r="C349" s="217"/>
      <c r="D349" s="217"/>
      <c r="E349" s="217">
        <f>I285</f>
        <v>4.5</v>
      </c>
      <c r="F349" s="217" t="s">
        <v>24</v>
      </c>
      <c r="G349" s="217" t="s">
        <v>943</v>
      </c>
      <c r="H349" s="216">
        <f>F286</f>
        <v>5</v>
      </c>
      <c r="I349" s="217" t="s">
        <v>24</v>
      </c>
      <c r="J349" s="217"/>
      <c r="K349" s="427"/>
    </row>
    <row r="350" spans="1:11" x14ac:dyDescent="0.2">
      <c r="A350" s="426"/>
      <c r="B350" s="217"/>
      <c r="C350" s="217"/>
      <c r="D350" s="217"/>
      <c r="E350" s="217"/>
      <c r="F350" s="217"/>
      <c r="G350" s="217"/>
      <c r="H350" s="217"/>
      <c r="I350" s="217"/>
      <c r="J350" s="217"/>
      <c r="K350" s="427"/>
    </row>
    <row r="351" spans="1:11" x14ac:dyDescent="0.2">
      <c r="A351" s="426"/>
      <c r="B351" s="217"/>
      <c r="C351" s="217"/>
      <c r="D351" s="217"/>
      <c r="E351" s="217"/>
      <c r="F351" s="217"/>
      <c r="G351" s="217"/>
      <c r="H351" s="217"/>
      <c r="I351" s="217"/>
      <c r="J351" s="217"/>
      <c r="K351" s="427"/>
    </row>
    <row r="352" spans="1:11" x14ac:dyDescent="0.2">
      <c r="A352" s="426"/>
      <c r="B352" s="217"/>
      <c r="C352" s="217"/>
      <c r="D352" s="217"/>
      <c r="E352" s="217"/>
      <c r="F352" s="217"/>
      <c r="G352" s="217"/>
      <c r="H352" s="217"/>
      <c r="I352" s="217"/>
      <c r="J352" s="217"/>
      <c r="K352" s="427"/>
    </row>
    <row r="353" spans="1:11" x14ac:dyDescent="0.2">
      <c r="A353" s="426"/>
      <c r="B353" s="217"/>
      <c r="C353" s="217"/>
      <c r="D353" s="217"/>
      <c r="E353" s="217"/>
      <c r="F353" s="217"/>
      <c r="G353" s="217"/>
      <c r="H353" s="217"/>
      <c r="I353" s="217"/>
      <c r="J353" s="217"/>
      <c r="K353" s="427"/>
    </row>
    <row r="354" spans="1:11" ht="13.5" thickBot="1" x14ac:dyDescent="0.25">
      <c r="A354" s="429"/>
      <c r="B354" s="430"/>
      <c r="C354" s="430"/>
      <c r="D354" s="430"/>
      <c r="E354" s="430"/>
      <c r="F354" s="430"/>
      <c r="G354" s="430"/>
      <c r="H354" s="430"/>
      <c r="I354" s="430"/>
      <c r="J354" s="1154"/>
      <c r="K354" s="489" t="s">
        <v>2457</v>
      </c>
    </row>
  </sheetData>
  <mergeCells count="1">
    <mergeCell ref="C40:D40"/>
  </mergeCells>
  <pageMargins left="0.25" right="0.25" top="0.75" bottom="0.75" header="0.3" footer="0.3"/>
  <pageSetup paperSize="9" scale="95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R367"/>
  <sheetViews>
    <sheetView topLeftCell="A280" workbookViewId="0">
      <selection activeCell="I231" sqref="I231"/>
    </sheetView>
  </sheetViews>
  <sheetFormatPr defaultRowHeight="12.75" x14ac:dyDescent="0.2"/>
  <cols>
    <col min="1" max="1" width="9.140625" style="169" customWidth="1"/>
    <col min="2" max="256" width="9.140625" style="169"/>
    <col min="257" max="257" width="6.42578125" style="169" customWidth="1"/>
    <col min="258" max="512" width="9.140625" style="169"/>
    <col min="513" max="513" width="6.42578125" style="169" customWidth="1"/>
    <col min="514" max="768" width="9.140625" style="169"/>
    <col min="769" max="769" width="6.42578125" style="169" customWidth="1"/>
    <col min="770" max="1024" width="9.140625" style="169"/>
    <col min="1025" max="1025" width="6.42578125" style="169" customWidth="1"/>
    <col min="1026" max="1280" width="9.140625" style="169"/>
    <col min="1281" max="1281" width="6.42578125" style="169" customWidth="1"/>
    <col min="1282" max="1536" width="9.140625" style="169"/>
    <col min="1537" max="1537" width="6.42578125" style="169" customWidth="1"/>
    <col min="1538" max="1792" width="9.140625" style="169"/>
    <col min="1793" max="1793" width="6.42578125" style="169" customWidth="1"/>
    <col min="1794" max="2048" width="9.140625" style="169"/>
    <col min="2049" max="2049" width="6.42578125" style="169" customWidth="1"/>
    <col min="2050" max="2304" width="9.140625" style="169"/>
    <col min="2305" max="2305" width="6.42578125" style="169" customWidth="1"/>
    <col min="2306" max="2560" width="9.140625" style="169"/>
    <col min="2561" max="2561" width="6.42578125" style="169" customWidth="1"/>
    <col min="2562" max="2816" width="9.140625" style="169"/>
    <col min="2817" max="2817" width="6.42578125" style="169" customWidth="1"/>
    <col min="2818" max="3072" width="9.140625" style="169"/>
    <col min="3073" max="3073" width="6.42578125" style="169" customWidth="1"/>
    <col min="3074" max="3328" width="9.140625" style="169"/>
    <col min="3329" max="3329" width="6.42578125" style="169" customWidth="1"/>
    <col min="3330" max="3584" width="9.140625" style="169"/>
    <col min="3585" max="3585" width="6.42578125" style="169" customWidth="1"/>
    <col min="3586" max="3840" width="9.140625" style="169"/>
    <col min="3841" max="3841" width="6.42578125" style="169" customWidth="1"/>
    <col min="3842" max="4096" width="9.140625" style="169"/>
    <col min="4097" max="4097" width="6.42578125" style="169" customWidth="1"/>
    <col min="4098" max="4352" width="9.140625" style="169"/>
    <col min="4353" max="4353" width="6.42578125" style="169" customWidth="1"/>
    <col min="4354" max="4608" width="9.140625" style="169"/>
    <col min="4609" max="4609" width="6.42578125" style="169" customWidth="1"/>
    <col min="4610" max="4864" width="9.140625" style="169"/>
    <col min="4865" max="4865" width="6.42578125" style="169" customWidth="1"/>
    <col min="4866" max="5120" width="9.140625" style="169"/>
    <col min="5121" max="5121" width="6.42578125" style="169" customWidth="1"/>
    <col min="5122" max="5376" width="9.140625" style="169"/>
    <col min="5377" max="5377" width="6.42578125" style="169" customWidth="1"/>
    <col min="5378" max="5632" width="9.140625" style="169"/>
    <col min="5633" max="5633" width="6.42578125" style="169" customWidth="1"/>
    <col min="5634" max="5888" width="9.140625" style="169"/>
    <col min="5889" max="5889" width="6.42578125" style="169" customWidth="1"/>
    <col min="5890" max="6144" width="9.140625" style="169"/>
    <col min="6145" max="6145" width="6.42578125" style="169" customWidth="1"/>
    <col min="6146" max="6400" width="9.140625" style="169"/>
    <col min="6401" max="6401" width="6.42578125" style="169" customWidth="1"/>
    <col min="6402" max="6656" width="9.140625" style="169"/>
    <col min="6657" max="6657" width="6.42578125" style="169" customWidth="1"/>
    <col min="6658" max="6912" width="9.140625" style="169"/>
    <col min="6913" max="6913" width="6.42578125" style="169" customWidth="1"/>
    <col min="6914" max="7168" width="9.140625" style="169"/>
    <col min="7169" max="7169" width="6.42578125" style="169" customWidth="1"/>
    <col min="7170" max="7424" width="9.140625" style="169"/>
    <col min="7425" max="7425" width="6.42578125" style="169" customWidth="1"/>
    <col min="7426" max="7680" width="9.140625" style="169"/>
    <col min="7681" max="7681" width="6.42578125" style="169" customWidth="1"/>
    <col min="7682" max="7936" width="9.140625" style="169"/>
    <col min="7937" max="7937" width="6.42578125" style="169" customWidth="1"/>
    <col min="7938" max="8192" width="9.140625" style="169"/>
    <col min="8193" max="8193" width="6.42578125" style="169" customWidth="1"/>
    <col min="8194" max="8448" width="9.140625" style="169"/>
    <col min="8449" max="8449" width="6.42578125" style="169" customWidth="1"/>
    <col min="8450" max="8704" width="9.140625" style="169"/>
    <col min="8705" max="8705" width="6.42578125" style="169" customWidth="1"/>
    <col min="8706" max="8960" width="9.140625" style="169"/>
    <col min="8961" max="8961" width="6.42578125" style="169" customWidth="1"/>
    <col min="8962" max="9216" width="9.140625" style="169"/>
    <col min="9217" max="9217" width="6.42578125" style="169" customWidth="1"/>
    <col min="9218" max="9472" width="9.140625" style="169"/>
    <col min="9473" max="9473" width="6.42578125" style="169" customWidth="1"/>
    <col min="9474" max="9728" width="9.140625" style="169"/>
    <col min="9729" max="9729" width="6.42578125" style="169" customWidth="1"/>
    <col min="9730" max="9984" width="9.140625" style="169"/>
    <col min="9985" max="9985" width="6.42578125" style="169" customWidth="1"/>
    <col min="9986" max="10240" width="9.140625" style="169"/>
    <col min="10241" max="10241" width="6.42578125" style="169" customWidth="1"/>
    <col min="10242" max="10496" width="9.140625" style="169"/>
    <col min="10497" max="10497" width="6.42578125" style="169" customWidth="1"/>
    <col min="10498" max="10752" width="9.140625" style="169"/>
    <col min="10753" max="10753" width="6.42578125" style="169" customWidth="1"/>
    <col min="10754" max="11008" width="9.140625" style="169"/>
    <col min="11009" max="11009" width="6.42578125" style="169" customWidth="1"/>
    <col min="11010" max="11264" width="9.140625" style="169"/>
    <col min="11265" max="11265" width="6.42578125" style="169" customWidth="1"/>
    <col min="11266" max="11520" width="9.140625" style="169"/>
    <col min="11521" max="11521" width="6.42578125" style="169" customWidth="1"/>
    <col min="11522" max="11776" width="9.140625" style="169"/>
    <col min="11777" max="11777" width="6.42578125" style="169" customWidth="1"/>
    <col min="11778" max="12032" width="9.140625" style="169"/>
    <col min="12033" max="12033" width="6.42578125" style="169" customWidth="1"/>
    <col min="12034" max="12288" width="9.140625" style="169"/>
    <col min="12289" max="12289" width="6.42578125" style="169" customWidth="1"/>
    <col min="12290" max="12544" width="9.140625" style="169"/>
    <col min="12545" max="12545" width="6.42578125" style="169" customWidth="1"/>
    <col min="12546" max="12800" width="9.140625" style="169"/>
    <col min="12801" max="12801" width="6.42578125" style="169" customWidth="1"/>
    <col min="12802" max="13056" width="9.140625" style="169"/>
    <col min="13057" max="13057" width="6.42578125" style="169" customWidth="1"/>
    <col min="13058" max="13312" width="9.140625" style="169"/>
    <col min="13313" max="13313" width="6.42578125" style="169" customWidth="1"/>
    <col min="13314" max="13568" width="9.140625" style="169"/>
    <col min="13569" max="13569" width="6.42578125" style="169" customWidth="1"/>
    <col min="13570" max="13824" width="9.140625" style="169"/>
    <col min="13825" max="13825" width="6.42578125" style="169" customWidth="1"/>
    <col min="13826" max="14080" width="9.140625" style="169"/>
    <col min="14081" max="14081" width="6.42578125" style="169" customWidth="1"/>
    <col min="14082" max="14336" width="9.140625" style="169"/>
    <col min="14337" max="14337" width="6.42578125" style="169" customWidth="1"/>
    <col min="14338" max="14592" width="9.140625" style="169"/>
    <col min="14593" max="14593" width="6.42578125" style="169" customWidth="1"/>
    <col min="14594" max="14848" width="9.140625" style="169"/>
    <col min="14849" max="14849" width="6.42578125" style="169" customWidth="1"/>
    <col min="14850" max="15104" width="9.140625" style="169"/>
    <col min="15105" max="15105" width="6.42578125" style="169" customWidth="1"/>
    <col min="15106" max="15360" width="9.140625" style="169"/>
    <col min="15361" max="15361" width="6.42578125" style="169" customWidth="1"/>
    <col min="15362" max="15616" width="9.140625" style="169"/>
    <col min="15617" max="15617" width="6.42578125" style="169" customWidth="1"/>
    <col min="15618" max="15872" width="9.140625" style="169"/>
    <col min="15873" max="15873" width="6.42578125" style="169" customWidth="1"/>
    <col min="15874" max="16128" width="9.140625" style="169"/>
    <col min="16129" max="16129" width="6.42578125" style="169" customWidth="1"/>
    <col min="16130" max="16384" width="9.140625" style="169"/>
  </cols>
  <sheetData>
    <row r="1" spans="1:18" x14ac:dyDescent="0.2">
      <c r="A1" s="438" t="s">
        <v>2031</v>
      </c>
      <c r="B1" s="424"/>
      <c r="C1" s="424" t="str">
        <f>'Design Data'!C2</f>
        <v>Coastal Embankment Improvement Project Phase-1, CEIP-1.</v>
      </c>
      <c r="D1" s="424"/>
      <c r="E1" s="424"/>
      <c r="F1" s="424"/>
      <c r="G1" s="424"/>
      <c r="H1" s="424"/>
      <c r="I1" s="424"/>
      <c r="J1" s="424"/>
      <c r="K1" s="425"/>
    </row>
    <row r="2" spans="1:18" ht="14.25" x14ac:dyDescent="0.2">
      <c r="A2" s="442" t="s">
        <v>2392</v>
      </c>
      <c r="B2" s="217"/>
      <c r="C2" s="444"/>
      <c r="D2" s="487" t="str">
        <f>'Design Data'!C4</f>
        <v>DR-5</v>
      </c>
      <c r="E2" s="217"/>
      <c r="F2" s="217"/>
      <c r="G2" s="217"/>
      <c r="H2" s="217"/>
      <c r="I2" s="446"/>
      <c r="J2" s="446"/>
      <c r="K2" s="427"/>
    </row>
    <row r="3" spans="1:18" x14ac:dyDescent="0.2">
      <c r="A3" s="442" t="s">
        <v>1862</v>
      </c>
      <c r="B3" s="217"/>
      <c r="C3" s="447" t="str">
        <f>'Design Data'!C5</f>
        <v>Khulna</v>
      </c>
      <c r="D3" s="444"/>
      <c r="E3" s="217"/>
      <c r="F3" s="217"/>
      <c r="G3" s="447"/>
      <c r="H3" s="448" t="s">
        <v>1966</v>
      </c>
      <c r="I3" s="447" t="str">
        <f>'Design Data'!D18</f>
        <v>1.50m x 1.80m</v>
      </c>
      <c r="J3" s="217"/>
      <c r="K3" s="449"/>
      <c r="M3" s="170" t="e">
        <v>#VALUE!</v>
      </c>
      <c r="N3" s="171" t="s">
        <v>1</v>
      </c>
    </row>
    <row r="4" spans="1:18" x14ac:dyDescent="0.2">
      <c r="A4" s="488" t="s">
        <v>2185</v>
      </c>
      <c r="B4" s="447" t="str">
        <f>'Design Data'!C8</f>
        <v>Salta River</v>
      </c>
      <c r="C4" s="447"/>
      <c r="D4" s="444"/>
      <c r="E4" s="395"/>
      <c r="F4" s="447"/>
      <c r="G4" s="447"/>
      <c r="H4" s="447"/>
      <c r="I4" s="448"/>
      <c r="J4" s="447"/>
      <c r="K4" s="449"/>
      <c r="M4" s="170"/>
      <c r="N4" s="171"/>
    </row>
    <row r="5" spans="1:18" x14ac:dyDescent="0.2">
      <c r="A5" s="426"/>
      <c r="B5" s="217"/>
      <c r="C5" s="217"/>
      <c r="D5" s="217"/>
      <c r="E5" s="217"/>
      <c r="F5" s="217" t="s">
        <v>1863</v>
      </c>
      <c r="G5" s="217"/>
      <c r="H5" s="217"/>
      <c r="I5" s="217"/>
      <c r="J5" s="217"/>
      <c r="K5" s="427"/>
      <c r="M5" s="170">
        <v>1</v>
      </c>
      <c r="N5" s="171" t="s">
        <v>703</v>
      </c>
    </row>
    <row r="6" spans="1:18" x14ac:dyDescent="0.2">
      <c r="A6" s="426"/>
      <c r="B6" s="187" t="str">
        <f>IF(F9&gt;=F10,"OUTLET (R/S) STILLING BASIN DESIGN","INLET (C/S) STILLING BASIN DESIGN")</f>
        <v>INLET (C/S) STILLING BASIN DESIGN</v>
      </c>
      <c r="C6" s="217"/>
      <c r="D6" s="217"/>
      <c r="E6" s="217"/>
      <c r="F6" s="217"/>
      <c r="G6" s="217" t="s">
        <v>699</v>
      </c>
      <c r="H6" s="217"/>
      <c r="I6" s="217"/>
      <c r="J6" s="217"/>
      <c r="K6" s="427"/>
      <c r="M6" s="170"/>
      <c r="N6" s="171"/>
    </row>
    <row r="7" spans="1:18" x14ac:dyDescent="0.2">
      <c r="A7" s="426"/>
      <c r="B7" s="222" t="s">
        <v>704</v>
      </c>
      <c r="C7" s="217"/>
      <c r="D7" s="217"/>
      <c r="E7" s="217"/>
      <c r="F7" s="217"/>
      <c r="G7" s="217"/>
      <c r="H7" s="217"/>
      <c r="I7" s="217"/>
      <c r="J7" s="217"/>
      <c r="K7" s="427"/>
      <c r="M7" s="271" t="s">
        <v>2</v>
      </c>
      <c r="N7" s="171" t="s">
        <v>705</v>
      </c>
    </row>
    <row r="8" spans="1:18" x14ac:dyDescent="0.2">
      <c r="A8" s="426"/>
      <c r="B8" s="217"/>
      <c r="C8" s="217"/>
      <c r="D8" s="217"/>
      <c r="E8" s="217"/>
      <c r="F8" s="217"/>
      <c r="G8" s="217"/>
      <c r="H8" s="217"/>
      <c r="I8" s="217"/>
      <c r="J8" s="217"/>
      <c r="K8" s="427"/>
      <c r="N8" s="171" t="s">
        <v>706</v>
      </c>
    </row>
    <row r="9" spans="1:18" x14ac:dyDescent="0.2">
      <c r="A9" s="426"/>
      <c r="B9" s="406" t="s">
        <v>2041</v>
      </c>
      <c r="C9" s="217"/>
      <c r="D9" s="217"/>
      <c r="E9" s="217"/>
      <c r="F9" s="407">
        <v>0</v>
      </c>
      <c r="G9" s="406" t="s">
        <v>2343</v>
      </c>
      <c r="H9" s="217"/>
      <c r="I9" s="450" t="str">
        <f>IF(AND(C$76&gt;1,C$77&gt;1),"1",IF(AND(C$76&gt;=1.5,C$77&lt;=1),"3",IF(AND(C$76&lt;1.5,C$78&gt;0.667),"4",IF(AND(C$76&lt;1.5,C$78&lt;=0.667),"5","0"))))</f>
        <v>3</v>
      </c>
      <c r="J9" s="217"/>
      <c r="K9" s="427"/>
      <c r="N9" s="171" t="s">
        <v>6</v>
      </c>
    </row>
    <row r="10" spans="1:18" x14ac:dyDescent="0.2">
      <c r="A10" s="426"/>
      <c r="B10" s="406" t="s">
        <v>2043</v>
      </c>
      <c r="C10" s="217"/>
      <c r="D10" s="217"/>
      <c r="E10" s="217"/>
      <c r="F10" s="407">
        <f>'Design Data'!E33</f>
        <v>3</v>
      </c>
      <c r="G10" s="406" t="s">
        <v>2343</v>
      </c>
      <c r="H10" s="217"/>
      <c r="I10" s="217"/>
      <c r="J10" s="217"/>
      <c r="K10" s="427"/>
      <c r="N10" s="171" t="s">
        <v>709</v>
      </c>
    </row>
    <row r="11" spans="1:18" x14ac:dyDescent="0.2">
      <c r="A11" s="426"/>
      <c r="B11" s="217"/>
      <c r="C11" s="217"/>
      <c r="D11" s="217"/>
      <c r="E11" s="217"/>
      <c r="F11" s="217"/>
      <c r="G11" s="395"/>
      <c r="H11" s="217"/>
      <c r="I11" s="217"/>
      <c r="J11" s="217"/>
      <c r="K11" s="427"/>
      <c r="N11" s="171" t="s">
        <v>9</v>
      </c>
    </row>
    <row r="12" spans="1:18" ht="15" x14ac:dyDescent="0.3">
      <c r="A12" s="426"/>
      <c r="B12" s="222" t="s">
        <v>710</v>
      </c>
      <c r="C12" s="217"/>
      <c r="D12" s="217"/>
      <c r="E12" s="217"/>
      <c r="F12" s="716">
        <f>'Basin (RS)'!F11</f>
        <v>1</v>
      </c>
      <c r="G12" s="217"/>
      <c r="H12" s="217"/>
      <c r="I12" s="217"/>
      <c r="J12" s="217"/>
      <c r="K12" s="427"/>
      <c r="N12" s="171" t="s">
        <v>711</v>
      </c>
    </row>
    <row r="13" spans="1:18" x14ac:dyDescent="0.2">
      <c r="A13" s="426"/>
      <c r="B13" s="222" t="s">
        <v>714</v>
      </c>
      <c r="C13" s="217"/>
      <c r="D13" s="217"/>
      <c r="E13" s="217"/>
      <c r="F13" s="187">
        <f>'Basin (RS)'!F12</f>
        <v>1.8</v>
      </c>
      <c r="G13" s="222" t="s">
        <v>24</v>
      </c>
      <c r="H13" s="217"/>
      <c r="I13" s="217"/>
      <c r="J13" s="217"/>
      <c r="K13" s="427"/>
      <c r="N13" s="171" t="s">
        <v>713</v>
      </c>
    </row>
    <row r="14" spans="1:18" x14ac:dyDescent="0.2">
      <c r="A14" s="426"/>
      <c r="B14" s="222" t="s">
        <v>716</v>
      </c>
      <c r="C14" s="217"/>
      <c r="D14" s="217"/>
      <c r="E14" s="217"/>
      <c r="F14" s="187">
        <f>'Basin (RS)'!F13</f>
        <v>1.5</v>
      </c>
      <c r="G14" s="222" t="s">
        <v>24</v>
      </c>
      <c r="H14" s="217"/>
      <c r="I14" s="217"/>
      <c r="J14" s="217"/>
      <c r="K14" s="427"/>
      <c r="N14" s="171" t="s">
        <v>715</v>
      </c>
    </row>
    <row r="15" spans="1:18" x14ac:dyDescent="0.2">
      <c r="A15" s="426"/>
      <c r="B15" s="222" t="s">
        <v>718</v>
      </c>
      <c r="C15" s="217"/>
      <c r="D15" s="217"/>
      <c r="E15" s="217"/>
      <c r="F15" s="187">
        <f>'Basin (RS)'!F14</f>
        <v>-1.2</v>
      </c>
      <c r="G15" s="406" t="s">
        <v>2343</v>
      </c>
      <c r="H15" s="217"/>
      <c r="I15" s="217"/>
      <c r="J15" s="217"/>
      <c r="K15" s="427"/>
      <c r="N15" s="171" t="s">
        <v>717</v>
      </c>
    </row>
    <row r="16" spans="1:18" x14ac:dyDescent="0.2">
      <c r="A16" s="426"/>
      <c r="B16" s="222" t="s">
        <v>712</v>
      </c>
      <c r="C16" s="217"/>
      <c r="D16" s="217"/>
      <c r="E16" s="217"/>
      <c r="F16" s="187">
        <f>F12*F14+(F12-1)*F24</f>
        <v>1.5</v>
      </c>
      <c r="G16" s="222" t="s">
        <v>24</v>
      </c>
      <c r="H16" s="217"/>
      <c r="I16" s="217"/>
      <c r="J16" s="217"/>
      <c r="K16" s="427"/>
      <c r="N16" s="171" t="s">
        <v>719</v>
      </c>
      <c r="R16" s="171" t="s">
        <v>27</v>
      </c>
    </row>
    <row r="17" spans="1:14" x14ac:dyDescent="0.2">
      <c r="A17" s="426"/>
      <c r="B17" s="395" t="s">
        <v>2494</v>
      </c>
      <c r="C17" s="395"/>
      <c r="D17" s="395"/>
      <c r="E17" s="395"/>
      <c r="F17" s="396">
        <v>0.5</v>
      </c>
      <c r="G17" s="395" t="s">
        <v>24</v>
      </c>
      <c r="H17" s="395"/>
      <c r="I17" s="507" t="str">
        <f>IF($F$9&gt;=$F$10,"C/S","R/S")</f>
        <v>R/S</v>
      </c>
      <c r="J17" s="217"/>
      <c r="K17" s="427"/>
      <c r="N17" s="171" t="s">
        <v>720</v>
      </c>
    </row>
    <row r="18" spans="1:14" x14ac:dyDescent="0.2">
      <c r="A18" s="426"/>
      <c r="B18" s="406" t="s">
        <v>2357</v>
      </c>
      <c r="C18" s="217"/>
      <c r="D18" s="217"/>
      <c r="E18" s="217"/>
      <c r="F18" s="807">
        <f>'Basin (RS)'!F17</f>
        <v>-2.25</v>
      </c>
      <c r="G18" s="406" t="s">
        <v>2343</v>
      </c>
      <c r="H18" s="217"/>
      <c r="I18" s="217"/>
      <c r="J18" s="217"/>
      <c r="K18" s="427"/>
      <c r="N18" s="171" t="s">
        <v>30</v>
      </c>
    </row>
    <row r="19" spans="1:14" x14ac:dyDescent="0.2">
      <c r="A19" s="426"/>
      <c r="B19" s="406" t="s">
        <v>2355</v>
      </c>
      <c r="C19" s="217"/>
      <c r="D19" s="217"/>
      <c r="E19" s="217"/>
      <c r="F19" s="799">
        <f>'Basin (RS)'!F18</f>
        <v>-2.1</v>
      </c>
      <c r="G19" s="406" t="s">
        <v>2343</v>
      </c>
      <c r="H19" s="217"/>
      <c r="I19" s="480">
        <f>IF(F9&gt;=F10,F9,F10)</f>
        <v>3</v>
      </c>
      <c r="J19" s="217"/>
      <c r="K19" s="427"/>
    </row>
    <row r="20" spans="1:14" x14ac:dyDescent="0.2">
      <c r="A20" s="426"/>
      <c r="B20" s="222" t="s">
        <v>721</v>
      </c>
      <c r="C20" s="217"/>
      <c r="D20" s="217"/>
      <c r="E20" s="217"/>
      <c r="F20" s="452">
        <v>0</v>
      </c>
      <c r="G20" s="222" t="s">
        <v>24</v>
      </c>
      <c r="H20" s="217"/>
      <c r="I20" s="217"/>
      <c r="J20" s="217"/>
      <c r="K20" s="427"/>
    </row>
    <row r="21" spans="1:14" x14ac:dyDescent="0.2">
      <c r="A21" s="426"/>
      <c r="B21" s="222" t="s">
        <v>722</v>
      </c>
      <c r="C21" s="217"/>
      <c r="D21" s="217"/>
      <c r="E21" s="217"/>
      <c r="F21" s="452">
        <v>0</v>
      </c>
      <c r="G21" s="222" t="s">
        <v>24</v>
      </c>
      <c r="H21" s="217"/>
      <c r="I21" s="217"/>
      <c r="J21" s="217"/>
      <c r="K21" s="427"/>
    </row>
    <row r="22" spans="1:14" x14ac:dyDescent="0.2">
      <c r="A22" s="426"/>
      <c r="B22" s="222" t="s">
        <v>723</v>
      </c>
      <c r="C22" s="217"/>
      <c r="D22" s="217"/>
      <c r="E22" s="217"/>
      <c r="F22" s="451">
        <f>(F15-F21)*3-IF(F9&gt;F10,F18,F19)*3+0.5</f>
        <v>3.2000000000000011</v>
      </c>
      <c r="G22" s="222" t="s">
        <v>24</v>
      </c>
      <c r="H22" s="217"/>
      <c r="I22" s="217"/>
      <c r="J22" s="217"/>
      <c r="K22" s="427"/>
    </row>
    <row r="23" spans="1:14" x14ac:dyDescent="0.2">
      <c r="A23" s="426"/>
      <c r="B23" s="222" t="s">
        <v>724</v>
      </c>
      <c r="C23" s="217"/>
      <c r="D23" s="217"/>
      <c r="E23" s="217"/>
      <c r="F23" s="502">
        <f>'Basin (RS)'!F22</f>
        <v>8</v>
      </c>
      <c r="G23" s="222" t="s">
        <v>32</v>
      </c>
      <c r="H23" s="217"/>
      <c r="I23" s="217"/>
      <c r="J23" s="217"/>
      <c r="K23" s="427"/>
    </row>
    <row r="24" spans="1:14" x14ac:dyDescent="0.2">
      <c r="A24" s="426"/>
      <c r="B24" s="217" t="s">
        <v>336</v>
      </c>
      <c r="C24" s="217"/>
      <c r="D24" s="217"/>
      <c r="E24" s="217"/>
      <c r="F24" s="187">
        <v>0.7</v>
      </c>
      <c r="G24" s="217" t="s">
        <v>24</v>
      </c>
      <c r="H24" s="217"/>
      <c r="I24" s="217"/>
      <c r="J24" s="217"/>
      <c r="K24" s="427"/>
    </row>
    <row r="25" spans="1:14" x14ac:dyDescent="0.2">
      <c r="A25" s="426"/>
      <c r="B25" s="222" t="s">
        <v>725</v>
      </c>
      <c r="C25" s="217"/>
      <c r="D25" s="407"/>
      <c r="E25" s="217"/>
      <c r="F25" s="187">
        <f>'Basin (RS)'!F24</f>
        <v>2</v>
      </c>
      <c r="G25" s="222" t="s">
        <v>726</v>
      </c>
      <c r="H25" s="217"/>
      <c r="I25" s="217"/>
      <c r="J25" s="217"/>
      <c r="K25" s="427"/>
    </row>
    <row r="26" spans="1:14" x14ac:dyDescent="0.2">
      <c r="A26" s="426"/>
      <c r="B26" s="406" t="s">
        <v>1920</v>
      </c>
      <c r="C26" s="217"/>
      <c r="D26" s="407"/>
      <c r="E26" s="217"/>
      <c r="F26" s="799">
        <f>'Design Data'!E38</f>
        <v>3</v>
      </c>
      <c r="G26" s="406" t="s">
        <v>2343</v>
      </c>
      <c r="H26" s="217"/>
      <c r="I26" s="217"/>
      <c r="J26" s="217"/>
      <c r="K26" s="427"/>
    </row>
    <row r="27" spans="1:14" x14ac:dyDescent="0.2">
      <c r="A27" s="426"/>
      <c r="B27" s="406"/>
      <c r="C27" s="217"/>
      <c r="D27" s="407"/>
      <c r="E27" s="217"/>
      <c r="F27" s="407"/>
      <c r="G27" s="406"/>
      <c r="H27" s="217"/>
      <c r="I27" s="217"/>
      <c r="J27" s="217"/>
      <c r="K27" s="427"/>
    </row>
    <row r="28" spans="1:14" x14ac:dyDescent="0.2">
      <c r="A28" s="426"/>
      <c r="B28" s="249" t="str">
        <f>IF($F$9&gt;=$F$10,"C/S","R/S")</f>
        <v>R/S</v>
      </c>
      <c r="C28" s="217"/>
      <c r="D28" s="217"/>
      <c r="E28" s="217"/>
      <c r="F28" s="217"/>
      <c r="G28" s="217"/>
      <c r="H28" s="217"/>
      <c r="I28" s="217"/>
      <c r="J28" s="217"/>
      <c r="K28" s="427"/>
    </row>
    <row r="29" spans="1:14" x14ac:dyDescent="0.2">
      <c r="A29" s="426"/>
      <c r="B29" s="217">
        <f>IF(F9&gt;=F10,F9,F10)</f>
        <v>3</v>
      </c>
      <c r="C29" s="222"/>
      <c r="D29" s="222"/>
      <c r="E29" s="217"/>
      <c r="F29" s="217"/>
      <c r="G29" s="217"/>
      <c r="H29" s="217"/>
      <c r="I29" s="217"/>
      <c r="J29" s="217"/>
      <c r="K29" s="427"/>
    </row>
    <row r="30" spans="1:14" x14ac:dyDescent="0.2">
      <c r="A30" s="426"/>
      <c r="B30" s="222"/>
      <c r="C30" s="217"/>
      <c r="D30" s="222"/>
      <c r="E30" s="266"/>
      <c r="F30" s="266"/>
      <c r="G30" s="266"/>
      <c r="H30" s="266"/>
      <c r="I30" s="266"/>
      <c r="J30" s="266"/>
      <c r="K30" s="457"/>
    </row>
    <row r="31" spans="1:14" x14ac:dyDescent="0.2">
      <c r="A31" s="426"/>
      <c r="B31" s="222"/>
      <c r="C31" s="222"/>
      <c r="D31" s="217"/>
      <c r="E31" s="217"/>
      <c r="F31" s="217"/>
      <c r="G31" s="249" t="str">
        <f>IF($F$9&gt;=$F$10,"R/S","C/S")</f>
        <v>C/S</v>
      </c>
      <c r="H31" s="217"/>
      <c r="I31" s="222"/>
      <c r="J31" s="222"/>
      <c r="K31" s="458"/>
    </row>
    <row r="32" spans="1:14" x14ac:dyDescent="0.2">
      <c r="A32" s="426"/>
      <c r="B32" s="217"/>
      <c r="C32" s="217"/>
      <c r="D32" s="459"/>
      <c r="E32" s="459"/>
      <c r="F32" s="217"/>
      <c r="G32" s="222"/>
      <c r="H32" s="217"/>
      <c r="I32" s="222"/>
      <c r="J32" s="266"/>
      <c r="K32" s="458"/>
    </row>
    <row r="33" spans="1:12" x14ac:dyDescent="0.2">
      <c r="A33" s="426"/>
      <c r="B33" s="217"/>
      <c r="C33" s="217"/>
      <c r="D33" s="222"/>
      <c r="E33" s="459"/>
      <c r="F33" s="187">
        <f>IF(F9&gt;=F10,F9,F10)</f>
        <v>3</v>
      </c>
      <c r="G33" s="217"/>
      <c r="H33" s="217"/>
      <c r="I33" s="222"/>
      <c r="J33" s="222"/>
      <c r="K33" s="458"/>
    </row>
    <row r="34" spans="1:12" x14ac:dyDescent="0.2">
      <c r="A34" s="426"/>
      <c r="B34" s="217"/>
      <c r="C34" s="187">
        <f>F13</f>
        <v>1.8</v>
      </c>
      <c r="D34" s="459"/>
      <c r="E34" s="459"/>
      <c r="F34" s="217"/>
      <c r="G34" s="217"/>
      <c r="H34" s="217"/>
      <c r="I34" s="222"/>
      <c r="J34" s="222"/>
      <c r="K34" s="458"/>
    </row>
    <row r="35" spans="1:12" x14ac:dyDescent="0.2">
      <c r="A35" s="426"/>
      <c r="B35" s="187">
        <f>F15</f>
        <v>-1.2</v>
      </c>
      <c r="C35" s="217"/>
      <c r="D35" s="459"/>
      <c r="E35" s="459"/>
      <c r="F35" s="217"/>
      <c r="G35" s="217"/>
      <c r="H35" s="217"/>
      <c r="I35" s="222"/>
      <c r="J35" s="266"/>
      <c r="K35" s="458"/>
    </row>
    <row r="36" spans="1:12" x14ac:dyDescent="0.2">
      <c r="A36" s="426"/>
      <c r="B36" s="222"/>
      <c r="C36" s="222"/>
      <c r="D36" s="222"/>
      <c r="E36" s="222">
        <f>F21</f>
        <v>0</v>
      </c>
      <c r="F36" s="222"/>
      <c r="G36" s="217"/>
      <c r="H36" s="217"/>
      <c r="I36" s="222"/>
      <c r="J36" s="222"/>
      <c r="K36" s="458"/>
    </row>
    <row r="37" spans="1:12" x14ac:dyDescent="0.2">
      <c r="A37" s="426"/>
      <c r="B37" s="217"/>
      <c r="C37" s="217"/>
      <c r="D37" s="222"/>
      <c r="E37" s="217"/>
      <c r="F37" s="217"/>
      <c r="G37" s="187">
        <f>IF(F9&gt;F10,F18,F19)</f>
        <v>-2.1</v>
      </c>
      <c r="H37" s="222"/>
      <c r="I37" s="222"/>
      <c r="J37" s="222"/>
      <c r="K37" s="458"/>
    </row>
    <row r="38" spans="1:12" x14ac:dyDescent="0.2">
      <c r="A38" s="426"/>
      <c r="B38" s="217"/>
      <c r="C38" s="217"/>
      <c r="D38" s="222"/>
      <c r="E38" s="217"/>
      <c r="F38" s="217"/>
      <c r="G38" s="222"/>
      <c r="H38" s="266"/>
      <c r="I38" s="222"/>
      <c r="J38" s="222" t="s">
        <v>727</v>
      </c>
      <c r="K38" s="458" t="s">
        <v>727</v>
      </c>
    </row>
    <row r="39" spans="1:12" x14ac:dyDescent="0.2">
      <c r="A39" s="426"/>
      <c r="B39" s="217"/>
      <c r="C39" s="217"/>
      <c r="D39" s="222"/>
      <c r="E39" s="187">
        <f>F22</f>
        <v>3.2000000000000011</v>
      </c>
      <c r="F39" s="222" t="s">
        <v>199</v>
      </c>
      <c r="G39" s="217">
        <f>H229</f>
        <v>13</v>
      </c>
      <c r="H39" s="217"/>
      <c r="I39" s="222"/>
      <c r="J39" s="217"/>
      <c r="K39" s="427"/>
    </row>
    <row r="40" spans="1:12" x14ac:dyDescent="0.2">
      <c r="A40" s="426"/>
      <c r="B40" s="217"/>
      <c r="C40" s="1431" t="s">
        <v>728</v>
      </c>
      <c r="D40" s="1431"/>
      <c r="E40" s="249" t="s">
        <v>729</v>
      </c>
      <c r="F40" s="222"/>
      <c r="G40" s="399" t="s">
        <v>730</v>
      </c>
      <c r="H40" s="217"/>
      <c r="I40" s="222"/>
      <c r="J40" s="217"/>
      <c r="K40" s="427"/>
    </row>
    <row r="41" spans="1:12" x14ac:dyDescent="0.2">
      <c r="A41" s="426"/>
      <c r="B41" s="217"/>
      <c r="C41" s="217"/>
      <c r="D41" s="222"/>
      <c r="E41" s="217"/>
      <c r="F41" s="222"/>
      <c r="G41" s="266"/>
      <c r="H41" s="266"/>
      <c r="I41" s="222"/>
      <c r="J41" s="217"/>
      <c r="K41" s="427"/>
    </row>
    <row r="42" spans="1:12" x14ac:dyDescent="0.2">
      <c r="A42" s="426"/>
      <c r="B42" s="217"/>
      <c r="C42" s="217"/>
      <c r="D42" s="222"/>
      <c r="E42" s="461" t="s">
        <v>53</v>
      </c>
      <c r="F42" s="217"/>
      <c r="G42" s="217"/>
      <c r="H42" s="217"/>
      <c r="I42" s="217"/>
      <c r="J42" s="217"/>
      <c r="K42" s="427"/>
    </row>
    <row r="43" spans="1:12" x14ac:dyDescent="0.2">
      <c r="A43" s="426"/>
      <c r="B43" s="217"/>
      <c r="C43" s="217"/>
      <c r="D43" s="217"/>
      <c r="E43" s="217"/>
      <c r="F43" s="217"/>
      <c r="G43" s="217"/>
      <c r="H43" s="217"/>
      <c r="I43" s="222"/>
      <c r="J43" s="217"/>
      <c r="K43" s="427"/>
    </row>
    <row r="44" spans="1:12" x14ac:dyDescent="0.2">
      <c r="A44" s="426"/>
      <c r="B44" s="217"/>
      <c r="C44" s="217"/>
      <c r="D44" s="217"/>
      <c r="E44" s="217"/>
      <c r="F44" s="217"/>
      <c r="G44" s="217"/>
      <c r="H44" s="217"/>
      <c r="I44" s="222"/>
      <c r="J44" s="217"/>
      <c r="K44" s="427"/>
      <c r="L44" s="171"/>
    </row>
    <row r="45" spans="1:12" x14ac:dyDescent="0.2">
      <c r="A45" s="426"/>
      <c r="B45" s="217"/>
      <c r="C45" s="217"/>
      <c r="D45" s="217"/>
      <c r="E45" s="217"/>
      <c r="F45" s="217"/>
      <c r="G45" s="217"/>
      <c r="H45" s="217"/>
      <c r="I45" s="217"/>
      <c r="J45" s="217"/>
      <c r="K45" s="427"/>
    </row>
    <row r="46" spans="1:12" x14ac:dyDescent="0.2">
      <c r="A46" s="426"/>
      <c r="B46" s="461" t="s">
        <v>50</v>
      </c>
      <c r="C46" s="217"/>
      <c r="D46" s="217"/>
      <c r="E46" s="217"/>
      <c r="F46" s="217"/>
      <c r="G46" s="217"/>
      <c r="H46" s="217"/>
      <c r="I46" s="222"/>
      <c r="J46" s="266"/>
      <c r="K46" s="457"/>
    </row>
    <row r="47" spans="1:12" x14ac:dyDescent="0.2">
      <c r="A47" s="426"/>
      <c r="B47" s="217"/>
      <c r="C47" s="217"/>
      <c r="D47" s="217"/>
      <c r="E47" s="217"/>
      <c r="F47" s="217"/>
      <c r="G47" s="217"/>
      <c r="H47" s="217"/>
      <c r="I47" s="217"/>
      <c r="J47" s="462" t="s">
        <v>731</v>
      </c>
      <c r="K47" s="463"/>
    </row>
    <row r="48" spans="1:12" x14ac:dyDescent="0.2">
      <c r="A48" s="426"/>
      <c r="B48" s="217"/>
      <c r="C48" s="217"/>
      <c r="D48" s="217"/>
      <c r="E48" s="217"/>
      <c r="F48" s="217"/>
      <c r="G48" s="217"/>
      <c r="H48" s="217"/>
      <c r="I48" s="217"/>
      <c r="J48" s="462" t="s">
        <v>732</v>
      </c>
      <c r="K48" s="463"/>
    </row>
    <row r="49" spans="1:11" x14ac:dyDescent="0.2">
      <c r="A49" s="426"/>
      <c r="B49" s="217"/>
      <c r="C49" s="217"/>
      <c r="D49" s="217"/>
      <c r="E49" s="217"/>
      <c r="F49" s="217"/>
      <c r="G49" s="217"/>
      <c r="H49" s="217"/>
      <c r="I49" s="222"/>
      <c r="J49" s="462" t="s">
        <v>733</v>
      </c>
      <c r="K49" s="464">
        <f>F25</f>
        <v>2</v>
      </c>
    </row>
    <row r="50" spans="1:11" x14ac:dyDescent="0.2">
      <c r="A50" s="426"/>
      <c r="B50" s="217"/>
      <c r="C50" s="217"/>
      <c r="D50" s="217"/>
      <c r="E50" s="217"/>
      <c r="F50" s="217"/>
      <c r="G50" s="222"/>
      <c r="H50" s="217"/>
      <c r="I50" s="217"/>
      <c r="J50" s="222"/>
      <c r="K50" s="458"/>
    </row>
    <row r="51" spans="1:11" x14ac:dyDescent="0.2">
      <c r="A51" s="426"/>
      <c r="B51" s="217"/>
      <c r="C51" s="217"/>
      <c r="D51" s="217"/>
      <c r="E51" s="217"/>
      <c r="F51" s="222"/>
      <c r="G51" s="217"/>
      <c r="H51" s="217"/>
      <c r="I51" s="222"/>
      <c r="J51" s="217"/>
      <c r="K51" s="458"/>
    </row>
    <row r="52" spans="1:11" x14ac:dyDescent="0.2">
      <c r="A52" s="426"/>
      <c r="B52" s="217"/>
      <c r="C52" s="217"/>
      <c r="D52" s="222"/>
      <c r="E52" s="222"/>
      <c r="F52" s="217"/>
      <c r="G52" s="222"/>
      <c r="H52" s="399">
        <f>F23</f>
        <v>8</v>
      </c>
      <c r="I52" s="461" t="s">
        <v>32</v>
      </c>
      <c r="J52" s="217"/>
      <c r="K52" s="458"/>
    </row>
    <row r="53" spans="1:11" x14ac:dyDescent="0.2">
      <c r="A53" s="426"/>
      <c r="B53" s="217"/>
      <c r="C53" s="217"/>
      <c r="D53" s="187">
        <f>F20</f>
        <v>0</v>
      </c>
      <c r="E53" s="217"/>
      <c r="F53" s="222"/>
      <c r="G53" s="217"/>
      <c r="H53" s="217"/>
      <c r="I53" s="222"/>
      <c r="J53" s="217"/>
      <c r="K53" s="458"/>
    </row>
    <row r="54" spans="1:11" x14ac:dyDescent="0.2">
      <c r="A54" s="426"/>
      <c r="B54" s="222"/>
      <c r="C54" s="222"/>
      <c r="D54" s="217"/>
      <c r="E54" s="222"/>
      <c r="F54" s="222"/>
      <c r="G54" s="217"/>
      <c r="H54" s="217"/>
      <c r="I54" s="222"/>
      <c r="J54" s="217"/>
      <c r="K54" s="458"/>
    </row>
    <row r="55" spans="1:11" x14ac:dyDescent="0.2">
      <c r="A55" s="426"/>
      <c r="B55" s="222"/>
      <c r="C55" s="187">
        <f>F14</f>
        <v>1.5</v>
      </c>
      <c r="D55" s="222"/>
      <c r="E55" s="217"/>
      <c r="F55" s="222"/>
      <c r="G55" s="217"/>
      <c r="H55" s="217"/>
      <c r="I55" s="222"/>
      <c r="J55" s="222" t="s">
        <v>734</v>
      </c>
      <c r="K55" s="458"/>
    </row>
    <row r="56" spans="1:11" x14ac:dyDescent="0.2">
      <c r="A56" s="426"/>
      <c r="B56" s="187">
        <f>F16</f>
        <v>1.5</v>
      </c>
      <c r="C56" s="249" t="s">
        <v>735</v>
      </c>
      <c r="D56" s="460"/>
      <c r="E56" s="249" t="s">
        <v>729</v>
      </c>
      <c r="F56" s="222"/>
      <c r="G56" s="249" t="s">
        <v>736</v>
      </c>
      <c r="H56" s="217"/>
      <c r="I56" s="222"/>
      <c r="J56" s="222" t="s">
        <v>737</v>
      </c>
      <c r="K56" s="458"/>
    </row>
    <row r="57" spans="1:11" x14ac:dyDescent="0.2">
      <c r="A57" s="426"/>
      <c r="B57" s="217"/>
      <c r="C57" s="222"/>
      <c r="D57" s="217"/>
      <c r="E57" s="217"/>
      <c r="F57" s="222"/>
      <c r="G57" s="217"/>
      <c r="H57" s="217"/>
      <c r="I57" s="222"/>
      <c r="J57" s="217"/>
      <c r="K57" s="458"/>
    </row>
    <row r="58" spans="1:11" x14ac:dyDescent="0.2">
      <c r="A58" s="426"/>
      <c r="B58" s="222"/>
      <c r="C58" s="222"/>
      <c r="D58" s="217"/>
      <c r="E58" s="217"/>
      <c r="F58" s="217"/>
      <c r="G58" s="217"/>
      <c r="H58" s="217"/>
      <c r="I58" s="222"/>
      <c r="J58" s="217">
        <f>F240</f>
        <v>5</v>
      </c>
      <c r="K58" s="484" t="s">
        <v>24</v>
      </c>
    </row>
    <row r="59" spans="1:11" x14ac:dyDescent="0.2">
      <c r="A59" s="426"/>
      <c r="B59" s="222"/>
      <c r="C59" s="222"/>
      <c r="D59" s="217"/>
      <c r="E59" s="217"/>
      <c r="F59" s="222"/>
      <c r="G59" s="217"/>
      <c r="H59" s="217"/>
      <c r="I59" s="222"/>
      <c r="J59" s="1406" t="s">
        <v>2549</v>
      </c>
      <c r="K59" s="427"/>
    </row>
    <row r="60" spans="1:11" x14ac:dyDescent="0.2">
      <c r="A60" s="426"/>
      <c r="B60" s="217"/>
      <c r="C60" s="217"/>
      <c r="D60" s="217"/>
      <c r="E60" s="217"/>
      <c r="F60" s="217"/>
      <c r="G60" s="217"/>
      <c r="H60" s="217"/>
      <c r="I60" s="217"/>
      <c r="J60" s="217"/>
      <c r="K60" s="427"/>
    </row>
    <row r="61" spans="1:11" ht="13.5" thickBot="1" x14ac:dyDescent="0.25">
      <c r="A61" s="429"/>
      <c r="B61" s="430"/>
      <c r="C61" s="430"/>
      <c r="D61" s="430"/>
      <c r="E61" s="430"/>
      <c r="F61" s="430"/>
      <c r="G61" s="430"/>
      <c r="H61" s="430"/>
      <c r="I61" s="430"/>
      <c r="J61" s="430"/>
      <c r="K61" s="489" t="s">
        <v>2459</v>
      </c>
    </row>
    <row r="62" spans="1:11" ht="13.5" thickBot="1" x14ac:dyDescent="0.25">
      <c r="A62" s="217"/>
      <c r="C62" s="217"/>
      <c r="D62" s="217"/>
      <c r="E62" s="217"/>
      <c r="F62" s="217"/>
      <c r="G62" s="217"/>
      <c r="H62" s="217"/>
      <c r="I62" s="217"/>
      <c r="J62" s="217"/>
      <c r="K62" s="217"/>
    </row>
    <row r="63" spans="1:11" x14ac:dyDescent="0.2">
      <c r="A63" s="423"/>
      <c r="B63" s="466" t="s">
        <v>738</v>
      </c>
      <c r="C63" s="424"/>
      <c r="D63" s="424"/>
      <c r="E63" s="424"/>
      <c r="F63" s="424"/>
      <c r="G63" s="424"/>
      <c r="H63" s="424"/>
      <c r="I63" s="424"/>
      <c r="J63" s="424"/>
      <c r="K63" s="425"/>
    </row>
    <row r="64" spans="1:11" x14ac:dyDescent="0.2">
      <c r="A64" s="426"/>
      <c r="B64" s="222" t="s">
        <v>739</v>
      </c>
      <c r="C64" s="217"/>
      <c r="D64" s="217"/>
      <c r="E64" s="217"/>
      <c r="F64" s="217"/>
      <c r="G64" s="217"/>
      <c r="H64" s="217"/>
      <c r="I64" s="217"/>
      <c r="J64" s="217"/>
      <c r="K64" s="427"/>
    </row>
    <row r="65" spans="1:11" x14ac:dyDescent="0.2">
      <c r="A65" s="426"/>
      <c r="B65" s="222" t="s">
        <v>740</v>
      </c>
      <c r="C65" s="217"/>
      <c r="D65" s="217"/>
      <c r="E65" s="217"/>
      <c r="F65" s="217"/>
      <c r="G65" s="217"/>
      <c r="H65" s="217"/>
      <c r="I65" s="217"/>
      <c r="J65" s="217"/>
      <c r="K65" s="427"/>
    </row>
    <row r="66" spans="1:11" x14ac:dyDescent="0.2">
      <c r="A66" s="426"/>
      <c r="B66" s="217"/>
      <c r="C66" s="217"/>
      <c r="D66" s="217"/>
      <c r="E66" s="217"/>
      <c r="F66" s="217"/>
      <c r="G66" s="217"/>
      <c r="H66" s="217"/>
      <c r="I66" s="217"/>
      <c r="J66" s="217"/>
      <c r="K66" s="427"/>
    </row>
    <row r="67" spans="1:11" x14ac:dyDescent="0.2">
      <c r="A67" s="426"/>
      <c r="B67" s="222" t="s">
        <v>741</v>
      </c>
      <c r="C67" s="217"/>
      <c r="D67" s="217"/>
      <c r="E67" s="217"/>
      <c r="F67" s="217"/>
      <c r="G67" s="217"/>
      <c r="H67" s="217"/>
      <c r="I67" s="217"/>
      <c r="J67" s="217"/>
      <c r="K67" s="427"/>
    </row>
    <row r="68" spans="1:11" x14ac:dyDescent="0.2">
      <c r="A68" s="426"/>
      <c r="B68" s="222" t="s">
        <v>742</v>
      </c>
      <c r="C68" s="217"/>
      <c r="D68" s="217"/>
      <c r="E68" s="217"/>
      <c r="F68" s="217"/>
      <c r="G68" s="217"/>
      <c r="H68" s="217"/>
      <c r="I68" s="217"/>
      <c r="J68" s="217"/>
      <c r="K68" s="427"/>
    </row>
    <row r="69" spans="1:11" x14ac:dyDescent="0.2">
      <c r="A69" s="426"/>
      <c r="B69" s="222" t="s">
        <v>743</v>
      </c>
      <c r="C69" s="217"/>
      <c r="D69" s="217"/>
      <c r="E69" s="217"/>
      <c r="F69" s="217"/>
      <c r="G69" s="217"/>
      <c r="H69" s="217"/>
      <c r="I69" s="217"/>
      <c r="J69" s="217"/>
      <c r="K69" s="427"/>
    </row>
    <row r="70" spans="1:11" x14ac:dyDescent="0.2">
      <c r="A70" s="426"/>
      <c r="B70" s="222" t="s">
        <v>744</v>
      </c>
      <c r="C70" s="217"/>
      <c r="D70" s="217"/>
      <c r="E70" s="217"/>
      <c r="F70" s="217"/>
      <c r="G70" s="217"/>
      <c r="H70" s="217"/>
      <c r="I70" s="217"/>
      <c r="J70" s="217"/>
      <c r="K70" s="427"/>
    </row>
    <row r="71" spans="1:11" x14ac:dyDescent="0.2">
      <c r="A71" s="426"/>
      <c r="B71" s="222"/>
      <c r="C71" s="217"/>
      <c r="D71" s="217"/>
      <c r="E71" s="217"/>
      <c r="F71" s="217"/>
      <c r="G71" s="217"/>
      <c r="H71" s="217"/>
      <c r="I71" s="217"/>
      <c r="J71" s="217"/>
      <c r="K71" s="427"/>
    </row>
    <row r="72" spans="1:11" x14ac:dyDescent="0.2">
      <c r="A72" s="426"/>
      <c r="B72" s="222" t="s">
        <v>745</v>
      </c>
      <c r="C72" s="187" t="str">
        <f>IF(F9&gt;=F10," U/S Wa"," D/S Wa")</f>
        <v xml:space="preserve"> D/S Wa</v>
      </c>
      <c r="D72" s="222" t="s">
        <v>746</v>
      </c>
      <c r="E72" s="217"/>
      <c r="F72" s="217"/>
      <c r="G72" s="217"/>
      <c r="H72" s="187">
        <f>IF(F9&gt;=F10,F9,F10)-F15</f>
        <v>4.2</v>
      </c>
      <c r="I72" s="217" t="s">
        <v>24</v>
      </c>
      <c r="J72" s="217"/>
      <c r="K72" s="427"/>
    </row>
    <row r="73" spans="1:11" x14ac:dyDescent="0.2">
      <c r="A73" s="426"/>
      <c r="B73" s="222" t="s">
        <v>747</v>
      </c>
      <c r="C73" s="187" t="str">
        <f>IF(F9&gt;=F10," D/S Wa"," U/S Wa")</f>
        <v xml:space="preserve"> U/S Wa</v>
      </c>
      <c r="D73" s="222" t="s">
        <v>746</v>
      </c>
      <c r="E73" s="217"/>
      <c r="F73" s="217"/>
      <c r="G73" s="217"/>
      <c r="H73" s="187">
        <f>IF(F9&gt;=F10,F10,F9)-F15</f>
        <v>1.2</v>
      </c>
      <c r="I73" s="217" t="s">
        <v>24</v>
      </c>
      <c r="J73" s="217"/>
      <c r="K73" s="427"/>
    </row>
    <row r="74" spans="1:11" x14ac:dyDescent="0.2">
      <c r="A74" s="426"/>
      <c r="B74" s="222"/>
      <c r="C74" s="217"/>
      <c r="D74" s="222"/>
      <c r="E74" s="187"/>
      <c r="F74" s="222"/>
      <c r="G74" s="187"/>
      <c r="H74" s="222"/>
      <c r="I74" s="217"/>
      <c r="J74" s="217"/>
      <c r="K74" s="427"/>
    </row>
    <row r="75" spans="1:11" x14ac:dyDescent="0.2">
      <c r="A75" s="426"/>
      <c r="B75" s="222" t="s">
        <v>748</v>
      </c>
      <c r="C75" s="217"/>
      <c r="D75" s="217"/>
      <c r="E75" s="217"/>
      <c r="F75" s="187">
        <f>F13</f>
        <v>1.8</v>
      </c>
      <c r="G75" s="222" t="s">
        <v>24</v>
      </c>
      <c r="H75" s="217"/>
      <c r="I75" s="217"/>
      <c r="J75" s="217"/>
      <c r="K75" s="427"/>
    </row>
    <row r="76" spans="1:11" x14ac:dyDescent="0.2">
      <c r="A76" s="426"/>
      <c r="B76" s="222" t="s">
        <v>749</v>
      </c>
      <c r="C76" s="187">
        <f>H72/F75</f>
        <v>2.3333333333333335</v>
      </c>
      <c r="D76" s="222" t="s">
        <v>750</v>
      </c>
      <c r="E76" s="187" t="str">
        <f>IF(I78="1"," ( H &gt; Hb   and   Htw &gt; Hb )",IF(I78="3"," ( H &gt; 1.5 Hb   and   Htw &lt; Hb )",IF(I78="4"," ( H &lt; 1.5 Hb   and   Htw &gt; 2/3 H )",IF(I78="5"," ( H &lt; 1.5 Hb   and   Htw &lt; 2/3 H )","Error !!"))))</f>
        <v xml:space="preserve"> ( H &gt; 1.5 Hb   and   Htw &lt; Hb )</v>
      </c>
      <c r="F76" s="217"/>
      <c r="G76" s="217"/>
      <c r="H76" s="217"/>
      <c r="I76" s="217"/>
      <c r="J76" s="217"/>
      <c r="K76" s="427"/>
    </row>
    <row r="77" spans="1:11" x14ac:dyDescent="0.2">
      <c r="A77" s="426"/>
      <c r="B77" s="222" t="s">
        <v>751</v>
      </c>
      <c r="C77" s="187">
        <f>H73/F75</f>
        <v>0.66666666666666663</v>
      </c>
      <c r="D77" s="222" t="s">
        <v>750</v>
      </c>
      <c r="E77" s="217"/>
      <c r="F77" s="217"/>
      <c r="G77" s="217"/>
      <c r="H77" s="217"/>
      <c r="I77" s="217"/>
      <c r="J77" s="217"/>
      <c r="K77" s="427"/>
    </row>
    <row r="78" spans="1:11" x14ac:dyDescent="0.2">
      <c r="A78" s="426"/>
      <c r="B78" s="222" t="s">
        <v>751</v>
      </c>
      <c r="C78" s="187">
        <f>H73/H72</f>
        <v>0.2857142857142857</v>
      </c>
      <c r="D78" s="222" t="s">
        <v>207</v>
      </c>
      <c r="E78" s="217"/>
      <c r="F78" s="217"/>
      <c r="G78" s="217"/>
      <c r="H78" s="399" t="s">
        <v>752</v>
      </c>
      <c r="I78" s="450" t="str">
        <f>IF(AND(C$76&gt;1,C$77&gt;1),"1",IF(AND(C$76&gt;=1.5,C$77&lt;=1),"3",IF(AND(C$76&lt;1.5,C$78&gt;0.667),"4",IF(AND(C$76&lt;1.5,C$78&lt;=0.667),"5","0"))))</f>
        <v>3</v>
      </c>
      <c r="J78" s="222" t="s">
        <v>753</v>
      </c>
      <c r="K78" s="427"/>
    </row>
    <row r="79" spans="1:11" x14ac:dyDescent="0.2">
      <c r="A79" s="426"/>
      <c r="B79" s="187"/>
      <c r="C79" s="217"/>
      <c r="D79" s="217"/>
      <c r="E79" s="217"/>
      <c r="F79" s="217"/>
      <c r="G79" s="217"/>
      <c r="H79" s="217"/>
      <c r="I79" s="217"/>
      <c r="J79" s="217"/>
      <c r="K79" s="427"/>
    </row>
    <row r="80" spans="1:11" x14ac:dyDescent="0.2">
      <c r="A80" s="426"/>
      <c r="B80" s="222" t="s">
        <v>754</v>
      </c>
      <c r="C80" s="217"/>
      <c r="D80" s="217"/>
      <c r="E80" s="217"/>
      <c r="F80" s="217"/>
      <c r="G80" s="217"/>
      <c r="H80" s="217"/>
      <c r="I80" s="217"/>
      <c r="J80" s="217"/>
      <c r="K80" s="427"/>
    </row>
    <row r="81" spans="1:14" x14ac:dyDescent="0.2">
      <c r="A81" s="426"/>
      <c r="B81" s="217"/>
      <c r="C81" s="217"/>
      <c r="D81" s="217"/>
      <c r="E81" s="217"/>
      <c r="F81" s="217"/>
      <c r="G81" s="217"/>
      <c r="H81" s="217"/>
      <c r="I81" s="217"/>
      <c r="J81" s="217"/>
      <c r="K81" s="427"/>
    </row>
    <row r="82" spans="1:14" x14ac:dyDescent="0.2">
      <c r="A82" s="426"/>
      <c r="B82" s="222" t="s">
        <v>755</v>
      </c>
      <c r="C82" s="217"/>
      <c r="D82" s="217"/>
      <c r="E82" s="217"/>
      <c r="F82" s="217"/>
      <c r="G82" s="217"/>
      <c r="H82" s="217"/>
      <c r="I82" s="217"/>
      <c r="J82" s="217"/>
      <c r="K82" s="427"/>
    </row>
    <row r="83" spans="1:14" x14ac:dyDescent="0.2">
      <c r="A83" s="426"/>
      <c r="B83" s="222" t="s">
        <v>756</v>
      </c>
      <c r="C83" s="217"/>
      <c r="D83" s="217"/>
      <c r="E83" s="217"/>
      <c r="F83" s="217"/>
      <c r="G83" s="217"/>
      <c r="H83" s="217"/>
      <c r="I83" s="217"/>
      <c r="J83" s="217"/>
      <c r="K83" s="427"/>
    </row>
    <row r="84" spans="1:14" x14ac:dyDescent="0.2">
      <c r="A84" s="684"/>
      <c r="B84" s="685"/>
      <c r="C84" s="685"/>
      <c r="D84" s="685"/>
      <c r="E84" s="685"/>
      <c r="F84" s="685"/>
      <c r="G84" s="685"/>
      <c r="H84" s="685"/>
      <c r="I84" s="685"/>
      <c r="J84" s="685"/>
      <c r="K84" s="686"/>
    </row>
    <row r="85" spans="1:14" x14ac:dyDescent="0.2">
      <c r="A85" s="788"/>
      <c r="B85" s="505" t="s">
        <v>757</v>
      </c>
      <c r="C85" s="480"/>
      <c r="D85" s="480"/>
      <c r="E85" s="480"/>
      <c r="F85" s="480"/>
      <c r="G85" s="480"/>
      <c r="H85" s="480"/>
      <c r="I85" s="480"/>
      <c r="J85" s="480"/>
      <c r="K85" s="686"/>
    </row>
    <row r="86" spans="1:14" x14ac:dyDescent="0.2">
      <c r="A86" s="788"/>
      <c r="B86" s="480"/>
      <c r="C86" s="480"/>
      <c r="D86" s="480"/>
      <c r="E86" s="480"/>
      <c r="F86" s="480"/>
      <c r="G86" s="480"/>
      <c r="H86" s="480"/>
      <c r="I86" s="480"/>
      <c r="J86" s="480"/>
      <c r="K86" s="686"/>
    </row>
    <row r="87" spans="1:14" x14ac:dyDescent="0.2">
      <c r="A87" s="788"/>
      <c r="B87" s="505" t="s">
        <v>758</v>
      </c>
      <c r="C87" s="480"/>
      <c r="D87" s="480"/>
      <c r="E87" s="480"/>
      <c r="F87" s="480"/>
      <c r="G87" s="480"/>
      <c r="H87" s="480"/>
      <c r="I87" s="480"/>
      <c r="J87" s="480"/>
      <c r="K87" s="686"/>
      <c r="M87" s="171" t="s">
        <v>759</v>
      </c>
      <c r="N87" s="171" t="s">
        <v>760</v>
      </c>
    </row>
    <row r="88" spans="1:14" x14ac:dyDescent="0.2">
      <c r="A88" s="788"/>
      <c r="B88" s="505" t="s">
        <v>761</v>
      </c>
      <c r="C88" s="480"/>
      <c r="D88" s="480"/>
      <c r="E88" s="480"/>
      <c r="F88" s="480"/>
      <c r="G88" s="480"/>
      <c r="H88" s="480"/>
      <c r="I88" s="480"/>
      <c r="J88" s="480"/>
      <c r="K88" s="686"/>
    </row>
    <row r="89" spans="1:14" x14ac:dyDescent="0.2">
      <c r="A89" s="788"/>
      <c r="B89" s="480"/>
      <c r="C89" s="480"/>
      <c r="D89" s="480"/>
      <c r="E89" s="480"/>
      <c r="F89" s="480"/>
      <c r="G89" s="480"/>
      <c r="H89" s="480"/>
      <c r="I89" s="480"/>
      <c r="J89" s="480"/>
      <c r="K89" s="686"/>
      <c r="M89" s="168">
        <v>0</v>
      </c>
      <c r="N89" s="25">
        <v>0.61</v>
      </c>
    </row>
    <row r="90" spans="1:14" x14ac:dyDescent="0.2">
      <c r="A90" s="788"/>
      <c r="B90" s="505" t="s">
        <v>762</v>
      </c>
      <c r="C90" s="480"/>
      <c r="D90" s="480"/>
      <c r="E90" s="480"/>
      <c r="F90" s="480"/>
      <c r="G90" s="479">
        <f>F75/H72</f>
        <v>0.42857142857142855</v>
      </c>
      <c r="H90" s="480"/>
      <c r="I90" s="480"/>
      <c r="J90" s="480"/>
      <c r="K90" s="686"/>
      <c r="M90" s="168">
        <v>0.05</v>
      </c>
      <c r="N90" s="25">
        <v>0.58799999999999997</v>
      </c>
    </row>
    <row r="91" spans="1:14" x14ac:dyDescent="0.2">
      <c r="A91" s="788"/>
      <c r="B91" s="505" t="s">
        <v>763</v>
      </c>
      <c r="C91" s="480"/>
      <c r="D91" s="480"/>
      <c r="E91" s="480"/>
      <c r="F91" s="480"/>
      <c r="G91" s="479">
        <f>N108</f>
        <v>0.50914285714285712</v>
      </c>
      <c r="H91" s="480"/>
      <c r="I91" s="480"/>
      <c r="J91" s="480"/>
      <c r="K91" s="686"/>
      <c r="M91" s="168">
        <v>0.1</v>
      </c>
      <c r="N91" s="25">
        <v>0.56899999999999995</v>
      </c>
    </row>
    <row r="92" spans="1:14" x14ac:dyDescent="0.2">
      <c r="A92" s="788"/>
      <c r="B92" s="480"/>
      <c r="C92" s="480"/>
      <c r="D92" s="480"/>
      <c r="E92" s="479" t="str">
        <f>IF(G90&gt;0.66,"WARNING: Co values are unreliable for Hb/H &gt; 0.66","")</f>
        <v/>
      </c>
      <c r="F92" s="480"/>
      <c r="G92" s="480"/>
      <c r="H92" s="480"/>
      <c r="I92" s="480"/>
      <c r="J92" s="480"/>
      <c r="K92" s="686"/>
      <c r="M92" s="168">
        <v>0.15</v>
      </c>
      <c r="N92" s="25">
        <v>0.55400000000000005</v>
      </c>
    </row>
    <row r="93" spans="1:14" x14ac:dyDescent="0.2">
      <c r="A93" s="788"/>
      <c r="B93" s="505" t="s">
        <v>764</v>
      </c>
      <c r="C93" s="480"/>
      <c r="D93" s="480"/>
      <c r="E93" s="480"/>
      <c r="F93" s="480"/>
      <c r="G93" s="480">
        <f>F14*F13</f>
        <v>2.7</v>
      </c>
      <c r="H93" s="505" t="s">
        <v>765</v>
      </c>
      <c r="I93" s="480"/>
      <c r="J93" s="480"/>
      <c r="K93" s="686"/>
      <c r="M93" s="168">
        <v>0.2</v>
      </c>
      <c r="N93" s="25">
        <v>0.54300000000000004</v>
      </c>
    </row>
    <row r="94" spans="1:14" x14ac:dyDescent="0.2">
      <c r="A94" s="788"/>
      <c r="B94" s="505" t="s">
        <v>766</v>
      </c>
      <c r="C94" s="480"/>
      <c r="D94" s="480"/>
      <c r="E94" s="480"/>
      <c r="F94" s="480"/>
      <c r="G94" s="480">
        <v>9.81</v>
      </c>
      <c r="H94" s="479" t="s">
        <v>767</v>
      </c>
      <c r="I94" s="480"/>
      <c r="J94" s="480"/>
      <c r="K94" s="686"/>
      <c r="M94" s="168">
        <v>0.25</v>
      </c>
      <c r="N94" s="25">
        <v>0.53300000000000003</v>
      </c>
    </row>
    <row r="95" spans="1:14" x14ac:dyDescent="0.2">
      <c r="A95" s="788"/>
      <c r="B95" s="480"/>
      <c r="C95" s="480"/>
      <c r="D95" s="480"/>
      <c r="E95" s="480"/>
      <c r="F95" s="480"/>
      <c r="G95" s="480"/>
      <c r="H95" s="480"/>
      <c r="I95" s="480"/>
      <c r="J95" s="480"/>
      <c r="K95" s="686"/>
      <c r="M95" s="168">
        <v>0.3</v>
      </c>
      <c r="N95" s="25">
        <v>0.52600000000000002</v>
      </c>
    </row>
    <row r="96" spans="1:14" x14ac:dyDescent="0.2">
      <c r="A96" s="788"/>
      <c r="B96" s="505" t="s">
        <v>768</v>
      </c>
      <c r="C96" s="480"/>
      <c r="D96" s="480"/>
      <c r="E96" s="480"/>
      <c r="F96" s="480"/>
      <c r="G96" s="801">
        <f>F12*G91*G93*(2*G94*H72)^0.5</f>
        <v>12.478936254324612</v>
      </c>
      <c r="H96" s="505" t="s">
        <v>769</v>
      </c>
      <c r="I96" s="480"/>
      <c r="J96" s="480"/>
      <c r="K96" s="686"/>
      <c r="M96" s="168">
        <v>0.35</v>
      </c>
      <c r="N96" s="25">
        <v>0.51800000000000002</v>
      </c>
    </row>
    <row r="97" spans="1:17" x14ac:dyDescent="0.2">
      <c r="A97" s="488"/>
      <c r="B97" s="406"/>
      <c r="C97" s="751"/>
      <c r="D97" s="406"/>
      <c r="E97" s="396"/>
      <c r="F97" s="406"/>
      <c r="G97" s="396"/>
      <c r="H97" s="406"/>
      <c r="I97" s="396"/>
      <c r="J97" s="406"/>
      <c r="K97" s="484"/>
      <c r="M97" s="168">
        <v>0.4</v>
      </c>
      <c r="N97" s="25">
        <v>0.51200000000000001</v>
      </c>
    </row>
    <row r="98" spans="1:17" x14ac:dyDescent="0.2">
      <c r="A98" s="488"/>
      <c r="B98" s="406" t="s">
        <v>770</v>
      </c>
      <c r="C98" s="395"/>
      <c r="D98" s="395"/>
      <c r="E98" s="395"/>
      <c r="F98" s="395"/>
      <c r="G98" s="395"/>
      <c r="H98" s="395"/>
      <c r="I98" s="395"/>
      <c r="J98" s="395"/>
      <c r="K98" s="484"/>
      <c r="M98" s="168">
        <v>0.45</v>
      </c>
      <c r="N98" s="25">
        <v>0.50700000000000001</v>
      </c>
    </row>
    <row r="99" spans="1:17" x14ac:dyDescent="0.2">
      <c r="A99" s="488"/>
      <c r="B99" s="406" t="s">
        <v>771</v>
      </c>
      <c r="C99" s="395"/>
      <c r="D99" s="395"/>
      <c r="E99" s="395"/>
      <c r="F99" s="395"/>
      <c r="G99" s="395"/>
      <c r="H99" s="395"/>
      <c r="I99" s="395"/>
      <c r="J99" s="395"/>
      <c r="K99" s="484"/>
      <c r="M99" s="168">
        <v>0.5</v>
      </c>
      <c r="N99" s="25">
        <v>0.503</v>
      </c>
    </row>
    <row r="100" spans="1:17" x14ac:dyDescent="0.2">
      <c r="A100" s="488"/>
      <c r="B100" s="406" t="s">
        <v>772</v>
      </c>
      <c r="C100" s="395"/>
      <c r="D100" s="395"/>
      <c r="E100" s="395"/>
      <c r="F100" s="395"/>
      <c r="G100" s="395"/>
      <c r="H100" s="395"/>
      <c r="I100" s="395"/>
      <c r="J100" s="395"/>
      <c r="K100" s="484"/>
      <c r="M100" s="168">
        <v>0.55000000000000004</v>
      </c>
      <c r="N100" s="25">
        <v>0.497</v>
      </c>
    </row>
    <row r="101" spans="1:17" x14ac:dyDescent="0.2">
      <c r="A101" s="488"/>
      <c r="B101" s="395"/>
      <c r="C101" s="395"/>
      <c r="D101" s="395"/>
      <c r="E101" s="395"/>
      <c r="F101" s="395"/>
      <c r="G101" s="395"/>
      <c r="H101" s="395"/>
      <c r="I101" s="395"/>
      <c r="J101" s="395"/>
      <c r="K101" s="484"/>
      <c r="M101" s="168">
        <v>0.6</v>
      </c>
      <c r="N101" s="25">
        <v>0.49399999999999999</v>
      </c>
    </row>
    <row r="102" spans="1:17" x14ac:dyDescent="0.2">
      <c r="A102" s="488"/>
      <c r="B102" s="406" t="s">
        <v>773</v>
      </c>
      <c r="C102" s="395"/>
      <c r="D102" s="395"/>
      <c r="E102" s="395"/>
      <c r="F102" s="395"/>
      <c r="G102" s="395"/>
      <c r="H102" s="395"/>
      <c r="I102" s="395"/>
      <c r="J102" s="395"/>
      <c r="K102" s="484"/>
      <c r="M102" s="168">
        <v>0.65</v>
      </c>
      <c r="N102" s="25">
        <v>0.49</v>
      </c>
    </row>
    <row r="103" spans="1:17" x14ac:dyDescent="0.2">
      <c r="A103" s="488"/>
      <c r="B103" s="395"/>
      <c r="C103" s="395"/>
      <c r="D103" s="395"/>
      <c r="E103" s="395"/>
      <c r="F103" s="395"/>
      <c r="G103" s="395"/>
      <c r="H103" s="395"/>
      <c r="I103" s="395"/>
      <c r="J103" s="395"/>
      <c r="K103" s="484"/>
      <c r="M103" s="168">
        <v>0.7</v>
      </c>
      <c r="N103" s="25">
        <v>0.49</v>
      </c>
    </row>
    <row r="104" spans="1:17" x14ac:dyDescent="0.2">
      <c r="A104" s="488"/>
      <c r="B104" s="406" t="s">
        <v>774</v>
      </c>
      <c r="C104" s="395"/>
      <c r="D104" s="395"/>
      <c r="E104" s="395"/>
      <c r="F104" s="395"/>
      <c r="G104" s="395"/>
      <c r="H104" s="395"/>
      <c r="I104" s="395"/>
      <c r="J104" s="395"/>
      <c r="K104" s="484"/>
      <c r="M104" s="168">
        <v>0.75</v>
      </c>
      <c r="N104" s="25">
        <v>0.49099999999999999</v>
      </c>
    </row>
    <row r="105" spans="1:17" x14ac:dyDescent="0.2">
      <c r="A105" s="488"/>
      <c r="B105" s="406"/>
      <c r="C105" s="395"/>
      <c r="D105" s="395"/>
      <c r="E105" s="395"/>
      <c r="F105" s="395"/>
      <c r="G105" s="395"/>
      <c r="H105" s="395"/>
      <c r="I105" s="395"/>
      <c r="J105" s="395"/>
      <c r="K105" s="484"/>
      <c r="M105" s="168">
        <v>0.8</v>
      </c>
      <c r="N105" s="25">
        <v>0.49299999999999999</v>
      </c>
    </row>
    <row r="106" spans="1:17" x14ac:dyDescent="0.2">
      <c r="A106" s="488"/>
      <c r="B106" s="406" t="s">
        <v>775</v>
      </c>
      <c r="C106" s="395"/>
      <c r="D106" s="395"/>
      <c r="E106" s="395"/>
      <c r="F106" s="395"/>
      <c r="G106" s="395"/>
      <c r="H106" s="395"/>
      <c r="I106" s="395"/>
      <c r="J106" s="395"/>
      <c r="K106" s="484"/>
      <c r="M106" s="168">
        <f>TRUNC(20*G90)/20</f>
        <v>0.4</v>
      </c>
      <c r="N106" s="25">
        <f>VLOOKUP(G90,M89:N105,2)</f>
        <v>0.51200000000000001</v>
      </c>
    </row>
    <row r="107" spans="1:17" x14ac:dyDescent="0.2">
      <c r="A107" s="488"/>
      <c r="B107" s="406" t="s">
        <v>776</v>
      </c>
      <c r="C107" s="395"/>
      <c r="D107" s="395"/>
      <c r="E107" s="395"/>
      <c r="F107" s="395"/>
      <c r="G107" s="395"/>
      <c r="H107" s="395"/>
      <c r="I107" s="395"/>
      <c r="J107" s="395"/>
      <c r="K107" s="484"/>
      <c r="M107" s="168">
        <f>M106+0.05</f>
        <v>0.45</v>
      </c>
      <c r="N107" s="25">
        <f>VLOOKUP(M107,M89:N105,2)</f>
        <v>0.50700000000000001</v>
      </c>
    </row>
    <row r="108" spans="1:17" x14ac:dyDescent="0.2">
      <c r="A108" s="488"/>
      <c r="B108" s="395"/>
      <c r="C108" s="395"/>
      <c r="D108" s="395"/>
      <c r="E108" s="395"/>
      <c r="F108" s="395"/>
      <c r="G108" s="395"/>
      <c r="H108" s="395"/>
      <c r="I108" s="395"/>
      <c r="J108" s="395"/>
      <c r="K108" s="484"/>
      <c r="M108" s="168">
        <f>G90</f>
        <v>0.42857142857142855</v>
      </c>
      <c r="N108" s="25">
        <f>N106+(N107-N106)*(G90-M106)/0.05</f>
        <v>0.50914285714285712</v>
      </c>
    </row>
    <row r="109" spans="1:17" x14ac:dyDescent="0.2">
      <c r="A109" s="488"/>
      <c r="B109" s="461" t="s">
        <v>777</v>
      </c>
      <c r="C109" s="446"/>
      <c r="D109" s="446"/>
      <c r="E109" s="446"/>
      <c r="F109" s="461" t="s">
        <v>778</v>
      </c>
      <c r="G109" s="395"/>
      <c r="H109" s="395"/>
      <c r="I109" s="395"/>
      <c r="J109" s="395"/>
      <c r="K109" s="484"/>
    </row>
    <row r="110" spans="1:17" x14ac:dyDescent="0.2">
      <c r="A110" s="488"/>
      <c r="B110" s="406" t="s">
        <v>779</v>
      </c>
      <c r="C110" s="395"/>
      <c r="D110" s="395"/>
      <c r="E110" s="395"/>
      <c r="F110" s="396">
        <v>1.62</v>
      </c>
      <c r="G110" s="406" t="s">
        <v>780</v>
      </c>
      <c r="H110" s="395"/>
      <c r="I110" s="396">
        <f>IF(Q112=0,1.48,Q112)</f>
        <v>1.56</v>
      </c>
      <c r="J110" s="406" t="s">
        <v>781</v>
      </c>
      <c r="K110" s="484"/>
    </row>
    <row r="111" spans="1:17" x14ac:dyDescent="0.2">
      <c r="A111" s="488"/>
      <c r="B111" s="406" t="s">
        <v>782</v>
      </c>
      <c r="C111" s="395"/>
      <c r="D111" s="395"/>
      <c r="E111" s="395"/>
      <c r="F111" s="396">
        <v>1.58</v>
      </c>
      <c r="G111" s="395"/>
      <c r="H111" s="395"/>
      <c r="I111" s="395"/>
      <c r="J111" s="395"/>
      <c r="K111" s="484"/>
    </row>
    <row r="112" spans="1:17" x14ac:dyDescent="0.2">
      <c r="A112" s="488"/>
      <c r="B112" s="406" t="s">
        <v>783</v>
      </c>
      <c r="C112" s="395"/>
      <c r="D112" s="395"/>
      <c r="E112" s="395"/>
      <c r="F112" s="396">
        <v>1.56</v>
      </c>
      <c r="G112" s="395"/>
      <c r="H112" s="395"/>
      <c r="I112" s="395"/>
      <c r="J112" s="395"/>
      <c r="K112" s="484"/>
      <c r="M112" s="171" t="s">
        <v>784</v>
      </c>
      <c r="Q112" s="170">
        <v>1.56</v>
      </c>
    </row>
    <row r="113" spans="1:17" x14ac:dyDescent="0.2">
      <c r="A113" s="488"/>
      <c r="B113" s="406" t="s">
        <v>785</v>
      </c>
      <c r="C113" s="395"/>
      <c r="D113" s="395"/>
      <c r="E113" s="395"/>
      <c r="F113" s="396">
        <v>1.48</v>
      </c>
      <c r="G113" s="395"/>
      <c r="H113" s="395"/>
      <c r="I113" s="395"/>
      <c r="J113" s="395"/>
      <c r="K113" s="484"/>
      <c r="M113" s="171" t="s">
        <v>786</v>
      </c>
    </row>
    <row r="114" spans="1:17" x14ac:dyDescent="0.2">
      <c r="A114" s="488"/>
      <c r="B114" s="406" t="s">
        <v>787</v>
      </c>
      <c r="C114" s="395"/>
      <c r="D114" s="395"/>
      <c r="E114" s="395"/>
      <c r="F114" s="396">
        <v>1.35</v>
      </c>
      <c r="G114" s="395"/>
      <c r="H114" s="395"/>
      <c r="I114" s="395"/>
      <c r="J114" s="395"/>
      <c r="K114" s="484"/>
      <c r="M114" s="171" t="s">
        <v>788</v>
      </c>
    </row>
    <row r="115" spans="1:17" x14ac:dyDescent="0.2">
      <c r="A115" s="488"/>
      <c r="B115" s="395"/>
      <c r="C115" s="395"/>
      <c r="D115" s="395"/>
      <c r="E115" s="395"/>
      <c r="F115" s="395"/>
      <c r="G115" s="395"/>
      <c r="H115" s="395"/>
      <c r="I115" s="395"/>
      <c r="J115" s="395"/>
      <c r="K115" s="484"/>
    </row>
    <row r="116" spans="1:17" x14ac:dyDescent="0.2">
      <c r="A116" s="488"/>
      <c r="B116" s="406" t="s">
        <v>789</v>
      </c>
      <c r="C116" s="395"/>
      <c r="D116" s="395"/>
      <c r="E116" s="395"/>
      <c r="F116" s="395"/>
      <c r="G116" s="395">
        <f>F12*I110*F14*H72^1.5</f>
        <v>20.141406425570185</v>
      </c>
      <c r="H116" s="406" t="s">
        <v>769</v>
      </c>
      <c r="I116" s="395"/>
      <c r="J116" s="395"/>
      <c r="K116" s="679" t="s">
        <v>2460</v>
      </c>
    </row>
    <row r="117" spans="1:17" ht="13.5" thickBot="1" x14ac:dyDescent="0.25">
      <c r="A117" s="737"/>
      <c r="B117" s="738"/>
      <c r="C117" s="886"/>
      <c r="D117" s="738"/>
      <c r="E117" s="766"/>
      <c r="F117" s="738"/>
      <c r="G117" s="766"/>
      <c r="H117" s="738"/>
      <c r="I117" s="766"/>
      <c r="J117" s="738"/>
      <c r="K117" s="677"/>
    </row>
    <row r="119" spans="1:17" x14ac:dyDescent="0.2">
      <c r="B119" s="171" t="s">
        <v>790</v>
      </c>
    </row>
    <row r="120" spans="1:17" ht="13.5" thickBot="1" x14ac:dyDescent="0.25">
      <c r="M120" s="272" t="s">
        <v>791</v>
      </c>
      <c r="N120" s="269"/>
      <c r="O120" s="269"/>
      <c r="P120" s="273">
        <f>IF(C76&gt;=1.5,G96,G116)</f>
        <v>12.478936254324612</v>
      </c>
      <c r="Q120" s="272" t="s">
        <v>769</v>
      </c>
    </row>
    <row r="121" spans="1:17" x14ac:dyDescent="0.2">
      <c r="A121" s="423"/>
      <c r="B121" s="466" t="s">
        <v>792</v>
      </c>
      <c r="C121" s="424"/>
      <c r="D121" s="424"/>
      <c r="E121" s="424"/>
      <c r="F121" s="424"/>
      <c r="G121" s="424"/>
      <c r="H121" s="424"/>
      <c r="I121" s="424"/>
      <c r="J121" s="424"/>
      <c r="K121" s="425"/>
    </row>
    <row r="122" spans="1:17" x14ac:dyDescent="0.2">
      <c r="A122" s="426"/>
      <c r="B122" s="222" t="s">
        <v>793</v>
      </c>
      <c r="C122" s="217"/>
      <c r="D122" s="217"/>
      <c r="E122" s="217"/>
      <c r="F122" s="217"/>
      <c r="G122" s="217"/>
      <c r="H122" s="217"/>
      <c r="I122" s="217"/>
      <c r="J122" s="217"/>
      <c r="K122" s="427"/>
    </row>
    <row r="123" spans="1:17" ht="14.25" x14ac:dyDescent="0.2">
      <c r="A123" s="426"/>
      <c r="B123" s="222" t="s">
        <v>1842</v>
      </c>
      <c r="C123" s="217"/>
      <c r="D123" s="217"/>
      <c r="E123" s="217"/>
      <c r="F123" s="217"/>
      <c r="G123" s="217"/>
      <c r="H123" s="217"/>
      <c r="I123" s="217"/>
      <c r="J123" s="217"/>
      <c r="K123" s="427"/>
    </row>
    <row r="124" spans="1:17" x14ac:dyDescent="0.2">
      <c r="A124" s="426"/>
      <c r="B124" s="217"/>
      <c r="C124" s="222"/>
      <c r="D124" s="217"/>
      <c r="E124" s="217"/>
      <c r="F124" s="217"/>
      <c r="G124" s="217"/>
      <c r="H124" s="217"/>
      <c r="I124" s="217"/>
      <c r="J124" s="217"/>
      <c r="K124" s="427"/>
    </row>
    <row r="125" spans="1:17" x14ac:dyDescent="0.2">
      <c r="A125" s="426"/>
      <c r="B125" s="222" t="s">
        <v>794</v>
      </c>
      <c r="C125" s="222"/>
      <c r="D125" s="217"/>
      <c r="E125" s="217"/>
      <c r="F125" s="217"/>
      <c r="G125" s="217"/>
      <c r="H125" s="217"/>
      <c r="I125" s="217"/>
      <c r="J125" s="217"/>
      <c r="K125" s="427"/>
    </row>
    <row r="126" spans="1:17" x14ac:dyDescent="0.2">
      <c r="A126" s="426"/>
      <c r="B126" s="222" t="s">
        <v>795</v>
      </c>
      <c r="C126" s="222"/>
      <c r="D126" s="217"/>
      <c r="E126" s="217"/>
      <c r="F126" s="217"/>
      <c r="G126" s="217"/>
      <c r="H126" s="217"/>
      <c r="I126" s="217"/>
      <c r="J126" s="217"/>
      <c r="K126" s="427"/>
    </row>
    <row r="127" spans="1:17" x14ac:dyDescent="0.2">
      <c r="A127" s="426"/>
      <c r="B127" s="217"/>
      <c r="C127" s="217"/>
      <c r="D127" s="217"/>
      <c r="E127" s="217"/>
      <c r="F127" s="217"/>
      <c r="G127" s="217"/>
      <c r="H127" s="217"/>
      <c r="I127" s="217"/>
      <c r="J127" s="217"/>
      <c r="K127" s="427"/>
    </row>
    <row r="128" spans="1:17" x14ac:dyDescent="0.2">
      <c r="A128" s="426"/>
      <c r="B128" s="222" t="s">
        <v>796</v>
      </c>
      <c r="C128" s="217"/>
      <c r="D128" s="217"/>
      <c r="E128" s="217"/>
      <c r="F128" s="217"/>
      <c r="G128" s="455">
        <f>F16+2*F20+2*F22*TAN(F23*PI()/180)</f>
        <v>2.3994613420953055</v>
      </c>
      <c r="H128" s="455" t="s">
        <v>24</v>
      </c>
      <c r="I128" s="217"/>
      <c r="J128" s="217"/>
      <c r="K128" s="427"/>
    </row>
    <row r="129" spans="1:16" x14ac:dyDescent="0.2">
      <c r="A129" s="426"/>
      <c r="B129" s="222"/>
      <c r="C129" s="187"/>
      <c r="D129" s="222"/>
      <c r="E129" s="187"/>
      <c r="F129" s="222"/>
      <c r="G129" s="187"/>
      <c r="H129" s="222"/>
      <c r="I129" s="490"/>
      <c r="J129" s="222"/>
      <c r="K129" s="427"/>
    </row>
    <row r="130" spans="1:16" x14ac:dyDescent="0.2">
      <c r="A130" s="426"/>
      <c r="B130" s="222" t="s">
        <v>797</v>
      </c>
      <c r="C130" s="187"/>
      <c r="D130" s="222"/>
      <c r="E130" s="217">
        <f>P120/G128</f>
        <v>5.2007240272633464</v>
      </c>
      <c r="F130" s="217" t="s">
        <v>798</v>
      </c>
      <c r="G130" s="217"/>
      <c r="H130" s="217"/>
      <c r="I130" s="469"/>
      <c r="J130" s="217"/>
      <c r="K130" s="427"/>
    </row>
    <row r="131" spans="1:16" x14ac:dyDescent="0.2">
      <c r="A131" s="426"/>
      <c r="B131" s="217"/>
      <c r="C131" s="217"/>
      <c r="D131" s="217"/>
      <c r="E131" s="217"/>
      <c r="F131" s="217"/>
      <c r="G131" s="217"/>
      <c r="H131" s="217"/>
      <c r="I131" s="217"/>
      <c r="J131" s="217"/>
      <c r="K131" s="427"/>
    </row>
    <row r="132" spans="1:16" x14ac:dyDescent="0.2">
      <c r="A132" s="426"/>
      <c r="B132" s="222" t="s">
        <v>799</v>
      </c>
      <c r="C132" s="217"/>
      <c r="D132" s="217"/>
      <c r="E132" s="217"/>
      <c r="F132" s="217"/>
      <c r="G132" s="217"/>
      <c r="H132" s="217"/>
      <c r="I132" s="217"/>
      <c r="J132" s="217"/>
      <c r="K132" s="427"/>
    </row>
    <row r="133" spans="1:16" x14ac:dyDescent="0.2">
      <c r="A133" s="426"/>
      <c r="B133" s="222"/>
      <c r="C133" s="217"/>
      <c r="D133" s="217"/>
      <c r="E133" s="217"/>
      <c r="F133" s="217"/>
      <c r="G133" s="217"/>
      <c r="H133" s="217"/>
      <c r="I133" s="217"/>
      <c r="J133" s="217"/>
      <c r="K133" s="427"/>
    </row>
    <row r="134" spans="1:16" ht="14.25" x14ac:dyDescent="0.2">
      <c r="A134" s="426"/>
      <c r="B134" s="217" t="s">
        <v>1843</v>
      </c>
      <c r="C134" s="217"/>
      <c r="D134" s="217"/>
      <c r="E134" s="217" t="s">
        <v>800</v>
      </c>
      <c r="F134" s="217" t="s">
        <v>1844</v>
      </c>
      <c r="G134" s="217"/>
      <c r="H134" s="222" t="s">
        <v>801</v>
      </c>
      <c r="I134" s="217"/>
      <c r="J134" s="217"/>
      <c r="K134" s="427"/>
    </row>
    <row r="135" spans="1:16" x14ac:dyDescent="0.2">
      <c r="A135" s="426"/>
      <c r="B135" s="222" t="s">
        <v>802</v>
      </c>
      <c r="C135" s="217"/>
      <c r="D135" s="217"/>
      <c r="E135" s="217"/>
      <c r="F135" s="217"/>
      <c r="G135" s="217"/>
      <c r="H135" s="217"/>
      <c r="I135" s="217"/>
      <c r="J135" s="217"/>
      <c r="K135" s="427"/>
    </row>
    <row r="136" spans="1:16" x14ac:dyDescent="0.2">
      <c r="A136" s="426"/>
      <c r="B136" s="217"/>
      <c r="C136" s="217"/>
      <c r="D136" s="217"/>
      <c r="E136" s="217"/>
      <c r="F136" s="217"/>
      <c r="G136" s="217"/>
      <c r="H136" s="217"/>
      <c r="I136" s="217"/>
      <c r="J136" s="217"/>
      <c r="K136" s="427"/>
      <c r="M136" s="171" t="s">
        <v>95</v>
      </c>
      <c r="O136" s="171" t="s">
        <v>96</v>
      </c>
    </row>
    <row r="137" spans="1:16" x14ac:dyDescent="0.2">
      <c r="A137" s="426"/>
      <c r="B137" s="406" t="s">
        <v>1877</v>
      </c>
      <c r="C137" s="217"/>
      <c r="D137" s="217"/>
      <c r="E137" s="217"/>
      <c r="F137" s="187"/>
      <c r="G137" s="217"/>
      <c r="H137" s="470">
        <f>P120/(F12*F14+2*F20)</f>
        <v>8.3192908362164086</v>
      </c>
      <c r="I137" s="456" t="s">
        <v>803</v>
      </c>
      <c r="J137" s="217"/>
      <c r="K137" s="427"/>
      <c r="M137" s="179" t="s">
        <v>97</v>
      </c>
      <c r="N137" s="179" t="s">
        <v>701</v>
      </c>
      <c r="O137" s="179" t="s">
        <v>97</v>
      </c>
      <c r="P137" s="179" t="s">
        <v>701</v>
      </c>
    </row>
    <row r="138" spans="1:16" x14ac:dyDescent="0.2">
      <c r="A138" s="426"/>
      <c r="B138" s="222"/>
      <c r="C138" s="217"/>
      <c r="D138" s="217"/>
      <c r="E138" s="217"/>
      <c r="F138" s="187"/>
      <c r="G138" s="217"/>
      <c r="H138" s="187"/>
      <c r="I138" s="470"/>
      <c r="J138" s="456"/>
      <c r="K138" s="427"/>
      <c r="M138" s="168">
        <f t="shared" ref="M138:M143" si="0">N138+$H$147/N138^2</f>
        <v>2.1573398179208532</v>
      </c>
      <c r="N138" s="25">
        <v>1.2</v>
      </c>
      <c r="O138" s="168">
        <f>P138+$H$147/P138^2</f>
        <v>2.9540145903219193</v>
      </c>
      <c r="P138" s="25">
        <f>$N$144</f>
        <v>0.8</v>
      </c>
    </row>
    <row r="139" spans="1:16" x14ac:dyDescent="0.2">
      <c r="A139" s="426"/>
      <c r="B139" s="222" t="s">
        <v>804</v>
      </c>
      <c r="C139" s="217"/>
      <c r="D139" s="471">
        <f>(H137^2/G94)^0.33</f>
        <v>1.9054878780078977</v>
      </c>
      <c r="E139" s="471" t="s">
        <v>24</v>
      </c>
      <c r="F139" s="222" t="s">
        <v>801</v>
      </c>
      <c r="G139" s="217"/>
      <c r="H139" s="187"/>
      <c r="I139" s="217"/>
      <c r="J139" s="456"/>
      <c r="K139" s="427"/>
      <c r="M139" s="168">
        <f t="shared" si="0"/>
        <v>2.3785693378060282</v>
      </c>
      <c r="N139" s="25">
        <v>1</v>
      </c>
      <c r="O139" s="168">
        <f>P139+$H$147/P139^2</f>
        <v>3.1467197676697172</v>
      </c>
      <c r="P139" s="25">
        <f>$N$144-0.04</f>
        <v>0.76</v>
      </c>
    </row>
    <row r="140" spans="1:16" x14ac:dyDescent="0.2">
      <c r="A140" s="426"/>
      <c r="B140" s="222" t="s">
        <v>805</v>
      </c>
      <c r="C140" s="217"/>
      <c r="D140" s="217"/>
      <c r="E140" s="217"/>
      <c r="F140" s="217"/>
      <c r="G140" s="217"/>
      <c r="H140" s="187">
        <f>F15-F21-IF(F9&gt;F10,F18,F19)</f>
        <v>0.90000000000000013</v>
      </c>
      <c r="I140" s="222" t="s">
        <v>806</v>
      </c>
      <c r="J140" s="217"/>
      <c r="K140" s="427"/>
      <c r="M140" s="168">
        <f t="shared" si="0"/>
        <v>2.9540145903219193</v>
      </c>
      <c r="N140" s="25">
        <v>0.8</v>
      </c>
      <c r="O140" s="168">
        <f>P140+$H$147/P140^2</f>
        <v>3.3792772720023696</v>
      </c>
      <c r="P140" s="25">
        <f>$N$144-0.08</f>
        <v>0.72000000000000008</v>
      </c>
    </row>
    <row r="141" spans="1:16" x14ac:dyDescent="0.2">
      <c r="A141" s="426"/>
      <c r="B141" s="217"/>
      <c r="C141" s="187"/>
      <c r="D141" s="222"/>
      <c r="E141" s="217"/>
      <c r="F141" s="217"/>
      <c r="G141" s="217"/>
      <c r="H141" s="217"/>
      <c r="I141" s="217"/>
      <c r="J141" s="217"/>
      <c r="K141" s="427"/>
      <c r="M141" s="168">
        <f t="shared" si="0"/>
        <v>4.4293592716834125</v>
      </c>
      <c r="N141" s="25">
        <v>0.6</v>
      </c>
      <c r="O141" s="168">
        <f>P141+$H$147/P141^2</f>
        <v>3.6613350731099228</v>
      </c>
      <c r="P141" s="25">
        <f>$N$144-0.12</f>
        <v>0.68</v>
      </c>
    </row>
    <row r="142" spans="1:16" x14ac:dyDescent="0.2">
      <c r="A142" s="426"/>
      <c r="B142" s="222" t="s">
        <v>807</v>
      </c>
      <c r="C142" s="217"/>
      <c r="D142" s="217"/>
      <c r="E142" s="217"/>
      <c r="F142" s="187"/>
      <c r="G142" s="222"/>
      <c r="H142" s="217"/>
      <c r="I142" s="217"/>
      <c r="J142" s="217"/>
      <c r="K142" s="427"/>
      <c r="M142" s="168">
        <f t="shared" si="0"/>
        <v>9.0160583612876763</v>
      </c>
      <c r="N142" s="25">
        <v>0.4</v>
      </c>
      <c r="O142" s="168">
        <f>P142+$H$147/P142^2</f>
        <v>4.0056477973779989</v>
      </c>
      <c r="P142" s="25">
        <f>$N$144-0.16</f>
        <v>0.64</v>
      </c>
    </row>
    <row r="143" spans="1:16" x14ac:dyDescent="0.2">
      <c r="A143" s="426"/>
      <c r="B143" s="222"/>
      <c r="C143" s="222"/>
      <c r="D143" s="217"/>
      <c r="E143" s="217"/>
      <c r="F143" s="217"/>
      <c r="G143" s="217"/>
      <c r="H143" s="217"/>
      <c r="I143" s="217"/>
      <c r="J143" s="217"/>
      <c r="K143" s="427"/>
      <c r="M143" s="168">
        <f t="shared" si="0"/>
        <v>34.664233445150707</v>
      </c>
      <c r="N143" s="25">
        <v>0.2</v>
      </c>
      <c r="P143" s="25">
        <f>IF(O139&gt;O138,VLOOKUP($E$147,O138:P142,2),IF(O140&gt;O139,VLOOKUP($E$147,O139:P142,2),IF(O141&gt;O140,VLOOKUP($E$147,O140:P142,2),IF(O142&gt;O141,VLOOKUP($E$147,O141:P142,2),P142))))</f>
        <v>0.68</v>
      </c>
    </row>
    <row r="144" spans="1:16" ht="14.25" x14ac:dyDescent="0.2">
      <c r="A144" s="426"/>
      <c r="B144" s="217"/>
      <c r="C144" s="217" t="s">
        <v>808</v>
      </c>
      <c r="D144" s="217">
        <f>H140</f>
        <v>0.90000000000000013</v>
      </c>
      <c r="E144" s="217" t="s">
        <v>809</v>
      </c>
      <c r="F144" s="217">
        <f>E130^2</f>
        <v>27.04753040775428</v>
      </c>
      <c r="G144" s="217" t="s">
        <v>1848</v>
      </c>
      <c r="H144" s="217"/>
      <c r="I144" s="217"/>
      <c r="J144" s="217"/>
      <c r="K144" s="427"/>
      <c r="N144" s="25">
        <f>IF(M139&gt;M138,VLOOKUP($E$147,M138:N143,2),IF(M140&gt;M139,VLOOKUP($E$147,M139:N143,2),IF(M141&gt;M140,VLOOKUP($E$147,M140:N143,2),IF(M142&gt;M141,VLOOKUP($E$147,M141:N143,2),IF(M143&gt;M142,VLOOKUP($E$147,M142:N143,2),N143)))))</f>
        <v>0.8</v>
      </c>
    </row>
    <row r="145" spans="1:16" x14ac:dyDescent="0.2">
      <c r="A145" s="426"/>
      <c r="B145" s="217">
        <v>1.5</v>
      </c>
      <c r="C145" s="460" t="s">
        <v>810</v>
      </c>
      <c r="D145" s="217">
        <f>D139</f>
        <v>1.9054878780078977</v>
      </c>
      <c r="E145" s="472" t="s">
        <v>811</v>
      </c>
      <c r="F145" s="217">
        <f>D144</f>
        <v>0.90000000000000013</v>
      </c>
      <c r="G145" s="472" t="s">
        <v>249</v>
      </c>
      <c r="H145" s="217" t="s">
        <v>812</v>
      </c>
      <c r="I145" s="217">
        <f>F144/(2*G94)</f>
        <v>1.3785693378060284</v>
      </c>
      <c r="J145" s="469" t="s">
        <v>813</v>
      </c>
      <c r="K145" s="427"/>
    </row>
    <row r="146" spans="1:16" x14ac:dyDescent="0.2">
      <c r="A146" s="426"/>
      <c r="B146" s="217"/>
      <c r="C146" s="217"/>
      <c r="D146" s="217"/>
      <c r="E146" s="217"/>
      <c r="F146" s="217"/>
      <c r="G146" s="217"/>
      <c r="H146" s="217"/>
      <c r="I146" s="217"/>
      <c r="J146" s="217"/>
      <c r="K146" s="427"/>
      <c r="M146" s="171" t="s">
        <v>102</v>
      </c>
      <c r="O146" s="171" t="s">
        <v>103</v>
      </c>
    </row>
    <row r="147" spans="1:16" ht="15.75" x14ac:dyDescent="0.3">
      <c r="A147" s="426"/>
      <c r="B147" s="222"/>
      <c r="C147" s="217"/>
      <c r="D147" s="217"/>
      <c r="E147" s="187">
        <f>B145*D145+F145</f>
        <v>3.7582318170118469</v>
      </c>
      <c r="F147" s="474" t="s">
        <v>249</v>
      </c>
      <c r="G147" s="396" t="s">
        <v>1953</v>
      </c>
      <c r="H147" s="222">
        <f>I145</f>
        <v>1.3785693378060284</v>
      </c>
      <c r="I147" s="476" t="s">
        <v>1893</v>
      </c>
      <c r="J147" s="217"/>
      <c r="K147" s="427"/>
      <c r="M147" s="179" t="s">
        <v>97</v>
      </c>
      <c r="N147" s="179" t="s">
        <v>701</v>
      </c>
      <c r="O147" s="179" t="s">
        <v>97</v>
      </c>
      <c r="P147" s="179" t="s">
        <v>701</v>
      </c>
    </row>
    <row r="148" spans="1:16" x14ac:dyDescent="0.2">
      <c r="A148" s="426"/>
      <c r="B148" s="222"/>
      <c r="C148" s="187"/>
      <c r="D148" s="222"/>
      <c r="E148" s="217"/>
      <c r="F148" s="217"/>
      <c r="G148" s="217"/>
      <c r="H148" s="217"/>
      <c r="I148" s="217"/>
      <c r="J148" s="217"/>
      <c r="K148" s="427"/>
      <c r="M148" s="168">
        <f>N148+$H$147/N148^2</f>
        <v>3.6613350731099228</v>
      </c>
      <c r="N148" s="25">
        <f>$P$143</f>
        <v>0.68</v>
      </c>
      <c r="O148" s="168">
        <f>P148+$H$147/P148^2</f>
        <v>3.7247417663292506</v>
      </c>
      <c r="P148" s="25">
        <f>$N$152</f>
        <v>0.67200000000000004</v>
      </c>
    </row>
    <row r="149" spans="1:16" ht="15.75" x14ac:dyDescent="0.3">
      <c r="A149" s="426"/>
      <c r="B149" s="222" t="s">
        <v>814</v>
      </c>
      <c r="C149" s="217"/>
      <c r="D149" s="217"/>
      <c r="E149" s="217"/>
      <c r="F149" s="395" t="s">
        <v>1951</v>
      </c>
      <c r="G149" s="217"/>
      <c r="H149" s="455">
        <f>P152</f>
        <v>0.66880000000000006</v>
      </c>
      <c r="I149" s="455" t="s">
        <v>24</v>
      </c>
      <c r="J149" s="217"/>
      <c r="K149" s="427"/>
      <c r="M149" s="168">
        <f>N149+$H$147/N149^2</f>
        <v>3.7247417663292506</v>
      </c>
      <c r="N149" s="25">
        <f>$P$143-0.008</f>
        <v>0.67200000000000004</v>
      </c>
      <c r="O149" s="168">
        <f>P149+$H$147/P149^2</f>
        <v>3.7377307145691803</v>
      </c>
      <c r="P149" s="25">
        <f>$N$152-0.0016</f>
        <v>0.6704</v>
      </c>
    </row>
    <row r="150" spans="1:16" x14ac:dyDescent="0.2">
      <c r="A150" s="426"/>
      <c r="B150" s="217"/>
      <c r="C150" s="217"/>
      <c r="D150" s="217"/>
      <c r="E150" s="217"/>
      <c r="F150" s="217"/>
      <c r="G150" s="217"/>
      <c r="H150" s="217"/>
      <c r="I150" s="217"/>
      <c r="J150" s="217"/>
      <c r="K150" s="427"/>
      <c r="M150" s="168">
        <f>N150+$H$147/N150^2</f>
        <v>3.7907449416779202</v>
      </c>
      <c r="N150" s="25">
        <f>$P$143-0.016</f>
        <v>0.66400000000000003</v>
      </c>
      <c r="O150" s="168">
        <f>P150+$H$147/P150^2</f>
        <v>3.7508244933751502</v>
      </c>
      <c r="P150" s="25">
        <f>$N$152-0.0032</f>
        <v>0.66880000000000006</v>
      </c>
    </row>
    <row r="151" spans="1:16" x14ac:dyDescent="0.2">
      <c r="A151" s="426"/>
      <c r="B151" s="222" t="s">
        <v>815</v>
      </c>
      <c r="C151" s="217"/>
      <c r="D151" s="217"/>
      <c r="E151" s="217"/>
      <c r="F151" s="217"/>
      <c r="G151" s="217"/>
      <c r="H151" s="217"/>
      <c r="I151" s="217"/>
      <c r="J151" s="217"/>
      <c r="K151" s="427"/>
      <c r="M151" s="168">
        <f>N151+$H$147/N151^2</f>
        <v>3.9310583604967526</v>
      </c>
      <c r="N151" s="25">
        <f>$P$143-0.032</f>
        <v>0.64800000000000002</v>
      </c>
      <c r="O151" s="168">
        <f>P151+$H$147/P151^2</f>
        <v>3.7773305818953387</v>
      </c>
      <c r="P151" s="25">
        <f>$N$152-0.0064</f>
        <v>0.66560000000000008</v>
      </c>
    </row>
    <row r="152" spans="1:16" x14ac:dyDescent="0.2">
      <c r="A152" s="426"/>
      <c r="B152" s="217"/>
      <c r="C152" s="217"/>
      <c r="D152" s="222"/>
      <c r="E152" s="217"/>
      <c r="F152" s="217"/>
      <c r="G152" s="217"/>
      <c r="H152" s="187"/>
      <c r="I152" s="222"/>
      <c r="J152" s="217"/>
      <c r="K152" s="427"/>
      <c r="N152" s="25">
        <f>IF(M149&gt;M148,VLOOKUP($E$147,M148:N151,2),IF(M150&gt;M149,VLOOKUP($E$147,M149:N151,2),IF(#REF!&gt;M150,VLOOKUP($E$147,M150:N151,2),IF(M151&gt;#REF!,VLOOKUP($E$147,M151:N151,2),N151))))</f>
        <v>0.67200000000000004</v>
      </c>
      <c r="P152" s="25">
        <f>IF(O149&gt;O148,VLOOKUP($E$147,O148:P151,2),IF(O150&gt;O149,VLOOKUP($E$147,O149:P151,2),IF(#REF!&gt;O150,VLOOKUP($E$147,O150:P151,2),IF(O151&gt;#REF!,VLOOKUP($E$147,O151:P151,2),P151))))</f>
        <v>0.66880000000000006</v>
      </c>
    </row>
    <row r="153" spans="1:16" x14ac:dyDescent="0.2">
      <c r="A153" s="426"/>
      <c r="B153" s="222" t="s">
        <v>816</v>
      </c>
      <c r="C153" s="222"/>
      <c r="D153" s="217"/>
      <c r="E153" s="187"/>
      <c r="F153" s="222"/>
      <c r="G153" s="222"/>
      <c r="H153" s="217"/>
      <c r="I153" s="217"/>
      <c r="J153" s="217"/>
      <c r="K153" s="427"/>
    </row>
    <row r="154" spans="1:16" x14ac:dyDescent="0.2">
      <c r="A154" s="426"/>
      <c r="B154" s="222" t="s">
        <v>817</v>
      </c>
      <c r="C154" s="217"/>
      <c r="D154" s="222"/>
      <c r="E154" s="217"/>
      <c r="F154" s="217"/>
      <c r="G154" s="217"/>
      <c r="H154" s="222"/>
      <c r="I154" s="217"/>
      <c r="J154" s="217"/>
      <c r="K154" s="427"/>
    </row>
    <row r="155" spans="1:16" x14ac:dyDescent="0.2">
      <c r="A155" s="426"/>
      <c r="B155" s="217"/>
      <c r="C155" s="217"/>
      <c r="D155" s="217"/>
      <c r="E155" s="217"/>
      <c r="F155" s="217"/>
      <c r="G155" s="217"/>
      <c r="H155" s="217"/>
      <c r="I155" s="217"/>
      <c r="J155" s="217"/>
      <c r="K155" s="427"/>
    </row>
    <row r="156" spans="1:16" x14ac:dyDescent="0.2">
      <c r="A156" s="426"/>
      <c r="B156" s="222" t="s">
        <v>818</v>
      </c>
      <c r="C156" s="217"/>
      <c r="D156" s="217"/>
      <c r="E156" s="217"/>
      <c r="F156" s="217"/>
      <c r="G156" s="217"/>
      <c r="H156" s="217"/>
      <c r="I156" s="217"/>
      <c r="J156" s="217"/>
      <c r="K156" s="427"/>
    </row>
    <row r="157" spans="1:16" x14ac:dyDescent="0.2">
      <c r="A157" s="426"/>
      <c r="B157" s="222" t="s">
        <v>819</v>
      </c>
      <c r="C157" s="217"/>
      <c r="D157" s="217"/>
      <c r="E157" s="217"/>
      <c r="F157" s="217"/>
      <c r="G157" s="217"/>
      <c r="H157" s="187"/>
      <c r="I157" s="217"/>
      <c r="J157" s="217"/>
      <c r="K157" s="427"/>
    </row>
    <row r="158" spans="1:16" x14ac:dyDescent="0.2">
      <c r="A158" s="426"/>
      <c r="B158" s="222"/>
      <c r="C158" s="187"/>
      <c r="D158" s="222"/>
      <c r="E158" s="187"/>
      <c r="F158" s="222"/>
      <c r="G158" s="217"/>
      <c r="H158" s="217"/>
      <c r="I158" s="217"/>
      <c r="J158" s="217"/>
      <c r="K158" s="427"/>
    </row>
    <row r="159" spans="1:16" ht="15.75" x14ac:dyDescent="0.3">
      <c r="A159" s="426"/>
      <c r="B159" s="217"/>
      <c r="C159" s="406" t="s">
        <v>1878</v>
      </c>
      <c r="D159" s="217"/>
      <c r="E159" s="217"/>
      <c r="F159" s="217"/>
      <c r="G159" s="217"/>
      <c r="H159" s="222"/>
      <c r="I159" s="217"/>
      <c r="J159" s="217"/>
      <c r="K159" s="427"/>
    </row>
    <row r="160" spans="1:16" x14ac:dyDescent="0.2">
      <c r="A160" s="426"/>
      <c r="B160" s="222" t="s">
        <v>820</v>
      </c>
      <c r="C160" s="217"/>
      <c r="D160" s="217"/>
      <c r="E160" s="217"/>
      <c r="F160" s="217"/>
      <c r="G160" s="217"/>
      <c r="H160" s="217"/>
      <c r="I160" s="217">
        <f>IF(F9&gt;F10,F9,F10)-IF(F9&gt;F10,F18,F19)</f>
        <v>5.0999999999999996</v>
      </c>
      <c r="J160" s="217" t="s">
        <v>24</v>
      </c>
      <c r="K160" s="427"/>
    </row>
    <row r="161" spans="1:16" x14ac:dyDescent="0.2">
      <c r="A161" s="426"/>
      <c r="B161" s="222"/>
      <c r="C161" s="187"/>
      <c r="D161" s="222"/>
      <c r="E161" s="187"/>
      <c r="F161" s="222"/>
      <c r="G161" s="187"/>
      <c r="H161" s="222"/>
      <c r="I161" s="217"/>
      <c r="J161" s="217"/>
      <c r="K161" s="427"/>
    </row>
    <row r="162" spans="1:16" ht="15.75" x14ac:dyDescent="0.3">
      <c r="A162" s="426"/>
      <c r="B162" s="222" t="s">
        <v>821</v>
      </c>
      <c r="C162" s="217"/>
      <c r="D162" s="217"/>
      <c r="E162" s="217"/>
      <c r="F162" s="406" t="s">
        <v>1879</v>
      </c>
      <c r="G162" s="217">
        <f>E130</f>
        <v>5.2007240272633464</v>
      </c>
      <c r="H162" s="473" t="s">
        <v>1892</v>
      </c>
      <c r="I162" s="217"/>
      <c r="J162" s="217"/>
      <c r="K162" s="427"/>
    </row>
    <row r="163" spans="1:16" x14ac:dyDescent="0.2">
      <c r="A163" s="426"/>
      <c r="B163" s="217"/>
      <c r="C163" s="217"/>
      <c r="D163" s="217"/>
      <c r="E163" s="217"/>
      <c r="F163" s="217"/>
      <c r="G163" s="217"/>
      <c r="H163" s="217"/>
      <c r="I163" s="217"/>
      <c r="J163" s="217"/>
      <c r="K163" s="427"/>
    </row>
    <row r="164" spans="1:16" x14ac:dyDescent="0.2">
      <c r="A164" s="426"/>
      <c r="B164" s="222" t="s">
        <v>822</v>
      </c>
      <c r="C164" s="217"/>
      <c r="D164" s="217"/>
      <c r="E164" s="217"/>
      <c r="F164" s="222"/>
      <c r="G164" s="217"/>
      <c r="H164" s="217"/>
      <c r="I164" s="217"/>
      <c r="J164" s="217"/>
      <c r="K164" s="427"/>
      <c r="M164" s="171" t="s">
        <v>95</v>
      </c>
      <c r="O164" s="171" t="s">
        <v>96</v>
      </c>
    </row>
    <row r="165" spans="1:16" x14ac:dyDescent="0.2">
      <c r="A165" s="426"/>
      <c r="B165" s="217"/>
      <c r="C165" s="217"/>
      <c r="D165" s="217"/>
      <c r="E165" s="217"/>
      <c r="F165" s="217"/>
      <c r="G165" s="217"/>
      <c r="H165" s="217"/>
      <c r="I165" s="217"/>
      <c r="J165" s="217"/>
      <c r="K165" s="427"/>
      <c r="M165" s="179" t="s">
        <v>97</v>
      </c>
      <c r="N165" s="179" t="s">
        <v>701</v>
      </c>
      <c r="O165" s="179" t="s">
        <v>97</v>
      </c>
      <c r="P165" s="179" t="s">
        <v>701</v>
      </c>
    </row>
    <row r="166" spans="1:16" ht="15.75" x14ac:dyDescent="0.3">
      <c r="A166" s="426"/>
      <c r="B166" s="217"/>
      <c r="C166" s="217"/>
      <c r="D166" s="187">
        <f>I160</f>
        <v>5.0999999999999996</v>
      </c>
      <c r="E166" s="477" t="s">
        <v>1881</v>
      </c>
      <c r="F166" s="217">
        <f>G162^2/(2*G94)</f>
        <v>1.3785693378060284</v>
      </c>
      <c r="G166" s="473" t="s">
        <v>1893</v>
      </c>
      <c r="H166" s="217"/>
      <c r="I166" s="217"/>
      <c r="J166" s="217"/>
      <c r="K166" s="427"/>
      <c r="M166" s="168">
        <f t="shared" ref="M166:M171" si="1">N166+$F$166/N166^2</f>
        <v>2.1573398179208532</v>
      </c>
      <c r="N166" s="25">
        <v>1.2</v>
      </c>
      <c r="O166" s="168">
        <f>P166+$F$166/P166^2</f>
        <v>4.4293592716834125</v>
      </c>
      <c r="P166" s="25">
        <f>$N$172</f>
        <v>0.6</v>
      </c>
    </row>
    <row r="167" spans="1:16" x14ac:dyDescent="0.2">
      <c r="A167" s="426"/>
      <c r="B167" s="217"/>
      <c r="C167" s="217"/>
      <c r="D167" s="217"/>
      <c r="E167" s="217"/>
      <c r="F167" s="187"/>
      <c r="G167" s="217"/>
      <c r="H167" s="217"/>
      <c r="I167" s="217"/>
      <c r="J167" s="217"/>
      <c r="K167" s="427"/>
      <c r="M167" s="168">
        <f t="shared" si="1"/>
        <v>2.3785693378060282</v>
      </c>
      <c r="N167" s="25">
        <v>1</v>
      </c>
      <c r="O167" s="168">
        <f>P167+$F$166/P167^2</f>
        <v>4.9559481435141217</v>
      </c>
      <c r="P167" s="25">
        <f>$N$172-0.04</f>
        <v>0.55999999999999994</v>
      </c>
    </row>
    <row r="168" spans="1:16" ht="15.75" x14ac:dyDescent="0.3">
      <c r="A168" s="426"/>
      <c r="B168" s="222" t="s">
        <v>823</v>
      </c>
      <c r="C168" s="217"/>
      <c r="D168" s="217"/>
      <c r="E168" s="217"/>
      <c r="F168" s="217"/>
      <c r="G168" s="406" t="s">
        <v>1883</v>
      </c>
      <c r="H168" s="470">
        <f>P181</f>
        <v>0.55199999999999994</v>
      </c>
      <c r="I168" s="456" t="s">
        <v>24</v>
      </c>
      <c r="J168" s="217"/>
      <c r="K168" s="427"/>
      <c r="M168" s="168">
        <f t="shared" si="1"/>
        <v>2.9540145903219193</v>
      </c>
      <c r="N168" s="25">
        <v>0.8</v>
      </c>
      <c r="O168" s="168">
        <f>P168+$F$166/P168^2</f>
        <v>5.6182593853773231</v>
      </c>
      <c r="P168" s="25">
        <f>$N$172-0.08</f>
        <v>0.52</v>
      </c>
    </row>
    <row r="169" spans="1:16" x14ac:dyDescent="0.2">
      <c r="A169" s="426"/>
      <c r="B169" s="217"/>
      <c r="C169" s="217"/>
      <c r="D169" s="217"/>
      <c r="E169" s="217"/>
      <c r="F169" s="222"/>
      <c r="G169" s="217"/>
      <c r="H169" s="217"/>
      <c r="I169" s="217"/>
      <c r="J169" s="217"/>
      <c r="K169" s="427"/>
      <c r="M169" s="168">
        <f t="shared" si="1"/>
        <v>4.4293592716834125</v>
      </c>
      <c r="N169" s="25">
        <v>0.6</v>
      </c>
      <c r="O169" s="168">
        <f>P169+$F$166/P169^2</f>
        <v>6.4633738620053318</v>
      </c>
      <c r="P169" s="25">
        <f>$N$172-0.12</f>
        <v>0.48</v>
      </c>
    </row>
    <row r="170" spans="1:16" x14ac:dyDescent="0.2">
      <c r="A170" s="426"/>
      <c r="B170" s="222" t="s">
        <v>824</v>
      </c>
      <c r="C170" s="217"/>
      <c r="D170" s="217"/>
      <c r="E170" s="217"/>
      <c r="F170" s="217"/>
      <c r="G170" s="217"/>
      <c r="H170" s="217"/>
      <c r="I170" s="217"/>
      <c r="J170" s="217"/>
      <c r="K170" s="427"/>
      <c r="M170" s="168">
        <f t="shared" si="1"/>
        <v>9.0160583612876763</v>
      </c>
      <c r="N170" s="25">
        <v>0.4</v>
      </c>
      <c r="O170" s="168">
        <f>P170+$F$166/P170^2</f>
        <v>7.5607093894939492</v>
      </c>
      <c r="P170" s="25">
        <f>$N$172-0.16</f>
        <v>0.43999999999999995</v>
      </c>
    </row>
    <row r="171" spans="1:16" x14ac:dyDescent="0.2">
      <c r="A171" s="426"/>
      <c r="B171" s="222" t="s">
        <v>825</v>
      </c>
      <c r="C171" s="217"/>
      <c r="D171" s="217"/>
      <c r="E171" s="217"/>
      <c r="F171" s="217"/>
      <c r="G171" s="217"/>
      <c r="H171" s="217"/>
      <c r="I171" s="217"/>
      <c r="J171" s="217"/>
      <c r="K171" s="427"/>
      <c r="M171" s="168">
        <f t="shared" si="1"/>
        <v>34.664233445150707</v>
      </c>
      <c r="N171" s="25">
        <v>0.2</v>
      </c>
      <c r="P171" s="25">
        <f>IF(O167&gt;O166,VLOOKUP($D$166,O166:P170,2),IF(O168&gt;O167,VLOOKUP($D$166,O167:P170,2),IF(O169&gt;O168,VLOOKUP($D$166,O168:P170,2),IF(O170&gt;O169,VLOOKUP($D$166,O169:P170,2),P170))))</f>
        <v>0.55999999999999994</v>
      </c>
    </row>
    <row r="172" spans="1:16" ht="15.75" x14ac:dyDescent="0.3">
      <c r="A172" s="426"/>
      <c r="B172" s="217"/>
      <c r="C172" s="217"/>
      <c r="D172" s="217"/>
      <c r="E172" s="406" t="s">
        <v>1884</v>
      </c>
      <c r="F172" s="217"/>
      <c r="G172" s="217"/>
      <c r="H172" s="470">
        <f>MIN(H149:H168)</f>
        <v>0.55199999999999994</v>
      </c>
      <c r="I172" s="456" t="s">
        <v>24</v>
      </c>
      <c r="J172" s="217"/>
      <c r="K172" s="427"/>
      <c r="N172" s="25">
        <f>IF(M167&gt;M166,VLOOKUP($D$166,M166:N171,2),IF(M168&gt;M167,VLOOKUP($D$166,M167:N171,2),IF(M169&gt;M168,VLOOKUP($D$166,M168:N171,2),IF(M170&gt;M169,VLOOKUP($D$166,M169:N171,2),IF(M171&gt;M170,VLOOKUP($D$166,M170:N171,2),N171)))))</f>
        <v>0.6</v>
      </c>
    </row>
    <row r="173" spans="1:16" x14ac:dyDescent="0.2">
      <c r="A173" s="426"/>
      <c r="B173" s="187" t="str">
        <f>IF(H168&gt;H140,"WARNING:  d1 should be less than the drop from Barrel Extension to Apron.","")</f>
        <v/>
      </c>
      <c r="C173" s="217"/>
      <c r="D173" s="217"/>
      <c r="E173" s="217"/>
      <c r="F173" s="217"/>
      <c r="G173" s="217"/>
      <c r="H173" s="217"/>
      <c r="I173" s="217"/>
      <c r="J173" s="217"/>
      <c r="K173" s="427"/>
    </row>
    <row r="174" spans="1:16" x14ac:dyDescent="0.2">
      <c r="A174" s="426"/>
      <c r="B174" s="217"/>
      <c r="C174" s="217"/>
      <c r="D174" s="217"/>
      <c r="E174" s="217"/>
      <c r="F174" s="217"/>
      <c r="G174" s="217"/>
      <c r="H174" s="217"/>
      <c r="I174" s="217"/>
      <c r="J174" s="217"/>
      <c r="K174" s="427"/>
      <c r="M174" s="171" t="s">
        <v>102</v>
      </c>
      <c r="O174" s="171" t="s">
        <v>103</v>
      </c>
    </row>
    <row r="175" spans="1:16" x14ac:dyDescent="0.2">
      <c r="A175" s="426"/>
      <c r="B175" s="222" t="s">
        <v>826</v>
      </c>
      <c r="C175" s="217"/>
      <c r="D175" s="217"/>
      <c r="E175" s="217"/>
      <c r="F175" s="217"/>
      <c r="G175" s="217"/>
      <c r="H175" s="217"/>
      <c r="I175" s="217"/>
      <c r="J175" s="217"/>
      <c r="K175" s="427"/>
      <c r="M175" s="179" t="s">
        <v>97</v>
      </c>
      <c r="N175" s="179" t="s">
        <v>701</v>
      </c>
      <c r="O175" s="179" t="s">
        <v>97</v>
      </c>
      <c r="P175" s="179" t="s">
        <v>701</v>
      </c>
    </row>
    <row r="176" spans="1:16" x14ac:dyDescent="0.2">
      <c r="A176" s="426"/>
      <c r="B176" s="217"/>
      <c r="C176" s="217"/>
      <c r="D176" s="217"/>
      <c r="E176" s="217"/>
      <c r="F176" s="217"/>
      <c r="G176" s="217"/>
      <c r="H176" s="217"/>
      <c r="I176" s="217"/>
      <c r="J176" s="217"/>
      <c r="K176" s="427"/>
      <c r="M176" s="168">
        <f>N176+$F$166/N176^2</f>
        <v>4.9559481435141217</v>
      </c>
      <c r="N176" s="25">
        <f>$P$171</f>
        <v>0.55999999999999994</v>
      </c>
      <c r="O176" s="168">
        <f>P176+$F$166/P176^2</f>
        <v>5.076290254824448</v>
      </c>
      <c r="P176" s="25">
        <f>$N$181</f>
        <v>0.55199999999999994</v>
      </c>
    </row>
    <row r="177" spans="1:17" ht="15.75" x14ac:dyDescent="0.3">
      <c r="A177" s="426"/>
      <c r="B177" s="222" t="s">
        <v>827</v>
      </c>
      <c r="C177" s="217"/>
      <c r="D177" s="217"/>
      <c r="E177" s="217"/>
      <c r="F177" s="395" t="s">
        <v>1886</v>
      </c>
      <c r="G177" s="217"/>
      <c r="H177" s="217"/>
      <c r="I177" s="217"/>
      <c r="J177" s="217"/>
      <c r="K177" s="427"/>
      <c r="M177" s="168">
        <f>N177+$F$166/N177^2</f>
        <v>5.076290254824448</v>
      </c>
      <c r="N177" s="25">
        <f>$P$171-0.008</f>
        <v>0.55199999999999994</v>
      </c>
      <c r="O177" s="168">
        <f>P177+$F$166/P177^2</f>
        <v>5.1010325005110868</v>
      </c>
      <c r="P177" s="25">
        <f>$N$181-0.0016</f>
        <v>0.55039999999999989</v>
      </c>
    </row>
    <row r="178" spans="1:17" ht="13.5" thickBot="1" x14ac:dyDescent="0.25">
      <c r="A178" s="426"/>
      <c r="B178" s="217"/>
      <c r="C178" s="217"/>
      <c r="D178" s="217"/>
      <c r="E178" s="217"/>
      <c r="F178" s="217"/>
      <c r="G178" s="217"/>
      <c r="H178" s="217"/>
      <c r="I178" s="217"/>
      <c r="J178" s="217"/>
      <c r="K178" s="427"/>
      <c r="M178" s="168">
        <f>N178+$F$166/N178^2</f>
        <v>5.2023360517342558</v>
      </c>
      <c r="N178" s="25">
        <f>$P$171-0.016</f>
        <v>0.54399999999999993</v>
      </c>
      <c r="O178" s="168">
        <f>P178+$F$166/P178^2</f>
        <v>5.1260054805436504</v>
      </c>
      <c r="P178" s="25">
        <f>$N$181-0.0032</f>
        <v>0.54879999999999995</v>
      </c>
    </row>
    <row r="179" spans="1:17" ht="16.5" thickBot="1" x14ac:dyDescent="0.35">
      <c r="A179" s="429"/>
      <c r="B179" s="468" t="s">
        <v>1885</v>
      </c>
      <c r="C179" s="430"/>
      <c r="D179" s="430">
        <f>P120/(G128*H172)</f>
        <v>9.4216014986654848</v>
      </c>
      <c r="E179" s="430" t="s">
        <v>828</v>
      </c>
      <c r="F179" s="430"/>
      <c r="G179" s="468" t="s">
        <v>1887</v>
      </c>
      <c r="H179" s="437">
        <f>D179/(G94*H172)^0.5</f>
        <v>4.0487474601092073</v>
      </c>
      <c r="I179" s="430"/>
      <c r="J179" s="430"/>
      <c r="K179" s="489" t="s">
        <v>2461</v>
      </c>
      <c r="M179" s="168">
        <f>N179+$F$166/N179^2</f>
        <v>5.3344285816928485</v>
      </c>
      <c r="N179" s="25">
        <f>$P$171-0.024</f>
        <v>0.53599999999999992</v>
      </c>
      <c r="O179" s="168">
        <f>P179+$F$166/P179^2</f>
        <v>5.1512118975110299</v>
      </c>
      <c r="P179" s="25">
        <f>$N$181-0.0048</f>
        <v>0.54719999999999991</v>
      </c>
    </row>
    <row r="180" spans="1:17" x14ac:dyDescent="0.2">
      <c r="B180" s="436" t="str">
        <f>IF(D179&gt;7.6,"WARNING:","")</f>
        <v>WARNING:</v>
      </c>
      <c r="C180" s="434"/>
      <c r="D180" s="434"/>
      <c r="E180" s="434"/>
      <c r="M180" s="168">
        <f>N180+$F$166/N180^2</f>
        <v>5.4729370760374652</v>
      </c>
      <c r="N180" s="25">
        <f>$P$171-0.032</f>
        <v>0.52799999999999991</v>
      </c>
      <c r="O180" s="168">
        <f>P180+$F$166/P180^2</f>
        <v>5.1766544936875327</v>
      </c>
      <c r="P180" s="25">
        <f>$N$181-0.0064</f>
        <v>0.54559999999999997</v>
      </c>
    </row>
    <row r="181" spans="1:17" x14ac:dyDescent="0.2">
      <c r="B181" s="436" t="str">
        <f>IF(D179&gt;7.6,"V1 &gt; 7.6 m/sec not usually allowed.","")</f>
        <v>V1 &gt; 7.6 m/sec not usually allowed.</v>
      </c>
      <c r="C181" s="434"/>
      <c r="D181" s="434"/>
      <c r="E181" s="434"/>
      <c r="N181" s="25">
        <f>IF(M177&gt;M176,VLOOKUP($D$166,M176:N180,2),IF(M178&gt;M177,VLOOKUP($D$166,M177:N180,2),IF(M179&gt;M178,VLOOKUP($D$166,M178:N180,2),IF(M180&gt;M179,VLOOKUP($D$166,M179:N180,2),N180))))</f>
        <v>0.55199999999999994</v>
      </c>
      <c r="P181" s="25">
        <f>IF(O177&gt;O176,VLOOKUP($D$166,O176:P180,2),IF(O178&gt;O177,VLOOKUP($D$166,O177:P180,2),IF(O179&gt;O178,VLOOKUP($D$166,O178:P180,2),IF(O180&gt;O179,VLOOKUP($D$166,O179:P180,2),P180))))</f>
        <v>0.55199999999999994</v>
      </c>
    </row>
    <row r="183" spans="1:17" x14ac:dyDescent="0.2">
      <c r="A183" s="217"/>
      <c r="B183" s="222" t="s">
        <v>829</v>
      </c>
      <c r="C183" s="217"/>
      <c r="D183" s="217"/>
      <c r="E183" s="217"/>
      <c r="F183" s="217"/>
      <c r="G183" s="217"/>
      <c r="H183" s="217"/>
      <c r="I183" s="217"/>
      <c r="J183" s="217"/>
      <c r="K183" s="217"/>
    </row>
    <row r="184" spans="1:17" x14ac:dyDescent="0.2">
      <c r="A184" s="217"/>
      <c r="B184" s="222" t="s">
        <v>830</v>
      </c>
      <c r="C184" s="217"/>
      <c r="D184" s="217"/>
      <c r="E184" s="217"/>
      <c r="F184" s="217"/>
      <c r="G184" s="217"/>
      <c r="H184" s="217"/>
      <c r="I184" s="217"/>
      <c r="J184" s="217"/>
      <c r="K184" s="217"/>
    </row>
    <row r="185" spans="1:17" x14ac:dyDescent="0.2">
      <c r="A185" s="217"/>
      <c r="B185" s="222" t="s">
        <v>831</v>
      </c>
      <c r="C185" s="217"/>
      <c r="D185" s="217"/>
      <c r="E185" s="217"/>
      <c r="F185" s="217"/>
      <c r="G185" s="395" t="s">
        <v>2384</v>
      </c>
      <c r="H185" s="217"/>
      <c r="I185" s="217"/>
      <c r="J185" s="217"/>
      <c r="K185" s="217"/>
    </row>
    <row r="186" spans="1:17" x14ac:dyDescent="0.2">
      <c r="A186" s="217"/>
      <c r="B186" s="222" t="s">
        <v>832</v>
      </c>
      <c r="C186" s="217"/>
      <c r="D186" s="217"/>
      <c r="E186" s="217"/>
      <c r="F186" s="217"/>
      <c r="G186" s="217"/>
      <c r="H186" s="217"/>
      <c r="I186" s="217"/>
      <c r="J186" s="217"/>
      <c r="K186" s="217"/>
    </row>
    <row r="187" spans="1:17" x14ac:dyDescent="0.2">
      <c r="A187" s="217"/>
      <c r="B187" s="461" t="s">
        <v>833</v>
      </c>
      <c r="C187" s="446"/>
      <c r="D187" s="446"/>
      <c r="E187" s="446"/>
      <c r="F187" s="446"/>
      <c r="G187" s="446"/>
      <c r="H187" s="446"/>
      <c r="I187" s="446"/>
      <c r="J187" s="446"/>
      <c r="K187" s="217"/>
      <c r="M187" s="171" t="s">
        <v>834</v>
      </c>
      <c r="Q187" s="5">
        <v>3</v>
      </c>
    </row>
    <row r="188" spans="1:17" x14ac:dyDescent="0.2">
      <c r="A188" s="217"/>
      <c r="B188" s="461" t="s">
        <v>835</v>
      </c>
      <c r="C188" s="446"/>
      <c r="D188" s="446"/>
      <c r="E188" s="446"/>
      <c r="F188" s="446"/>
      <c r="G188" s="446"/>
      <c r="H188" s="446"/>
      <c r="I188" s="446"/>
      <c r="J188" s="446"/>
      <c r="K188" s="217"/>
      <c r="M188" s="171" t="s">
        <v>836</v>
      </c>
    </row>
    <row r="189" spans="1:17" x14ac:dyDescent="0.2">
      <c r="A189" s="217"/>
      <c r="B189" s="222" t="s">
        <v>583</v>
      </c>
      <c r="C189" s="187" t="str">
        <f>IF($Q$196=1,"USBR Stilling Basin Type I",IF($Q$196=2,"USBR Stilling Basin Type II",IF($Q$196=3,"Indian Standard Stilling Basin I",IF($Q$196=4,"USBR Stilling Basin Type IV","ERROR!!"))))</f>
        <v>Indian Standard Stilling Basin I</v>
      </c>
      <c r="D189" s="217"/>
      <c r="E189" s="217"/>
      <c r="F189" s="217"/>
      <c r="G189" s="217"/>
      <c r="H189" s="217"/>
      <c r="I189" s="222" t="s">
        <v>837</v>
      </c>
      <c r="J189" s="217"/>
      <c r="K189" s="217"/>
      <c r="M189" s="171" t="s">
        <v>838</v>
      </c>
    </row>
    <row r="190" spans="1:17" x14ac:dyDescent="0.2">
      <c r="A190" s="217"/>
      <c r="B190" s="187" t="str">
        <f>IF(Q187=0,"   (The default Stilling Basin has been followed.)","   (The default Stilling Basin has been overridden by the user.)")</f>
        <v xml:space="preserve">   (The default Stilling Basin has been overridden by the user.)</v>
      </c>
      <c r="C190" s="217"/>
      <c r="D190" s="217"/>
      <c r="E190" s="217"/>
      <c r="F190" s="217"/>
      <c r="G190" s="217"/>
      <c r="H190" s="217"/>
      <c r="I190" s="217"/>
      <c r="J190" s="217"/>
      <c r="K190" s="217"/>
      <c r="M190" s="171" t="s">
        <v>839</v>
      </c>
    </row>
    <row r="191" spans="1:17" ht="13.5" thickBot="1" x14ac:dyDescent="0.25">
      <c r="A191" s="217"/>
      <c r="B191" s="217"/>
      <c r="C191" s="217"/>
      <c r="D191" s="217"/>
      <c r="E191" s="217"/>
      <c r="F191" s="217"/>
      <c r="G191" s="217"/>
      <c r="H191" s="217"/>
      <c r="I191" s="217"/>
      <c r="J191" s="217"/>
      <c r="K191" s="217"/>
      <c r="M191" s="171" t="s">
        <v>840</v>
      </c>
    </row>
    <row r="192" spans="1:17" x14ac:dyDescent="0.2">
      <c r="A192" s="423"/>
      <c r="B192" s="466" t="s">
        <v>841</v>
      </c>
      <c r="C192" s="424"/>
      <c r="D192" s="424"/>
      <c r="E192" s="424"/>
      <c r="F192" s="424"/>
      <c r="G192" s="424"/>
      <c r="H192" s="424"/>
      <c r="I192" s="424"/>
      <c r="J192" s="424"/>
      <c r="K192" s="425"/>
      <c r="M192" s="171" t="s">
        <v>842</v>
      </c>
    </row>
    <row r="193" spans="1:18" x14ac:dyDescent="0.2">
      <c r="A193" s="426"/>
      <c r="B193" s="217"/>
      <c r="C193" s="217"/>
      <c r="D193" s="217"/>
      <c r="E193" s="217"/>
      <c r="F193" s="217"/>
      <c r="G193" s="217"/>
      <c r="H193" s="217"/>
      <c r="I193" s="217"/>
      <c r="J193" s="217"/>
      <c r="K193" s="427"/>
      <c r="M193" s="171" t="s">
        <v>843</v>
      </c>
    </row>
    <row r="194" spans="1:18" x14ac:dyDescent="0.2">
      <c r="A194" s="426"/>
      <c r="B194" s="222" t="s">
        <v>844</v>
      </c>
      <c r="C194" s="217"/>
      <c r="D194" s="217"/>
      <c r="E194" s="217"/>
      <c r="F194" s="217"/>
      <c r="G194" s="217"/>
      <c r="H194" s="217"/>
      <c r="I194" s="217"/>
      <c r="J194" s="217"/>
      <c r="K194" s="427"/>
    </row>
    <row r="195" spans="1:18" x14ac:dyDescent="0.2">
      <c r="A195" s="426"/>
      <c r="B195" s="217"/>
      <c r="C195" s="217"/>
      <c r="D195" s="217"/>
      <c r="E195" s="217"/>
      <c r="F195" s="217"/>
      <c r="G195" s="217"/>
      <c r="H195" s="217"/>
      <c r="I195" s="217"/>
      <c r="J195" s="217"/>
      <c r="K195" s="427"/>
      <c r="M195" s="171" t="s">
        <v>845</v>
      </c>
    </row>
    <row r="196" spans="1:18" ht="15.75" x14ac:dyDescent="0.3">
      <c r="A196" s="426"/>
      <c r="B196" s="406" t="s">
        <v>1888</v>
      </c>
      <c r="C196" s="217"/>
      <c r="D196" s="217"/>
      <c r="E196" s="217"/>
      <c r="F196" s="217"/>
      <c r="G196" s="217"/>
      <c r="H196" s="455">
        <f>H172/2*((1+8*H179^2)^0.5-1)</f>
        <v>2.8966658952137365</v>
      </c>
      <c r="I196" s="455" t="s">
        <v>24</v>
      </c>
      <c r="J196" s="217"/>
      <c r="K196" s="427"/>
      <c r="M196" s="171" t="s">
        <v>846</v>
      </c>
      <c r="Q196" s="30">
        <v>3</v>
      </c>
      <c r="R196" s="171" t="s">
        <v>753</v>
      </c>
    </row>
    <row r="197" spans="1:18" x14ac:dyDescent="0.2">
      <c r="A197" s="426"/>
      <c r="B197" s="680" t="s">
        <v>847</v>
      </c>
      <c r="C197" s="217"/>
      <c r="D197" s="217"/>
      <c r="E197" s="217"/>
      <c r="F197" s="217"/>
      <c r="G197" s="217"/>
      <c r="H197" s="217"/>
      <c r="I197" s="217"/>
      <c r="J197" s="217"/>
      <c r="K197" s="427"/>
      <c r="M197" s="171" t="s">
        <v>848</v>
      </c>
      <c r="O197" s="171" t="s">
        <v>849</v>
      </c>
    </row>
    <row r="198" spans="1:18" x14ac:dyDescent="0.2">
      <c r="A198" s="426"/>
      <c r="B198" s="222" t="s">
        <v>850</v>
      </c>
      <c r="C198" s="217"/>
      <c r="D198" s="217"/>
      <c r="E198" s="217"/>
      <c r="F198" s="217"/>
      <c r="G198" s="217"/>
      <c r="H198" s="217"/>
      <c r="I198" s="217"/>
      <c r="J198" s="217"/>
      <c r="K198" s="427"/>
    </row>
    <row r="199" spans="1:18" x14ac:dyDescent="0.2">
      <c r="A199" s="426"/>
      <c r="B199" s="222" t="s">
        <v>851</v>
      </c>
      <c r="C199" s="217"/>
      <c r="D199" s="217"/>
      <c r="E199" s="217"/>
      <c r="F199" s="217"/>
      <c r="G199" s="217"/>
      <c r="H199" s="217"/>
      <c r="I199" s="217"/>
      <c r="J199" s="217"/>
      <c r="K199" s="427"/>
      <c r="M199" s="179" t="s">
        <v>852</v>
      </c>
      <c r="N199" s="171" t="s">
        <v>853</v>
      </c>
      <c r="O199" s="179" t="s">
        <v>852</v>
      </c>
      <c r="P199" s="171" t="s">
        <v>853</v>
      </c>
    </row>
    <row r="200" spans="1:18" x14ac:dyDescent="0.2">
      <c r="A200" s="426"/>
      <c r="B200" s="217"/>
      <c r="C200" s="217"/>
      <c r="D200" s="217"/>
      <c r="E200" s="217"/>
      <c r="F200" s="217"/>
      <c r="G200" s="217"/>
      <c r="H200" s="217"/>
      <c r="I200" s="217"/>
      <c r="J200" s="217"/>
      <c r="K200" s="427"/>
    </row>
    <row r="201" spans="1:18" x14ac:dyDescent="0.2">
      <c r="A201" s="426"/>
      <c r="B201" s="222" t="s">
        <v>854</v>
      </c>
      <c r="C201" s="217"/>
      <c r="D201" s="217"/>
      <c r="E201" s="217"/>
      <c r="F201" s="217"/>
      <c r="G201" s="217"/>
      <c r="H201" s="217"/>
      <c r="I201" s="217"/>
      <c r="J201" s="217"/>
      <c r="K201" s="427"/>
      <c r="M201" s="168">
        <v>2</v>
      </c>
      <c r="N201" s="168">
        <v>4.3</v>
      </c>
      <c r="O201" s="168">
        <v>4</v>
      </c>
      <c r="P201" s="168">
        <v>3.6</v>
      </c>
    </row>
    <row r="202" spans="1:18" x14ac:dyDescent="0.2">
      <c r="A202" s="426"/>
      <c r="B202" s="217"/>
      <c r="C202" s="217"/>
      <c r="D202" s="217"/>
      <c r="E202" s="217"/>
      <c r="F202" s="217"/>
      <c r="G202" s="217"/>
      <c r="H202" s="217"/>
      <c r="I202" s="217"/>
      <c r="J202" s="217"/>
      <c r="K202" s="427"/>
      <c r="M202" s="168">
        <v>3</v>
      </c>
      <c r="N202" s="168">
        <v>5.2</v>
      </c>
      <c r="O202" s="168">
        <v>4.5</v>
      </c>
      <c r="P202" s="168">
        <v>3.74</v>
      </c>
    </row>
    <row r="203" spans="1:18" x14ac:dyDescent="0.2">
      <c r="A203" s="426"/>
      <c r="B203" s="222" t="s">
        <v>855</v>
      </c>
      <c r="C203" s="217"/>
      <c r="D203" s="217"/>
      <c r="E203" s="217"/>
      <c r="F203" s="217"/>
      <c r="G203" s="217"/>
      <c r="H203" s="217"/>
      <c r="I203" s="217"/>
      <c r="J203" s="217"/>
      <c r="K203" s="427"/>
      <c r="M203" s="168">
        <v>4</v>
      </c>
      <c r="N203" s="168">
        <v>5.8</v>
      </c>
      <c r="O203" s="168">
        <v>5</v>
      </c>
      <c r="P203" s="168">
        <v>3.86</v>
      </c>
    </row>
    <row r="204" spans="1:18" x14ac:dyDescent="0.2">
      <c r="A204" s="426"/>
      <c r="B204" s="217"/>
      <c r="C204" s="217"/>
      <c r="D204" s="217"/>
      <c r="E204" s="217"/>
      <c r="F204" s="217"/>
      <c r="G204" s="217"/>
      <c r="H204" s="217"/>
      <c r="I204" s="217"/>
      <c r="J204" s="217"/>
      <c r="K204" s="427"/>
      <c r="M204" s="168">
        <v>5</v>
      </c>
      <c r="N204" s="168">
        <v>6</v>
      </c>
      <c r="O204" s="168">
        <v>5.5</v>
      </c>
      <c r="P204" s="168">
        <v>3.96</v>
      </c>
    </row>
    <row r="205" spans="1:18" x14ac:dyDescent="0.2">
      <c r="A205" s="426"/>
      <c r="B205" s="222" t="s">
        <v>856</v>
      </c>
      <c r="C205" s="217"/>
      <c r="D205" s="222" t="s">
        <v>857</v>
      </c>
      <c r="E205" s="217"/>
      <c r="F205" s="217"/>
      <c r="G205" s="217"/>
      <c r="H205" s="217"/>
      <c r="I205" s="217"/>
      <c r="J205" s="217"/>
      <c r="K205" s="427"/>
      <c r="M205" s="168">
        <v>6</v>
      </c>
      <c r="N205" s="168">
        <v>6.1</v>
      </c>
      <c r="O205" s="168">
        <v>6</v>
      </c>
      <c r="P205" s="168">
        <v>4.0199999999999996</v>
      </c>
    </row>
    <row r="206" spans="1:18" x14ac:dyDescent="0.2">
      <c r="A206" s="426"/>
      <c r="B206" s="222" t="s">
        <v>858</v>
      </c>
      <c r="C206" s="217"/>
      <c r="D206" s="187">
        <v>1</v>
      </c>
      <c r="E206" s="222" t="s">
        <v>859</v>
      </c>
      <c r="F206" s="187" t="str">
        <f>IF($Q$196=1,"USBR Stilling Basin Type I",IF($Q$196=2,"USBR Stilling Basin Type II",IF($Q$196=3,"Indian Standard Stilling Basin I",IF($Q$196=4,"USBR Stilling Basin Type IV","ERROR!!"))))</f>
        <v>Indian Standard Stilling Basin I</v>
      </c>
      <c r="G206" s="217"/>
      <c r="H206" s="217"/>
      <c r="I206" s="217"/>
      <c r="J206" s="217"/>
      <c r="K206" s="427"/>
      <c r="M206" s="168">
        <v>7</v>
      </c>
      <c r="N206" s="168">
        <v>6.1</v>
      </c>
      <c r="O206" s="168">
        <v>6.5</v>
      </c>
      <c r="P206" s="168">
        <v>4.0999999999999996</v>
      </c>
    </row>
    <row r="207" spans="1:18" x14ac:dyDescent="0.2">
      <c r="A207" s="426"/>
      <c r="B207" s="222" t="s">
        <v>860</v>
      </c>
      <c r="C207" s="217"/>
      <c r="D207" s="187">
        <v>1.05</v>
      </c>
      <c r="E207" s="222" t="s">
        <v>861</v>
      </c>
      <c r="F207" s="217"/>
      <c r="G207" s="187">
        <f>IF(Q196=4,1.1,IF(Q196=2,1.05,1))</f>
        <v>1</v>
      </c>
      <c r="H207" s="222" t="s">
        <v>862</v>
      </c>
      <c r="I207" s="217"/>
      <c r="J207" s="217"/>
      <c r="K207" s="427"/>
      <c r="M207" s="168">
        <v>8</v>
      </c>
      <c r="N207" s="168">
        <v>6.1</v>
      </c>
      <c r="O207" s="168">
        <v>7</v>
      </c>
      <c r="P207" s="168">
        <v>4.16</v>
      </c>
    </row>
    <row r="208" spans="1:18" x14ac:dyDescent="0.2">
      <c r="A208" s="426"/>
      <c r="B208" s="222" t="s">
        <v>863</v>
      </c>
      <c r="C208" s="217"/>
      <c r="D208" s="187">
        <v>1.1000000000000001</v>
      </c>
      <c r="E208" s="217"/>
      <c r="F208" s="217"/>
      <c r="G208" s="217"/>
      <c r="H208" s="217"/>
      <c r="I208" s="217"/>
      <c r="J208" s="217"/>
      <c r="K208" s="427"/>
      <c r="M208" s="168">
        <v>9</v>
      </c>
      <c r="N208" s="168">
        <v>6.2</v>
      </c>
      <c r="O208" s="168">
        <v>7.5</v>
      </c>
      <c r="P208" s="168">
        <v>4.2</v>
      </c>
    </row>
    <row r="209" spans="1:16" x14ac:dyDescent="0.2">
      <c r="A209" s="426"/>
      <c r="B209" s="222" t="s">
        <v>864</v>
      </c>
      <c r="C209" s="217"/>
      <c r="D209" s="187">
        <v>1</v>
      </c>
      <c r="E209" s="217"/>
      <c r="F209" s="217"/>
      <c r="G209" s="217"/>
      <c r="H209" s="217"/>
      <c r="I209" s="217"/>
      <c r="J209" s="217"/>
      <c r="K209" s="427"/>
      <c r="M209" s="168">
        <v>10</v>
      </c>
      <c r="N209" s="168">
        <v>6.2</v>
      </c>
      <c r="O209" s="168">
        <v>8</v>
      </c>
      <c r="P209" s="168">
        <v>4.22</v>
      </c>
    </row>
    <row r="210" spans="1:16" x14ac:dyDescent="0.2">
      <c r="A210" s="426"/>
      <c r="B210" s="217"/>
      <c r="C210" s="217"/>
      <c r="D210" s="217"/>
      <c r="E210" s="217"/>
      <c r="F210" s="217"/>
      <c r="G210" s="217"/>
      <c r="H210" s="217"/>
      <c r="I210" s="217"/>
      <c r="J210" s="217"/>
      <c r="K210" s="427"/>
      <c r="M210" s="168">
        <v>11</v>
      </c>
      <c r="N210" s="168">
        <v>6.1</v>
      </c>
      <c r="O210" s="168">
        <v>8.5</v>
      </c>
      <c r="P210" s="168">
        <v>4.26</v>
      </c>
    </row>
    <row r="211" spans="1:16" x14ac:dyDescent="0.2">
      <c r="A211" s="426"/>
      <c r="B211" s="222" t="s">
        <v>865</v>
      </c>
      <c r="C211" s="217"/>
      <c r="D211" s="187">
        <f>G207</f>
        <v>1</v>
      </c>
      <c r="E211" s="222" t="s">
        <v>866</v>
      </c>
      <c r="F211" s="187">
        <f>H196</f>
        <v>2.8966658952137365</v>
      </c>
      <c r="G211" s="222" t="s">
        <v>867</v>
      </c>
      <c r="H211" s="187">
        <f>D211*F211</f>
        <v>2.8966658952137365</v>
      </c>
      <c r="I211" s="222" t="s">
        <v>24</v>
      </c>
      <c r="J211" s="217"/>
      <c r="K211" s="427"/>
      <c r="M211" s="168">
        <v>12</v>
      </c>
      <c r="N211" s="168">
        <v>6.1</v>
      </c>
      <c r="O211" s="168">
        <v>9</v>
      </c>
      <c r="P211" s="168">
        <v>4.28</v>
      </c>
    </row>
    <row r="212" spans="1:16" x14ac:dyDescent="0.2">
      <c r="A212" s="426"/>
      <c r="B212" s="217"/>
      <c r="C212" s="217"/>
      <c r="D212" s="217"/>
      <c r="E212" s="217"/>
      <c r="F212" s="217"/>
      <c r="G212" s="217"/>
      <c r="H212" s="217"/>
      <c r="I212" s="217"/>
      <c r="J212" s="217"/>
      <c r="K212" s="427"/>
      <c r="M212" s="168">
        <v>13</v>
      </c>
      <c r="N212" s="168">
        <v>6</v>
      </c>
      <c r="O212" s="168">
        <v>9.5</v>
      </c>
      <c r="P212" s="168">
        <v>4.3</v>
      </c>
    </row>
    <row r="213" spans="1:16" x14ac:dyDescent="0.2">
      <c r="A213" s="426"/>
      <c r="B213" s="222" t="s">
        <v>868</v>
      </c>
      <c r="C213" s="217"/>
      <c r="D213" s="217"/>
      <c r="E213" s="217"/>
      <c r="F213" s="217"/>
      <c r="G213" s="217"/>
      <c r="H213" s="217"/>
      <c r="I213" s="187">
        <f>IF(F9&gt;=F10,F10,F9)-F18</f>
        <v>2.25</v>
      </c>
      <c r="J213" s="217" t="s">
        <v>24</v>
      </c>
      <c r="K213" s="427"/>
      <c r="M213" s="168">
        <v>14</v>
      </c>
      <c r="N213" s="168">
        <v>6</v>
      </c>
      <c r="O213" s="168">
        <v>10</v>
      </c>
      <c r="P213" s="168">
        <v>4.32</v>
      </c>
    </row>
    <row r="214" spans="1:16" x14ac:dyDescent="0.2">
      <c r="A214" s="426"/>
      <c r="B214" s="217"/>
      <c r="C214" s="187"/>
      <c r="D214" s="217"/>
      <c r="E214" s="222"/>
      <c r="F214" s="217"/>
      <c r="G214" s="217"/>
      <c r="H214" s="217"/>
      <c r="I214" s="217"/>
      <c r="J214" s="217"/>
      <c r="K214" s="427"/>
      <c r="M214" s="168">
        <v>15</v>
      </c>
      <c r="N214" s="168">
        <v>6</v>
      </c>
      <c r="O214" s="168">
        <v>10.5</v>
      </c>
      <c r="P214" s="168">
        <v>4.32</v>
      </c>
    </row>
    <row r="215" spans="1:16" x14ac:dyDescent="0.2">
      <c r="A215" s="426"/>
      <c r="B215" s="187" t="str">
        <f>IF(I213&gt;=H211,"TWD  &gt;=  TWD min;   Design is O.K.","TWD  &lt;  TWD min;   Design is not O.K., unless Tailwater Velocity &lt;= 1.0 m/s")</f>
        <v>TWD  &lt;  TWD min;   Design is not O.K., unless Tailwater Velocity &lt;= 1.0 m/s</v>
      </c>
      <c r="C215" s="217"/>
      <c r="D215" s="217"/>
      <c r="E215" s="217"/>
      <c r="F215" s="222"/>
      <c r="G215" s="187"/>
      <c r="H215" s="222"/>
      <c r="I215" s="217"/>
      <c r="J215" s="217"/>
      <c r="K215" s="427"/>
      <c r="M215" s="168">
        <v>16</v>
      </c>
      <c r="N215" s="168">
        <v>5.9</v>
      </c>
      <c r="O215" s="168">
        <v>11</v>
      </c>
      <c r="P215" s="168">
        <v>4.34</v>
      </c>
    </row>
    <row r="216" spans="1:16" x14ac:dyDescent="0.2">
      <c r="A216" s="426"/>
      <c r="B216" s="187" t="str">
        <f>IF(H211&gt;=I213,"","                   (refer to the discussion on Tailwater Velocity below)")</f>
        <v/>
      </c>
      <c r="C216" s="217"/>
      <c r="D216" s="217"/>
      <c r="E216" s="217"/>
      <c r="F216" s="217"/>
      <c r="G216" s="217"/>
      <c r="H216" s="217"/>
      <c r="I216" s="217"/>
      <c r="J216" s="217"/>
      <c r="K216" s="427"/>
      <c r="M216" s="168">
        <v>17</v>
      </c>
      <c r="N216" s="168">
        <v>5.8</v>
      </c>
      <c r="O216" s="168">
        <v>11.5</v>
      </c>
      <c r="P216" s="168">
        <v>4.34</v>
      </c>
    </row>
    <row r="217" spans="1:16" x14ac:dyDescent="0.2">
      <c r="A217" s="426"/>
      <c r="B217" s="217"/>
      <c r="C217" s="217"/>
      <c r="D217" s="217"/>
      <c r="E217" s="217"/>
      <c r="F217" s="217"/>
      <c r="G217" s="217"/>
      <c r="H217" s="217"/>
      <c r="I217" s="217"/>
      <c r="J217" s="217"/>
      <c r="K217" s="427"/>
      <c r="M217" s="168">
        <v>18</v>
      </c>
      <c r="N217" s="168">
        <v>5.7</v>
      </c>
      <c r="O217" s="168">
        <v>12</v>
      </c>
      <c r="P217" s="168">
        <v>4.34</v>
      </c>
    </row>
    <row r="218" spans="1:16" x14ac:dyDescent="0.2">
      <c r="A218" s="426"/>
      <c r="B218" s="187" t="str">
        <f>IF(F9&gt;=F10,"LENGTH OF OUTLET (D/S) STILLING BASIN","LENGTH OF INLET (U/S) STILLING BASIN")</f>
        <v>LENGTH OF INLET (U/S) STILLING BASIN</v>
      </c>
      <c r="C218" s="217"/>
      <c r="D218" s="217"/>
      <c r="E218" s="217"/>
      <c r="F218" s="217"/>
      <c r="G218" s="217"/>
      <c r="H218" s="217"/>
      <c r="I218" s="217"/>
      <c r="J218" s="217"/>
      <c r="K218" s="427"/>
      <c r="M218" s="168">
        <v>19</v>
      </c>
      <c r="N218" s="168">
        <v>5.5</v>
      </c>
      <c r="O218" s="168">
        <v>12.5</v>
      </c>
      <c r="P218" s="168">
        <v>4.34</v>
      </c>
    </row>
    <row r="219" spans="1:16" x14ac:dyDescent="0.2">
      <c r="A219" s="426"/>
      <c r="B219" s="217"/>
      <c r="C219" s="217"/>
      <c r="D219" s="217"/>
      <c r="E219" s="217"/>
      <c r="F219" s="217"/>
      <c r="G219" s="217"/>
      <c r="H219" s="217"/>
      <c r="I219" s="217"/>
      <c r="J219" s="217"/>
      <c r="K219" s="427"/>
      <c r="M219" s="168">
        <v>20</v>
      </c>
      <c r="N219" s="168">
        <v>5.4</v>
      </c>
      <c r="O219" s="168">
        <v>13</v>
      </c>
      <c r="P219" s="168">
        <v>4.34</v>
      </c>
    </row>
    <row r="220" spans="1:16" x14ac:dyDescent="0.2">
      <c r="A220" s="426"/>
      <c r="B220" s="222" t="s">
        <v>869</v>
      </c>
      <c r="C220" s="217"/>
      <c r="D220" s="217"/>
      <c r="E220" s="217"/>
      <c r="F220" s="217"/>
      <c r="G220" s="217"/>
      <c r="H220" s="217"/>
      <c r="I220" s="217"/>
      <c r="J220" s="217"/>
      <c r="K220" s="427"/>
      <c r="O220" s="168">
        <v>13.5</v>
      </c>
      <c r="P220" s="168">
        <v>4.32</v>
      </c>
    </row>
    <row r="221" spans="1:16" x14ac:dyDescent="0.2">
      <c r="A221" s="426"/>
      <c r="B221" s="222" t="s">
        <v>870</v>
      </c>
      <c r="C221" s="217"/>
      <c r="D221" s="217"/>
      <c r="E221" s="217"/>
      <c r="F221" s="217"/>
      <c r="G221" s="217"/>
      <c r="H221" s="217"/>
      <c r="I221" s="217"/>
      <c r="J221" s="217"/>
      <c r="K221" s="427"/>
      <c r="M221" s="168">
        <f>TRUNC($E$223)</f>
        <v>4</v>
      </c>
      <c r="N221" s="168">
        <f>VLOOKUP($E$223,M201:N219,2)</f>
        <v>5.8</v>
      </c>
      <c r="O221" s="168">
        <v>14</v>
      </c>
      <c r="P221" s="168">
        <v>4.3</v>
      </c>
    </row>
    <row r="222" spans="1:16" x14ac:dyDescent="0.2">
      <c r="A222" s="426"/>
      <c r="B222" s="222"/>
      <c r="C222" s="217"/>
      <c r="D222" s="217"/>
      <c r="E222" s="217"/>
      <c r="F222" s="217"/>
      <c r="G222" s="217"/>
      <c r="H222" s="217"/>
      <c r="I222" s="217"/>
      <c r="J222" s="217"/>
      <c r="K222" s="427"/>
      <c r="M222" s="168">
        <f>M221+1</f>
        <v>5</v>
      </c>
      <c r="N222" s="168">
        <f>VLOOKUP(M222,M201:N219,2)</f>
        <v>6</v>
      </c>
      <c r="O222" s="168">
        <v>14.5</v>
      </c>
      <c r="P222" s="168">
        <v>4.28</v>
      </c>
    </row>
    <row r="223" spans="1:16" x14ac:dyDescent="0.2">
      <c r="A223" s="426"/>
      <c r="B223" s="222" t="s">
        <v>871</v>
      </c>
      <c r="C223" s="217"/>
      <c r="D223" s="217"/>
      <c r="E223" s="187">
        <f>H179</f>
        <v>4.0487474601092073</v>
      </c>
      <c r="F223" s="217"/>
      <c r="G223" s="217"/>
      <c r="H223" s="217"/>
      <c r="I223" s="217"/>
      <c r="J223" s="217"/>
      <c r="K223" s="427"/>
      <c r="M223" s="168">
        <f>$E$223</f>
        <v>4.0487474601092073</v>
      </c>
      <c r="N223" s="168">
        <f>N221+(N222-N221)*($E$223-M221)</f>
        <v>5.8097494920218411</v>
      </c>
    </row>
    <row r="224" spans="1:16" x14ac:dyDescent="0.2">
      <c r="A224" s="426"/>
      <c r="B224" s="222" t="s">
        <v>872</v>
      </c>
      <c r="C224" s="217"/>
      <c r="D224" s="187" t="str">
        <f>IF($Q$196=1,"USBR Stilling Basin Type I",IF($Q$196=2,"USBR Stilling Basin Type II",IF($Q$196=3,"Indian Standard Stilling Basin I",IF($Q$196=4,"USBR Stilling Basin Type IV","ERROR!!"))))</f>
        <v>Indian Standard Stilling Basin I</v>
      </c>
      <c r="E224" s="217"/>
      <c r="F224" s="217"/>
      <c r="G224" s="217"/>
      <c r="H224" s="217"/>
      <c r="I224" s="217"/>
      <c r="J224" s="217"/>
      <c r="K224" s="427"/>
      <c r="O224" s="168">
        <f>TRUNC(2*$E$223)/2</f>
        <v>4</v>
      </c>
      <c r="P224" s="168">
        <f>VLOOKUP($E$223,O201:P222,2)</f>
        <v>3.6</v>
      </c>
    </row>
    <row r="225" spans="1:16" x14ac:dyDescent="0.2">
      <c r="A225" s="426"/>
      <c r="B225" s="222" t="s">
        <v>873</v>
      </c>
      <c r="C225" s="187">
        <v>3.2</v>
      </c>
      <c r="D225" s="217"/>
      <c r="E225" s="217"/>
      <c r="F225" s="217"/>
      <c r="G225" s="217"/>
      <c r="H225" s="217"/>
      <c r="I225" s="460"/>
      <c r="J225" s="217"/>
      <c r="K225" s="427"/>
      <c r="O225" s="168">
        <f>O224+0.5</f>
        <v>4.5</v>
      </c>
      <c r="P225" s="168">
        <f>VLOOKUP(O225,O201:P222,2)</f>
        <v>3.74</v>
      </c>
    </row>
    <row r="226" spans="1:16" x14ac:dyDescent="0.2">
      <c r="A226" s="426"/>
      <c r="B226" s="217"/>
      <c r="C226" s="217"/>
      <c r="D226" s="217"/>
      <c r="E226" s="217"/>
      <c r="F226" s="217"/>
      <c r="G226" s="217"/>
      <c r="H226" s="217"/>
      <c r="I226" s="217" t="s">
        <v>1869</v>
      </c>
      <c r="J226" s="217">
        <f>H229/F227*H196*0.8</f>
        <v>3.25</v>
      </c>
      <c r="K226" s="427"/>
      <c r="O226" s="168">
        <f>$E$223</f>
        <v>4.0487474601092073</v>
      </c>
      <c r="P226" s="168">
        <f>P224+(P225-P224)/0.5*($E$223-O224)</f>
        <v>3.6136492888305782</v>
      </c>
    </row>
    <row r="227" spans="1:16" x14ac:dyDescent="0.2">
      <c r="A227" s="426"/>
      <c r="B227" s="222" t="s">
        <v>874</v>
      </c>
      <c r="C227" s="217"/>
      <c r="D227" s="217"/>
      <c r="E227" s="217"/>
      <c r="F227" s="217">
        <f>C225*H196</f>
        <v>9.2693308646839565</v>
      </c>
      <c r="G227" s="217" t="s">
        <v>24</v>
      </c>
      <c r="H227" s="217"/>
      <c r="I227" s="217" t="s">
        <v>1868</v>
      </c>
      <c r="J227" s="217">
        <v>2.5</v>
      </c>
      <c r="K227" s="427"/>
    </row>
    <row r="228" spans="1:16" x14ac:dyDescent="0.2">
      <c r="A228" s="426"/>
      <c r="B228" s="222"/>
      <c r="C228" s="217"/>
      <c r="D228" s="217"/>
      <c r="E228" s="217"/>
      <c r="F228" s="1153" t="s">
        <v>875</v>
      </c>
      <c r="G228" s="217">
        <f>F227+2</f>
        <v>11.269330864683957</v>
      </c>
      <c r="H228" s="395" t="s">
        <v>24</v>
      </c>
      <c r="I228" s="217"/>
      <c r="J228" s="217"/>
      <c r="K228" s="427"/>
    </row>
    <row r="229" spans="1:16" x14ac:dyDescent="0.2">
      <c r="A229" s="426"/>
      <c r="B229" s="217"/>
      <c r="C229" s="217"/>
      <c r="D229" s="217"/>
      <c r="E229" s="217"/>
      <c r="F229" s="222" t="s">
        <v>323</v>
      </c>
      <c r="G229" s="460" t="s">
        <v>875</v>
      </c>
      <c r="H229" s="478">
        <v>13</v>
      </c>
      <c r="I229" s="696" t="s">
        <v>876</v>
      </c>
      <c r="J229" s="217"/>
      <c r="K229" s="427"/>
      <c r="M229" s="171" t="s">
        <v>877</v>
      </c>
      <c r="O229" s="171" t="s">
        <v>878</v>
      </c>
    </row>
    <row r="230" spans="1:16" x14ac:dyDescent="0.2">
      <c r="A230" s="426"/>
      <c r="B230" s="222"/>
      <c r="C230" s="187"/>
      <c r="D230" s="222"/>
      <c r="E230" s="187"/>
      <c r="F230" s="222"/>
      <c r="G230" s="187"/>
      <c r="H230" s="406" t="s">
        <v>2598</v>
      </c>
      <c r="I230" s="217"/>
      <c r="J230" s="217"/>
      <c r="K230" s="427"/>
    </row>
    <row r="231" spans="1:16" x14ac:dyDescent="0.2">
      <c r="A231" s="426"/>
      <c r="B231" s="222" t="s">
        <v>879</v>
      </c>
      <c r="C231" s="217"/>
      <c r="D231" s="217"/>
      <c r="E231" s="217"/>
      <c r="F231" s="217"/>
      <c r="G231" s="217"/>
      <c r="H231" s="217"/>
      <c r="I231" s="217"/>
      <c r="J231" s="217"/>
      <c r="K231" s="427"/>
      <c r="M231" s="171" t="s">
        <v>852</v>
      </c>
      <c r="N231" s="171" t="s">
        <v>853</v>
      </c>
      <c r="O231" s="171" t="s">
        <v>852</v>
      </c>
      <c r="P231" s="171" t="s">
        <v>853</v>
      </c>
    </row>
    <row r="232" spans="1:16" x14ac:dyDescent="0.2">
      <c r="A232" s="426"/>
      <c r="B232" s="217"/>
      <c r="C232" s="217"/>
      <c r="D232" s="217"/>
      <c r="E232" s="217"/>
      <c r="F232" s="217"/>
      <c r="G232" s="217"/>
      <c r="H232" s="217"/>
      <c r="I232" s="217"/>
      <c r="J232" s="217"/>
      <c r="K232" s="427"/>
      <c r="M232" s="168">
        <v>2</v>
      </c>
      <c r="N232" s="168">
        <v>4.3</v>
      </c>
      <c r="O232" s="168">
        <v>2</v>
      </c>
      <c r="P232" s="168">
        <v>3.15</v>
      </c>
    </row>
    <row r="233" spans="1:16" x14ac:dyDescent="0.2">
      <c r="A233" s="426"/>
      <c r="B233" s="222" t="s">
        <v>880</v>
      </c>
      <c r="C233" s="217"/>
      <c r="D233" s="217"/>
      <c r="E233" s="217"/>
      <c r="F233" s="217"/>
      <c r="G233" s="217"/>
      <c r="H233" s="217"/>
      <c r="I233" s="217"/>
      <c r="J233" s="217"/>
      <c r="K233" s="427"/>
      <c r="M233" s="168">
        <v>2.5</v>
      </c>
      <c r="N233" s="168">
        <v>4.82</v>
      </c>
      <c r="O233" s="168">
        <v>2.5</v>
      </c>
      <c r="P233" s="168">
        <v>3.6</v>
      </c>
    </row>
    <row r="234" spans="1:16" x14ac:dyDescent="0.2">
      <c r="A234" s="426"/>
      <c r="B234" s="222" t="s">
        <v>881</v>
      </c>
      <c r="C234" s="217"/>
      <c r="D234" s="217"/>
      <c r="E234" s="217"/>
      <c r="F234" s="217"/>
      <c r="G234" s="217"/>
      <c r="H234" s="217"/>
      <c r="I234" s="217"/>
      <c r="J234" s="217"/>
      <c r="K234" s="427"/>
      <c r="M234" s="168">
        <v>3</v>
      </c>
      <c r="N234" s="168">
        <v>5.26</v>
      </c>
      <c r="O234" s="168">
        <v>3</v>
      </c>
      <c r="P234" s="168">
        <v>4</v>
      </c>
    </row>
    <row r="235" spans="1:16" x14ac:dyDescent="0.2">
      <c r="A235" s="426"/>
      <c r="B235" s="222"/>
      <c r="C235" s="217"/>
      <c r="D235" s="217"/>
      <c r="E235" s="217"/>
      <c r="F235" s="217"/>
      <c r="G235" s="217"/>
      <c r="H235" s="217"/>
      <c r="I235" s="217"/>
      <c r="J235" s="217"/>
      <c r="K235" s="427"/>
      <c r="M235" s="168">
        <v>3.5</v>
      </c>
      <c r="N235" s="168">
        <v>5.58</v>
      </c>
      <c r="O235" s="168">
        <v>3.5</v>
      </c>
      <c r="P235" s="168">
        <v>4.4000000000000004</v>
      </c>
    </row>
    <row r="236" spans="1:16" x14ac:dyDescent="0.2">
      <c r="A236" s="426"/>
      <c r="B236" s="222" t="s">
        <v>882</v>
      </c>
      <c r="C236" s="217"/>
      <c r="D236" s="222" t="s">
        <v>883</v>
      </c>
      <c r="E236" s="217"/>
      <c r="F236" s="217"/>
      <c r="G236" s="217"/>
      <c r="H236" s="217"/>
      <c r="I236" s="217"/>
      <c r="J236" s="217"/>
      <c r="K236" s="427"/>
      <c r="M236" s="168">
        <v>4</v>
      </c>
      <c r="N236" s="168">
        <v>5.78</v>
      </c>
      <c r="O236" s="168">
        <v>4</v>
      </c>
      <c r="P236" s="168">
        <v>4.75</v>
      </c>
    </row>
    <row r="237" spans="1:16" x14ac:dyDescent="0.2">
      <c r="A237" s="426"/>
      <c r="B237" s="222"/>
      <c r="C237" s="217"/>
      <c r="D237" s="217"/>
      <c r="E237" s="217"/>
      <c r="F237" s="217"/>
      <c r="G237" s="217"/>
      <c r="H237" s="217"/>
      <c r="I237" s="217"/>
      <c r="J237" s="217"/>
      <c r="K237" s="427"/>
      <c r="M237" s="168">
        <v>4.5</v>
      </c>
      <c r="N237" s="168">
        <v>5.92</v>
      </c>
      <c r="O237" s="168">
        <v>4.5</v>
      </c>
      <c r="P237" s="168">
        <v>5</v>
      </c>
    </row>
    <row r="238" spans="1:16" x14ac:dyDescent="0.2">
      <c r="A238" s="426"/>
      <c r="B238" s="406" t="s">
        <v>1889</v>
      </c>
      <c r="C238" s="217"/>
      <c r="D238" s="217"/>
      <c r="E238" s="217"/>
      <c r="F238" s="217"/>
      <c r="G238" s="217"/>
      <c r="H238" s="217">
        <f>F16+2*F20+2*(F22+H229)*TAN(F23*PI()/180)</f>
        <v>6.0535230443574841</v>
      </c>
      <c r="I238" s="217" t="s">
        <v>24</v>
      </c>
      <c r="J238" s="217"/>
      <c r="K238" s="427"/>
      <c r="M238" s="168">
        <v>5</v>
      </c>
      <c r="N238" s="168">
        <v>6</v>
      </c>
    </row>
    <row r="239" spans="1:16" x14ac:dyDescent="0.2">
      <c r="A239" s="426"/>
      <c r="B239" s="222"/>
      <c r="C239" s="217"/>
      <c r="D239" s="217"/>
      <c r="E239" s="217"/>
      <c r="F239" s="217"/>
      <c r="G239" s="217"/>
      <c r="H239" s="217"/>
      <c r="I239" s="217"/>
      <c r="J239" s="217"/>
      <c r="K239" s="427"/>
      <c r="O239" s="168">
        <f>TRUNC(2*$E$223)/2</f>
        <v>4</v>
      </c>
      <c r="P239" s="168">
        <f>VLOOKUP($E$223,O232:P237,2)</f>
        <v>4.75</v>
      </c>
    </row>
    <row r="240" spans="1:16" x14ac:dyDescent="0.2">
      <c r="A240" s="426"/>
      <c r="B240" s="217"/>
      <c r="C240" s="222" t="s">
        <v>323</v>
      </c>
      <c r="D240" s="217" t="s">
        <v>884</v>
      </c>
      <c r="E240" s="217"/>
      <c r="F240" s="683">
        <v>5</v>
      </c>
      <c r="G240" s="222" t="s">
        <v>876</v>
      </c>
      <c r="H240" s="217"/>
      <c r="I240" s="217"/>
      <c r="J240" s="217"/>
      <c r="K240" s="427"/>
      <c r="M240" s="168">
        <f>TRUNC(2*$E$223)/2</f>
        <v>4</v>
      </c>
      <c r="N240" s="168">
        <f>VLOOKUP($E$223,M232:N238,2)</f>
        <v>5.78</v>
      </c>
      <c r="O240" s="168">
        <f>O239+0.5</f>
        <v>4.5</v>
      </c>
      <c r="P240" s="168">
        <f>VLOOKUP(O240,O232:P237,2)</f>
        <v>5</v>
      </c>
    </row>
    <row r="241" spans="1:18" x14ac:dyDescent="0.2">
      <c r="A241" s="426"/>
      <c r="B241" s="222"/>
      <c r="C241" s="217"/>
      <c r="D241" s="217"/>
      <c r="E241" s="217"/>
      <c r="F241" s="187"/>
      <c r="G241" s="222"/>
      <c r="H241" s="217"/>
      <c r="I241" s="217"/>
      <c r="J241" s="217"/>
      <c r="K241" s="427"/>
      <c r="M241" s="168">
        <f>M240+0.5</f>
        <v>4.5</v>
      </c>
      <c r="N241" s="168">
        <f>VLOOKUP(M241,M232:N238,2)</f>
        <v>5.92</v>
      </c>
      <c r="O241" s="168">
        <f>$E$223</f>
        <v>4.0487474601092073</v>
      </c>
      <c r="P241" s="168">
        <f>P239+(P240-P239)/0.5*($E$223-O239)</f>
        <v>4.7743737300546041</v>
      </c>
    </row>
    <row r="242" spans="1:18" x14ac:dyDescent="0.2">
      <c r="A242" s="426"/>
      <c r="B242" s="222" t="s">
        <v>885</v>
      </c>
      <c r="C242" s="217"/>
      <c r="D242" s="217"/>
      <c r="E242" s="217"/>
      <c r="F242" s="217"/>
      <c r="G242" s="187">
        <f>I213</f>
        <v>2.25</v>
      </c>
      <c r="H242" s="222" t="s">
        <v>24</v>
      </c>
      <c r="I242" s="217"/>
      <c r="J242" s="217"/>
      <c r="K242" s="427"/>
      <c r="M242" s="168">
        <f>$E$223</f>
        <v>4.0487474601092073</v>
      </c>
      <c r="N242" s="168">
        <f>N240+(N241-N240)/0.5*($E$223-M240)</f>
        <v>5.7936492888305784</v>
      </c>
    </row>
    <row r="243" spans="1:18" x14ac:dyDescent="0.2">
      <c r="A243" s="426"/>
      <c r="B243" s="222" t="s">
        <v>886</v>
      </c>
      <c r="C243" s="217"/>
      <c r="D243" s="217"/>
      <c r="E243" s="217"/>
      <c r="F243" s="217"/>
      <c r="G243" s="187">
        <f>F25</f>
        <v>2</v>
      </c>
      <c r="H243" s="222" t="s">
        <v>726</v>
      </c>
      <c r="I243" s="217"/>
      <c r="J243" s="217"/>
      <c r="K243" s="427"/>
    </row>
    <row r="244" spans="1:18" x14ac:dyDescent="0.2">
      <c r="A244" s="426"/>
      <c r="B244" s="217"/>
      <c r="C244" s="217"/>
      <c r="D244" s="217"/>
      <c r="E244" s="217"/>
      <c r="F244" s="217"/>
      <c r="G244" s="217"/>
      <c r="H244" s="217"/>
      <c r="I244" s="217"/>
      <c r="J244" s="217"/>
      <c r="K244" s="427"/>
      <c r="M244" s="171" t="s">
        <v>887</v>
      </c>
      <c r="R244" s="170">
        <v>12</v>
      </c>
    </row>
    <row r="245" spans="1:18" ht="15.75" x14ac:dyDescent="0.3">
      <c r="A245" s="426"/>
      <c r="B245" s="406" t="s">
        <v>1894</v>
      </c>
      <c r="C245" s="217"/>
      <c r="D245" s="217"/>
      <c r="E245" s="217"/>
      <c r="F245" s="217">
        <f>F240*G242+G243*G242^2</f>
        <v>21.375</v>
      </c>
      <c r="G245" s="222" t="s">
        <v>765</v>
      </c>
      <c r="H245" s="217"/>
      <c r="I245" s="217"/>
      <c r="J245" s="217"/>
      <c r="K245" s="427"/>
      <c r="M245" s="171" t="s">
        <v>889</v>
      </c>
    </row>
    <row r="246" spans="1:18" ht="15.75" x14ac:dyDescent="0.3">
      <c r="A246" s="426"/>
      <c r="B246" s="406" t="s">
        <v>1895</v>
      </c>
      <c r="C246" s="187"/>
      <c r="D246" s="217"/>
      <c r="E246" s="217"/>
      <c r="F246" s="217">
        <f>P120/F245</f>
        <v>0.58380988324325667</v>
      </c>
      <c r="G246" s="222" t="s">
        <v>828</v>
      </c>
      <c r="H246" s="217"/>
      <c r="I246" s="217"/>
      <c r="J246" s="217"/>
      <c r="K246" s="427"/>
    </row>
    <row r="247" spans="1:18" x14ac:dyDescent="0.2">
      <c r="A247" s="426"/>
      <c r="B247" s="187" t="str">
        <f>IF(F246&lt;=1,"V3  &lt;=  1.0 m/sec;  Design is O.K.","V3  &gt;  1.0 m/sec;  Design is Not O.K.")</f>
        <v>V3  &lt;=  1.0 m/sec;  Design is O.K.</v>
      </c>
      <c r="C247" s="217"/>
      <c r="D247" s="217"/>
      <c r="E247" s="217"/>
      <c r="F247" s="217"/>
      <c r="G247" s="217"/>
      <c r="H247" s="217"/>
      <c r="I247" s="217"/>
      <c r="J247" s="217"/>
      <c r="K247" s="679" t="s">
        <v>2385</v>
      </c>
      <c r="M247" s="171" t="s">
        <v>891</v>
      </c>
      <c r="R247" s="170">
        <f>F240</f>
        <v>5</v>
      </c>
    </row>
    <row r="248" spans="1:18" ht="13.5" thickBot="1" x14ac:dyDescent="0.25">
      <c r="A248" s="429"/>
      <c r="B248" s="467"/>
      <c r="C248" s="430"/>
      <c r="D248" s="481"/>
      <c r="E248" s="430"/>
      <c r="F248" s="430"/>
      <c r="G248" s="430"/>
      <c r="H248" s="430"/>
      <c r="I248" s="430"/>
      <c r="J248" s="430"/>
      <c r="K248" s="431"/>
      <c r="M248" s="171" t="s">
        <v>892</v>
      </c>
    </row>
    <row r="249" spans="1:18" x14ac:dyDescent="0.2">
      <c r="A249" s="217"/>
      <c r="B249" s="222" t="s">
        <v>893</v>
      </c>
      <c r="C249" s="217"/>
      <c r="D249" s="217"/>
      <c r="E249" s="217"/>
      <c r="F249" s="187"/>
      <c r="G249" s="217"/>
      <c r="H249" s="217"/>
      <c r="I249" s="217"/>
      <c r="J249" s="217"/>
      <c r="K249" s="217"/>
    </row>
    <row r="250" spans="1:18" x14ac:dyDescent="0.2">
      <c r="A250" s="217"/>
      <c r="B250" s="222"/>
      <c r="C250" s="217"/>
      <c r="D250" s="187"/>
      <c r="E250" s="217"/>
      <c r="F250" s="217"/>
      <c r="G250" s="217"/>
      <c r="H250" s="217"/>
      <c r="I250" s="217"/>
      <c r="J250" s="217"/>
      <c r="K250" s="217"/>
    </row>
    <row r="251" spans="1:18" x14ac:dyDescent="0.2">
      <c r="A251" s="217"/>
      <c r="B251" s="222" t="s">
        <v>1845</v>
      </c>
      <c r="C251" s="187"/>
      <c r="D251" s="222"/>
      <c r="E251" s="217"/>
      <c r="F251" s="217"/>
      <c r="G251" s="217"/>
      <c r="H251" s="217"/>
      <c r="I251" s="217"/>
      <c r="J251" s="217"/>
      <c r="K251" s="217"/>
    </row>
    <row r="252" spans="1:18" x14ac:dyDescent="0.2">
      <c r="A252" s="217"/>
      <c r="B252" s="217"/>
      <c r="C252" s="217"/>
      <c r="D252" s="217"/>
      <c r="E252" s="217"/>
      <c r="F252" s="217"/>
      <c r="G252" s="217"/>
      <c r="H252" s="217"/>
      <c r="I252" s="217"/>
      <c r="J252" s="217"/>
      <c r="K252" s="217"/>
    </row>
    <row r="253" spans="1:18" x14ac:dyDescent="0.2">
      <c r="A253" s="217"/>
      <c r="B253" s="217" t="s">
        <v>894</v>
      </c>
      <c r="C253" s="187" t="str">
        <f>IF(C76&gt;1.5,"Q(T3)/B3(r/s)","Q(T5)/B3(r/s)")</f>
        <v>Q(T3)/B3(r/s)</v>
      </c>
      <c r="D253" s="217"/>
      <c r="E253" s="217"/>
      <c r="F253" s="217">
        <f>P120/F240</f>
        <v>2.4957872508649226</v>
      </c>
      <c r="G253" s="222" t="s">
        <v>769</v>
      </c>
      <c r="H253" s="217"/>
      <c r="I253" s="217"/>
      <c r="J253" s="217"/>
      <c r="K253" s="217"/>
    </row>
    <row r="254" spans="1:18" x14ac:dyDescent="0.2">
      <c r="A254" s="217"/>
      <c r="B254" s="217"/>
      <c r="C254" s="217"/>
      <c r="D254" s="217"/>
      <c r="E254" s="217"/>
      <c r="F254" s="217"/>
      <c r="G254" s="217"/>
      <c r="H254" s="395" t="s">
        <v>1890</v>
      </c>
      <c r="I254" s="217">
        <v>0.02</v>
      </c>
      <c r="J254" s="395" t="s">
        <v>43</v>
      </c>
      <c r="K254" s="217"/>
    </row>
    <row r="255" spans="1:18" ht="14.25" x14ac:dyDescent="0.2">
      <c r="A255" s="217"/>
      <c r="B255" s="222" t="s">
        <v>895</v>
      </c>
      <c r="C255" s="217"/>
      <c r="D255" s="217"/>
      <c r="E255" s="187">
        <f>J255</f>
        <v>0.24890158697766473</v>
      </c>
      <c r="F255" s="222" t="s">
        <v>896</v>
      </c>
      <c r="G255" s="217"/>
      <c r="H255" s="395" t="s">
        <v>1896</v>
      </c>
      <c r="I255" s="217"/>
      <c r="J255" s="217">
        <f>1.76*I254^0.5</f>
        <v>0.24890158697766473</v>
      </c>
      <c r="K255" s="217"/>
    </row>
    <row r="256" spans="1:18" x14ac:dyDescent="0.2">
      <c r="A256" s="217"/>
      <c r="B256" s="222"/>
      <c r="C256" s="217"/>
      <c r="D256" s="217"/>
      <c r="E256" s="217"/>
      <c r="F256" s="217"/>
      <c r="G256" s="217"/>
      <c r="H256" s="217"/>
      <c r="I256" s="217"/>
      <c r="J256" s="217"/>
      <c r="K256" s="217"/>
    </row>
    <row r="257" spans="1:16" x14ac:dyDescent="0.2">
      <c r="A257" s="217"/>
      <c r="B257" s="217" t="s">
        <v>897</v>
      </c>
      <c r="C257" s="217"/>
      <c r="D257" s="217"/>
      <c r="E257" s="217"/>
      <c r="F257" s="217">
        <f>1.35*(F253^2/E255)^0.33</f>
        <v>3.9066241429677357</v>
      </c>
      <c r="G257" s="217" t="s">
        <v>24</v>
      </c>
      <c r="H257" s="217"/>
      <c r="I257" s="217"/>
      <c r="J257" s="217"/>
      <c r="K257" s="217"/>
    </row>
    <row r="258" spans="1:16" x14ac:dyDescent="0.2">
      <c r="A258" s="217"/>
      <c r="B258" s="217"/>
      <c r="C258" s="217"/>
      <c r="D258" s="217"/>
      <c r="E258" s="217"/>
      <c r="F258" s="217"/>
      <c r="G258" s="217"/>
      <c r="H258" s="217"/>
      <c r="I258" s="217"/>
      <c r="J258" s="217"/>
      <c r="K258" s="217"/>
    </row>
    <row r="259" spans="1:16" x14ac:dyDescent="0.2">
      <c r="A259" s="217"/>
      <c r="B259" s="475" t="s">
        <v>1846</v>
      </c>
      <c r="C259" s="217"/>
      <c r="D259" s="217"/>
      <c r="E259" s="249"/>
      <c r="F259" s="187">
        <f>1.25*F257</f>
        <v>4.8832801787096694</v>
      </c>
      <c r="G259" s="222" t="s">
        <v>898</v>
      </c>
      <c r="H259" s="222"/>
      <c r="I259" s="217"/>
      <c r="J259" s="217"/>
      <c r="K259" s="217"/>
    </row>
    <row r="260" spans="1:16" x14ac:dyDescent="0.2">
      <c r="A260" s="217"/>
      <c r="B260" s="217"/>
      <c r="C260" s="217"/>
      <c r="D260" s="217"/>
      <c r="E260" s="249"/>
      <c r="F260" s="187"/>
      <c r="G260" s="217"/>
      <c r="H260" s="217"/>
      <c r="I260" s="217"/>
      <c r="J260" s="217"/>
      <c r="K260" s="217"/>
    </row>
    <row r="261" spans="1:16" x14ac:dyDescent="0.2">
      <c r="A261" s="217"/>
      <c r="B261" s="222" t="s">
        <v>1847</v>
      </c>
      <c r="C261" s="217"/>
      <c r="D261" s="217"/>
      <c r="E261" s="249"/>
      <c r="F261" s="187">
        <f>1.5*F257</f>
        <v>5.8599362144516034</v>
      </c>
      <c r="G261" s="222" t="s">
        <v>899</v>
      </c>
      <c r="H261" s="222"/>
      <c r="I261" s="217"/>
      <c r="J261" s="217"/>
      <c r="K261" s="217"/>
    </row>
    <row r="262" spans="1:16" x14ac:dyDescent="0.2">
      <c r="A262" s="217"/>
      <c r="B262" s="217"/>
      <c r="C262" s="217"/>
      <c r="D262" s="217"/>
      <c r="E262" s="217"/>
      <c r="F262" s="217"/>
      <c r="G262" s="217"/>
      <c r="H262" s="217"/>
      <c r="I262" s="217"/>
      <c r="J262" s="217"/>
      <c r="K262" s="217"/>
    </row>
    <row r="263" spans="1:16" x14ac:dyDescent="0.2">
      <c r="A263" s="217"/>
      <c r="B263" s="222" t="s">
        <v>900</v>
      </c>
      <c r="C263" s="222"/>
      <c r="D263" s="217"/>
      <c r="E263" s="217"/>
      <c r="F263" s="222"/>
      <c r="G263" s="217"/>
      <c r="H263" s="217">
        <f>F259-(H72+F15-F19)</f>
        <v>-0.21671982129033029</v>
      </c>
      <c r="I263" s="217" t="s">
        <v>24</v>
      </c>
      <c r="J263" s="217"/>
      <c r="K263" s="217"/>
    </row>
    <row r="264" spans="1:16" x14ac:dyDescent="0.2">
      <c r="A264" s="217"/>
      <c r="B264" s="217"/>
      <c r="C264" s="217"/>
      <c r="D264" s="217"/>
      <c r="E264" s="217"/>
      <c r="F264" s="217"/>
      <c r="G264" s="217"/>
      <c r="H264" s="217"/>
      <c r="I264" s="217"/>
      <c r="J264" s="217"/>
      <c r="K264" s="217"/>
    </row>
    <row r="265" spans="1:16" x14ac:dyDescent="0.2">
      <c r="A265" s="217"/>
      <c r="B265" s="217"/>
      <c r="C265" s="399" t="s">
        <v>577</v>
      </c>
      <c r="D265" s="187">
        <f>ABS(ROUND(IF(P266=0,H263,P266),1))</f>
        <v>3</v>
      </c>
      <c r="E265" s="222" t="s">
        <v>24</v>
      </c>
      <c r="F265" s="222" t="s">
        <v>901</v>
      </c>
      <c r="G265" s="217"/>
      <c r="H265" s="217"/>
      <c r="I265" s="217"/>
      <c r="J265" s="217"/>
      <c r="K265" s="217"/>
      <c r="M265" s="171" t="s">
        <v>902</v>
      </c>
    </row>
    <row r="266" spans="1:16" x14ac:dyDescent="0.2">
      <c r="A266" s="217"/>
      <c r="B266" s="222" t="s">
        <v>903</v>
      </c>
      <c r="C266" s="222"/>
      <c r="D266" s="217"/>
      <c r="E266" s="217"/>
      <c r="F266" s="217"/>
      <c r="G266" s="217"/>
      <c r="H266" s="217"/>
      <c r="I266" s="399">
        <f>F261-H196</f>
        <v>2.9632703192378669</v>
      </c>
      <c r="J266" s="222" t="s">
        <v>24</v>
      </c>
      <c r="K266" s="217"/>
      <c r="M266" s="171" t="s">
        <v>904</v>
      </c>
      <c r="P266" s="173">
        <v>3</v>
      </c>
    </row>
    <row r="267" spans="1:16" x14ac:dyDescent="0.2">
      <c r="A267" s="217"/>
      <c r="B267" s="217"/>
      <c r="C267" s="217"/>
      <c r="D267" s="217"/>
      <c r="E267" s="485"/>
      <c r="F267" s="217"/>
      <c r="G267" s="222"/>
      <c r="H267" s="217"/>
      <c r="I267" s="217"/>
      <c r="J267" s="217"/>
      <c r="K267" s="217"/>
    </row>
    <row r="268" spans="1:16" x14ac:dyDescent="0.2">
      <c r="A268" s="217"/>
      <c r="B268" s="217"/>
      <c r="C268" s="399" t="s">
        <v>577</v>
      </c>
      <c r="D268" s="187">
        <f>ABS(ROUND(IF(P270=0,I266,P270),1))</f>
        <v>3</v>
      </c>
      <c r="E268" s="222" t="s">
        <v>24</v>
      </c>
      <c r="F268" s="222" t="s">
        <v>901</v>
      </c>
      <c r="G268" s="217"/>
      <c r="H268" s="217"/>
      <c r="I268" s="217"/>
      <c r="J268" s="217"/>
      <c r="K268" s="217"/>
    </row>
    <row r="269" spans="1:16" x14ac:dyDescent="0.2">
      <c r="A269" s="217"/>
      <c r="B269" s="217"/>
      <c r="C269" s="217"/>
      <c r="D269" s="217"/>
      <c r="E269" s="217"/>
      <c r="F269" s="217"/>
      <c r="G269" s="217"/>
      <c r="H269" s="290"/>
      <c r="I269" s="217"/>
      <c r="J269" s="217"/>
      <c r="K269" s="217"/>
      <c r="M269" s="171" t="s">
        <v>902</v>
      </c>
    </row>
    <row r="270" spans="1:16" x14ac:dyDescent="0.2">
      <c r="A270" s="217"/>
      <c r="B270" s="217"/>
      <c r="C270" s="475" t="s">
        <v>905</v>
      </c>
      <c r="D270" s="217"/>
      <c r="E270" s="460">
        <f>D265</f>
        <v>3</v>
      </c>
      <c r="F270" s="217" t="s">
        <v>24</v>
      </c>
      <c r="G270" s="217"/>
      <c r="H270" s="217"/>
      <c r="I270" s="217"/>
      <c r="J270" s="217"/>
      <c r="K270" s="217"/>
      <c r="M270" s="171" t="s">
        <v>906</v>
      </c>
      <c r="P270" s="173">
        <v>3</v>
      </c>
    </row>
    <row r="271" spans="1:16" x14ac:dyDescent="0.2">
      <c r="A271" s="217"/>
      <c r="B271" s="217"/>
      <c r="C271" s="475" t="s">
        <v>907</v>
      </c>
      <c r="D271" s="217"/>
      <c r="E271" s="460">
        <v>3</v>
      </c>
      <c r="F271" s="217" t="s">
        <v>24</v>
      </c>
      <c r="G271" s="217"/>
      <c r="H271" s="217"/>
      <c r="I271" s="217"/>
      <c r="J271" s="217"/>
      <c r="K271" s="217"/>
    </row>
    <row r="272" spans="1:16" x14ac:dyDescent="0.2">
      <c r="A272" s="217"/>
      <c r="B272" s="217"/>
      <c r="C272" s="217"/>
      <c r="D272" s="217"/>
      <c r="E272" s="217"/>
      <c r="F272" s="217"/>
      <c r="G272" s="217"/>
      <c r="H272" s="217"/>
      <c r="I272" s="217"/>
      <c r="J272" s="217"/>
      <c r="K272" s="217"/>
    </row>
    <row r="273" spans="1:11" x14ac:dyDescent="0.2">
      <c r="A273" s="217"/>
      <c r="B273" s="222" t="s">
        <v>908</v>
      </c>
      <c r="C273" s="217"/>
      <c r="D273" s="217"/>
      <c r="E273" s="217"/>
      <c r="F273" s="217"/>
      <c r="G273" s="217"/>
      <c r="H273" s="217"/>
      <c r="I273" s="217"/>
      <c r="J273" s="217"/>
      <c r="K273" s="217"/>
    </row>
    <row r="274" spans="1:11" x14ac:dyDescent="0.2">
      <c r="A274" s="217"/>
      <c r="B274" s="217"/>
      <c r="C274" s="217"/>
      <c r="D274" s="217"/>
      <c r="E274" s="217"/>
      <c r="F274" s="217"/>
      <c r="G274" s="217"/>
      <c r="H274" s="217"/>
      <c r="I274" s="217"/>
      <c r="J274" s="217"/>
      <c r="K274" s="217"/>
    </row>
    <row r="275" spans="1:11" x14ac:dyDescent="0.2">
      <c r="A275" s="217"/>
      <c r="B275" s="222" t="s">
        <v>909</v>
      </c>
      <c r="C275" s="217"/>
      <c r="D275" s="217"/>
      <c r="E275" s="217"/>
      <c r="F275" s="217"/>
      <c r="G275" s="217"/>
      <c r="H275" s="217"/>
      <c r="I275" s="217"/>
      <c r="J275" s="217"/>
      <c r="K275" s="217"/>
    </row>
    <row r="276" spans="1:11" x14ac:dyDescent="0.2">
      <c r="A276" s="217"/>
      <c r="B276" s="222" t="s">
        <v>910</v>
      </c>
      <c r="C276" s="217"/>
      <c r="D276" s="217"/>
      <c r="E276" s="217"/>
      <c r="F276" s="217"/>
      <c r="G276" s="217"/>
      <c r="H276" s="217"/>
      <c r="I276" s="217"/>
      <c r="J276" s="217"/>
      <c r="K276" s="217"/>
    </row>
    <row r="277" spans="1:11" x14ac:dyDescent="0.2">
      <c r="A277" s="217"/>
      <c r="B277" s="217"/>
      <c r="C277" s="217"/>
      <c r="D277" s="217"/>
      <c r="E277" s="217"/>
      <c r="F277" s="217"/>
      <c r="G277" s="217"/>
      <c r="H277" s="217"/>
      <c r="I277" s="217"/>
      <c r="J277" s="217"/>
      <c r="K277" s="217"/>
    </row>
    <row r="278" spans="1:11" x14ac:dyDescent="0.2">
      <c r="A278" s="217"/>
      <c r="B278" s="486" t="s">
        <v>911</v>
      </c>
      <c r="C278" s="217"/>
      <c r="D278" s="217"/>
      <c r="E278" s="217"/>
      <c r="F278" s="217"/>
      <c r="G278" s="217"/>
      <c r="H278" s="217"/>
      <c r="I278" s="217"/>
      <c r="J278" s="217"/>
      <c r="K278" s="217"/>
    </row>
    <row r="279" spans="1:11" x14ac:dyDescent="0.2">
      <c r="A279" s="217"/>
      <c r="B279" s="222"/>
      <c r="C279" s="217"/>
      <c r="D279" s="217"/>
      <c r="E279" s="217"/>
      <c r="F279" s="217"/>
      <c r="G279" s="217"/>
      <c r="H279" s="217"/>
      <c r="I279" s="217"/>
      <c r="J279" s="217"/>
      <c r="K279" s="217"/>
    </row>
    <row r="280" spans="1:11" x14ac:dyDescent="0.2">
      <c r="A280" s="217"/>
      <c r="B280" s="475" t="s">
        <v>912</v>
      </c>
      <c r="C280" s="217"/>
      <c r="D280" s="217"/>
      <c r="E280" s="217"/>
      <c r="F280" s="217"/>
      <c r="G280" s="217"/>
      <c r="H280" s="217"/>
      <c r="I280" s="217">
        <f>1*E270</f>
        <v>3</v>
      </c>
      <c r="J280" s="217" t="s">
        <v>24</v>
      </c>
      <c r="K280" s="217"/>
    </row>
    <row r="281" spans="1:11" x14ac:dyDescent="0.2">
      <c r="A281" s="217"/>
      <c r="B281" s="217"/>
      <c r="C281" s="217"/>
      <c r="D281" s="217"/>
      <c r="E281" s="222" t="s">
        <v>913</v>
      </c>
      <c r="F281" s="187">
        <v>6</v>
      </c>
      <c r="G281" s="222" t="s">
        <v>24</v>
      </c>
      <c r="H281" s="222" t="s">
        <v>914</v>
      </c>
      <c r="I281" s="217"/>
      <c r="J281" s="217"/>
      <c r="K281" s="217"/>
    </row>
    <row r="282" spans="1:11" x14ac:dyDescent="0.2">
      <c r="A282" s="217"/>
      <c r="B282" s="217"/>
      <c r="C282" s="217"/>
      <c r="D282" s="217"/>
      <c r="E282" s="217"/>
      <c r="F282" s="217"/>
      <c r="G282" s="217"/>
      <c r="H282" s="217"/>
      <c r="I282" s="217"/>
      <c r="J282" s="217"/>
      <c r="K282" s="217"/>
    </row>
    <row r="283" spans="1:11" x14ac:dyDescent="0.2">
      <c r="A283" s="217"/>
      <c r="B283" s="475" t="s">
        <v>915</v>
      </c>
      <c r="C283" s="217"/>
      <c r="D283" s="217"/>
      <c r="E283" s="217"/>
      <c r="F283" s="217"/>
      <c r="G283" s="217"/>
      <c r="H283" s="217"/>
      <c r="I283" s="217">
        <f>1.5*E270</f>
        <v>4.5</v>
      </c>
      <c r="J283" s="217" t="s">
        <v>24</v>
      </c>
      <c r="K283" s="217"/>
    </row>
    <row r="284" spans="1:11" x14ac:dyDescent="0.2">
      <c r="A284" s="217"/>
      <c r="B284" s="217"/>
      <c r="C284" s="217"/>
      <c r="D284" s="217"/>
      <c r="E284" s="222" t="s">
        <v>913</v>
      </c>
      <c r="F284" s="187">
        <v>5</v>
      </c>
      <c r="G284" s="222" t="s">
        <v>24</v>
      </c>
      <c r="H284" s="222" t="s">
        <v>914</v>
      </c>
      <c r="I284" s="217"/>
      <c r="J284" s="217"/>
      <c r="K284" s="217"/>
    </row>
    <row r="285" spans="1:11" x14ac:dyDescent="0.2">
      <c r="A285" s="217"/>
      <c r="B285" s="217"/>
      <c r="C285" s="217"/>
      <c r="D285" s="217"/>
      <c r="E285" s="475"/>
      <c r="F285" s="187"/>
      <c r="G285" s="222"/>
      <c r="H285" s="217"/>
      <c r="I285" s="217"/>
      <c r="J285" s="217"/>
      <c r="K285" s="217"/>
    </row>
    <row r="286" spans="1:11" x14ac:dyDescent="0.2">
      <c r="A286" s="217"/>
      <c r="B286" s="486" t="s">
        <v>916</v>
      </c>
      <c r="C286" s="217"/>
      <c r="D286" s="217"/>
      <c r="E286" s="217"/>
      <c r="F286" s="217"/>
      <c r="G286" s="217"/>
      <c r="H286" s="217"/>
      <c r="I286" s="217"/>
      <c r="J286" s="217"/>
      <c r="K286" s="217"/>
    </row>
    <row r="287" spans="1:11" x14ac:dyDescent="0.2">
      <c r="A287" s="217"/>
      <c r="B287" s="222"/>
      <c r="C287" s="217"/>
      <c r="D287" s="217"/>
      <c r="E287" s="217"/>
      <c r="F287" s="217"/>
      <c r="G287" s="217"/>
      <c r="H287" s="217"/>
      <c r="I287" s="217"/>
      <c r="J287" s="217"/>
      <c r="K287" s="217"/>
    </row>
    <row r="288" spans="1:11" x14ac:dyDescent="0.2">
      <c r="A288" s="217"/>
      <c r="B288" s="222" t="s">
        <v>917</v>
      </c>
      <c r="C288" s="217"/>
      <c r="D288" s="217"/>
      <c r="E288" s="217"/>
      <c r="F288" s="217"/>
      <c r="G288" s="217"/>
      <c r="H288" s="217"/>
      <c r="I288" s="217">
        <f>1.5*E271</f>
        <v>4.5</v>
      </c>
      <c r="J288" s="217" t="s">
        <v>24</v>
      </c>
      <c r="K288" s="217"/>
    </row>
    <row r="289" spans="1:11" x14ac:dyDescent="0.2">
      <c r="A289" s="217"/>
      <c r="B289" s="217"/>
      <c r="C289" s="217"/>
      <c r="D289" s="217"/>
      <c r="E289" s="222" t="s">
        <v>918</v>
      </c>
      <c r="F289" s="187">
        <v>6</v>
      </c>
      <c r="G289" s="222" t="s">
        <v>24</v>
      </c>
      <c r="H289" s="222" t="s">
        <v>914</v>
      </c>
      <c r="I289" s="217"/>
      <c r="J289" s="217"/>
      <c r="K289" s="217"/>
    </row>
    <row r="290" spans="1:11" x14ac:dyDescent="0.2">
      <c r="A290" s="217"/>
      <c r="B290" s="217"/>
      <c r="C290" s="217"/>
      <c r="D290" s="217"/>
      <c r="E290" s="475"/>
      <c r="F290" s="187"/>
      <c r="G290" s="249"/>
      <c r="H290" s="187"/>
      <c r="I290" s="217"/>
      <c r="J290" s="217"/>
      <c r="K290" s="217"/>
    </row>
    <row r="291" spans="1:11" x14ac:dyDescent="0.2">
      <c r="A291" s="217"/>
      <c r="B291" s="222" t="s">
        <v>919</v>
      </c>
      <c r="C291" s="217"/>
      <c r="D291" s="217"/>
      <c r="E291" s="217"/>
      <c r="F291" s="217"/>
      <c r="G291" s="217"/>
      <c r="H291" s="217"/>
      <c r="I291" s="217">
        <f>1.5*E271</f>
        <v>4.5</v>
      </c>
      <c r="J291" s="217" t="s">
        <v>24</v>
      </c>
      <c r="K291" s="217"/>
    </row>
    <row r="292" spans="1:11" x14ac:dyDescent="0.2">
      <c r="A292" s="217"/>
      <c r="B292" s="217"/>
      <c r="C292" s="217"/>
      <c r="D292" s="217"/>
      <c r="E292" s="222" t="s">
        <v>918</v>
      </c>
      <c r="F292" s="187">
        <v>5</v>
      </c>
      <c r="G292" s="222" t="s">
        <v>24</v>
      </c>
      <c r="H292" s="222" t="s">
        <v>914</v>
      </c>
      <c r="I292" s="217"/>
      <c r="J292" s="217"/>
      <c r="K292" s="217"/>
    </row>
    <row r="293" spans="1:11" x14ac:dyDescent="0.2">
      <c r="A293" s="217"/>
      <c r="B293" s="217"/>
      <c r="C293" s="217"/>
      <c r="D293" s="217"/>
      <c r="E293" s="222"/>
      <c r="F293" s="187"/>
      <c r="G293" s="222"/>
      <c r="H293" s="222"/>
      <c r="I293" s="217"/>
      <c r="J293" s="217"/>
      <c r="K293" s="217"/>
    </row>
    <row r="294" spans="1:11" x14ac:dyDescent="0.2">
      <c r="A294" s="217"/>
      <c r="B294" s="217"/>
      <c r="C294" s="217"/>
      <c r="D294" s="217"/>
      <c r="E294" s="222"/>
      <c r="F294" s="187"/>
      <c r="G294" s="222"/>
      <c r="H294" s="222"/>
      <c r="I294" s="217"/>
      <c r="J294" s="217"/>
      <c r="K294" s="678"/>
    </row>
    <row r="295" spans="1:11" x14ac:dyDescent="0.2">
      <c r="E295" s="171"/>
      <c r="F295" s="168"/>
      <c r="G295" s="171"/>
      <c r="H295" s="171"/>
    </row>
    <row r="296" spans="1:11" x14ac:dyDescent="0.2">
      <c r="E296" s="171"/>
      <c r="F296" s="168"/>
      <c r="G296" s="171"/>
      <c r="H296" s="171"/>
    </row>
    <row r="297" spans="1:11" x14ac:dyDescent="0.2">
      <c r="E297" s="171"/>
      <c r="F297" s="168"/>
      <c r="G297" s="171"/>
      <c r="H297" s="171"/>
    </row>
    <row r="298" spans="1:11" x14ac:dyDescent="0.2">
      <c r="E298" s="171"/>
      <c r="F298" s="168"/>
      <c r="G298" s="171"/>
      <c r="H298" s="171"/>
    </row>
    <row r="299" spans="1:11" x14ac:dyDescent="0.2">
      <c r="E299" s="171"/>
      <c r="F299" s="168"/>
      <c r="G299" s="171"/>
      <c r="H299" s="171"/>
    </row>
    <row r="300" spans="1:11" x14ac:dyDescent="0.2">
      <c r="E300" s="171"/>
      <c r="F300" s="168"/>
      <c r="G300" s="171"/>
      <c r="H300" s="171"/>
    </row>
    <row r="301" spans="1:11" x14ac:dyDescent="0.2">
      <c r="E301" s="171"/>
      <c r="F301" s="168"/>
      <c r="G301" s="171"/>
      <c r="H301" s="171"/>
    </row>
    <row r="302" spans="1:11" x14ac:dyDescent="0.2">
      <c r="E302" s="171"/>
      <c r="F302" s="168"/>
      <c r="G302" s="171"/>
      <c r="H302" s="171"/>
    </row>
    <row r="303" spans="1:11" x14ac:dyDescent="0.2">
      <c r="E303" s="171"/>
      <c r="F303" s="168"/>
      <c r="G303" s="171"/>
      <c r="H303" s="171"/>
    </row>
    <row r="304" spans="1:11" x14ac:dyDescent="0.2">
      <c r="E304" s="171"/>
      <c r="F304" s="168"/>
      <c r="G304" s="171"/>
      <c r="H304" s="171"/>
    </row>
    <row r="305" spans="1:11" x14ac:dyDescent="0.2">
      <c r="E305" s="171"/>
      <c r="F305" s="168"/>
      <c r="G305" s="171"/>
      <c r="H305" s="171"/>
    </row>
    <row r="306" spans="1:11" x14ac:dyDescent="0.2">
      <c r="E306" s="171"/>
      <c r="F306" s="168"/>
      <c r="G306" s="171"/>
      <c r="H306" s="171"/>
    </row>
    <row r="307" spans="1:11" x14ac:dyDescent="0.2">
      <c r="E307" s="171"/>
      <c r="F307" s="168"/>
      <c r="G307" s="171"/>
      <c r="H307" s="171"/>
    </row>
    <row r="308" spans="1:11" x14ac:dyDescent="0.2">
      <c r="E308" s="171"/>
      <c r="F308" s="168"/>
      <c r="G308" s="171"/>
      <c r="H308" s="171"/>
    </row>
    <row r="309" spans="1:11" x14ac:dyDescent="0.2">
      <c r="E309" s="171"/>
      <c r="F309" s="168"/>
      <c r="G309" s="171"/>
      <c r="H309" s="171"/>
    </row>
    <row r="312" spans="1:11" ht="13.5" thickBot="1" x14ac:dyDescent="0.25"/>
    <row r="313" spans="1:11" x14ac:dyDescent="0.2">
      <c r="A313" s="423"/>
      <c r="B313" s="424"/>
      <c r="C313" s="424"/>
      <c r="D313" s="424"/>
      <c r="E313" s="424"/>
      <c r="F313" s="424"/>
      <c r="G313" s="424"/>
      <c r="H313" s="424"/>
      <c r="I313" s="424"/>
      <c r="J313" s="424"/>
      <c r="K313" s="425"/>
    </row>
    <row r="314" spans="1:11" x14ac:dyDescent="0.2">
      <c r="A314" s="426"/>
      <c r="B314" s="217"/>
      <c r="C314" s="217"/>
      <c r="D314" s="217"/>
      <c r="E314" s="217"/>
      <c r="F314" s="217"/>
      <c r="G314" s="217"/>
      <c r="H314" s="448" t="s">
        <v>1966</v>
      </c>
      <c r="I314" s="217" t="str">
        <f>I3</f>
        <v>1.50m x 1.80m</v>
      </c>
      <c r="J314" s="217"/>
      <c r="K314" s="427"/>
    </row>
    <row r="315" spans="1:11" x14ac:dyDescent="0.2">
      <c r="A315" s="426"/>
      <c r="B315" s="217"/>
      <c r="C315" s="217"/>
      <c r="D315" s="217"/>
      <c r="E315" s="217"/>
      <c r="F315" s="217"/>
      <c r="G315" s="217"/>
      <c r="H315" s="339" t="s">
        <v>2341</v>
      </c>
      <c r="J315" s="673">
        <f>'Design Data'!D22</f>
        <v>1</v>
      </c>
      <c r="K315" s="427"/>
    </row>
    <row r="316" spans="1:11" ht="15.75" x14ac:dyDescent="0.25">
      <c r="A316" s="426"/>
      <c r="B316" s="495" t="s">
        <v>920</v>
      </c>
      <c r="C316" s="217"/>
      <c r="D316" s="217"/>
      <c r="E316" s="217" t="str">
        <f>D2</f>
        <v>DR-5</v>
      </c>
      <c r="F316" s="217"/>
      <c r="G316" s="217"/>
      <c r="H316" s="217"/>
      <c r="I316" s="217" t="str">
        <f>F5</f>
        <v>FLUSHING MODE</v>
      </c>
      <c r="J316" s="217"/>
      <c r="K316" s="427"/>
    </row>
    <row r="317" spans="1:11" x14ac:dyDescent="0.2">
      <c r="A317" s="426"/>
      <c r="B317" s="217"/>
      <c r="C317" s="217"/>
      <c r="D317" s="217"/>
      <c r="E317" s="217"/>
      <c r="F317" s="217"/>
      <c r="G317" s="217"/>
      <c r="H317" s="217"/>
      <c r="I317" s="217"/>
      <c r="J317" s="217"/>
      <c r="K317" s="427"/>
    </row>
    <row r="318" spans="1:11" ht="15.75" x14ac:dyDescent="0.3">
      <c r="A318" s="426"/>
      <c r="B318" s="395" t="s">
        <v>1900</v>
      </c>
      <c r="C318" s="217"/>
      <c r="D318" s="217"/>
      <c r="E318" s="217">
        <f>P120</f>
        <v>12.478936254324612</v>
      </c>
      <c r="F318" s="217" t="str">
        <f>H116</f>
        <v>m³/sec</v>
      </c>
      <c r="G318" s="217"/>
      <c r="H318" s="395" t="s">
        <v>1897</v>
      </c>
      <c r="I318" s="217"/>
      <c r="J318" s="460" t="str">
        <f>I9</f>
        <v>3</v>
      </c>
      <c r="K318" s="427"/>
    </row>
    <row r="319" spans="1:11" x14ac:dyDescent="0.2">
      <c r="A319" s="426"/>
      <c r="B319" s="217"/>
      <c r="C319" s="217"/>
      <c r="D319" s="217"/>
      <c r="E319" s="217"/>
      <c r="F319" s="217"/>
      <c r="G319" s="217"/>
      <c r="H319" s="217"/>
      <c r="I319" s="217"/>
      <c r="J319" s="217"/>
      <c r="K319" s="427"/>
    </row>
    <row r="320" spans="1:11" x14ac:dyDescent="0.2">
      <c r="A320" s="426"/>
      <c r="B320" s="395" t="s">
        <v>1906</v>
      </c>
      <c r="C320" s="217"/>
      <c r="D320" s="217"/>
      <c r="E320" s="217">
        <f>F15</f>
        <v>-1.2</v>
      </c>
      <c r="F320" s="395" t="s">
        <v>345</v>
      </c>
      <c r="G320" s="217"/>
      <c r="H320" s="217"/>
      <c r="I320" s="217"/>
      <c r="J320" s="217"/>
      <c r="K320" s="427"/>
    </row>
    <row r="321" spans="1:11" x14ac:dyDescent="0.2">
      <c r="A321" s="426"/>
      <c r="B321" s="395" t="s">
        <v>1907</v>
      </c>
      <c r="C321" s="217"/>
      <c r="D321" s="217"/>
      <c r="E321" s="217">
        <f>F19</f>
        <v>-2.1</v>
      </c>
      <c r="F321" s="395" t="s">
        <v>345</v>
      </c>
      <c r="G321" s="217"/>
      <c r="H321" s="217"/>
      <c r="I321" s="217"/>
      <c r="J321" s="217"/>
      <c r="K321" s="427"/>
    </row>
    <row r="322" spans="1:11" x14ac:dyDescent="0.2">
      <c r="A322" s="426"/>
      <c r="B322" s="217"/>
      <c r="C322" s="217"/>
      <c r="D322" s="217"/>
      <c r="E322" s="217"/>
      <c r="F322" s="217"/>
      <c r="G322" s="217"/>
      <c r="H322" s="217"/>
      <c r="I322" s="217"/>
      <c r="J322" s="217"/>
      <c r="K322" s="427"/>
    </row>
    <row r="323" spans="1:11" x14ac:dyDescent="0.2">
      <c r="A323" s="426"/>
      <c r="B323" s="395" t="s">
        <v>1901</v>
      </c>
      <c r="C323" s="217"/>
      <c r="D323" s="217"/>
      <c r="E323" s="217">
        <f>D139</f>
        <v>1.9054878780078977</v>
      </c>
      <c r="F323" s="217" t="s">
        <v>24</v>
      </c>
      <c r="G323" s="217"/>
      <c r="H323" s="217"/>
      <c r="I323" s="217"/>
      <c r="J323" s="217"/>
      <c r="K323" s="427"/>
    </row>
    <row r="324" spans="1:11" ht="15.75" x14ac:dyDescent="0.3">
      <c r="A324" s="426"/>
      <c r="B324" s="395" t="s">
        <v>1898</v>
      </c>
      <c r="C324" s="217"/>
      <c r="D324" s="217"/>
      <c r="E324" s="217">
        <f>H149</f>
        <v>0.66880000000000006</v>
      </c>
      <c r="F324" s="217" t="s">
        <v>24</v>
      </c>
      <c r="G324" s="217"/>
      <c r="H324" s="217"/>
      <c r="I324" s="217"/>
      <c r="J324" s="217"/>
      <c r="K324" s="427"/>
    </row>
    <row r="325" spans="1:11" ht="15.75" x14ac:dyDescent="0.3">
      <c r="A325" s="426"/>
      <c r="B325" s="395" t="s">
        <v>1899</v>
      </c>
      <c r="C325" s="217"/>
      <c r="D325" s="217"/>
      <c r="E325" s="217">
        <f>H168</f>
        <v>0.55199999999999994</v>
      </c>
      <c r="F325" s="217" t="s">
        <v>24</v>
      </c>
      <c r="G325" s="217"/>
      <c r="H325" s="217"/>
      <c r="I325" s="217"/>
      <c r="J325" s="217"/>
      <c r="K325" s="427"/>
    </row>
    <row r="326" spans="1:11" x14ac:dyDescent="0.2">
      <c r="A326" s="426"/>
      <c r="B326" s="217"/>
      <c r="C326" s="217"/>
      <c r="D326" s="217"/>
      <c r="E326" s="217"/>
      <c r="F326" s="217"/>
      <c r="G326" s="217"/>
      <c r="H326" s="217"/>
      <c r="I326" s="217"/>
      <c r="J326" s="217"/>
      <c r="K326" s="427"/>
    </row>
    <row r="327" spans="1:11" ht="15.75" x14ac:dyDescent="0.3">
      <c r="A327" s="426"/>
      <c r="B327" s="395" t="s">
        <v>1910</v>
      </c>
      <c r="C327" s="217"/>
      <c r="D327" s="217"/>
      <c r="E327" s="217">
        <f>H179</f>
        <v>4.0487474601092073</v>
      </c>
      <c r="F327" s="217"/>
      <c r="G327" s="217"/>
      <c r="H327" s="217"/>
      <c r="I327" s="217"/>
      <c r="J327" s="217"/>
      <c r="K327" s="427"/>
    </row>
    <row r="328" spans="1:11" x14ac:dyDescent="0.2">
      <c r="A328" s="426"/>
      <c r="B328" s="217" t="s">
        <v>924</v>
      </c>
      <c r="C328" s="496"/>
      <c r="D328" s="217"/>
      <c r="E328" s="497" t="str">
        <f>C189</f>
        <v>Indian Standard Stilling Basin I</v>
      </c>
      <c r="F328" s="217"/>
      <c r="G328" s="217"/>
      <c r="H328" s="217"/>
      <c r="I328" s="217"/>
      <c r="J328" s="217"/>
      <c r="K328" s="427"/>
    </row>
    <row r="329" spans="1:11" x14ac:dyDescent="0.2">
      <c r="A329" s="426"/>
      <c r="B329" s="217"/>
      <c r="C329" s="217"/>
      <c r="D329" s="217"/>
      <c r="E329" s="217"/>
      <c r="F329" s="217"/>
      <c r="G329" s="217"/>
      <c r="H329" s="217"/>
      <c r="I329" s="217"/>
      <c r="J329" s="217"/>
      <c r="K329" s="427"/>
    </row>
    <row r="330" spans="1:11" x14ac:dyDescent="0.2">
      <c r="A330" s="426"/>
      <c r="B330" s="217" t="s">
        <v>925</v>
      </c>
      <c r="C330" s="217"/>
      <c r="D330" s="217"/>
      <c r="E330" s="217">
        <f>I213</f>
        <v>2.25</v>
      </c>
      <c r="F330" s="217" t="s">
        <v>24</v>
      </c>
      <c r="G330" s="217"/>
      <c r="H330" s="217"/>
      <c r="I330" s="217"/>
      <c r="J330" s="217"/>
      <c r="K330" s="427"/>
    </row>
    <row r="331" spans="1:11" x14ac:dyDescent="0.2">
      <c r="A331" s="426"/>
      <c r="B331" s="217" t="s">
        <v>926</v>
      </c>
      <c r="C331" s="217"/>
      <c r="D331" s="217"/>
      <c r="E331" s="217">
        <f>H211</f>
        <v>2.8966658952137365</v>
      </c>
      <c r="F331" s="217" t="s">
        <v>24</v>
      </c>
      <c r="G331" s="217"/>
      <c r="H331" s="217"/>
      <c r="I331" s="217"/>
      <c r="J331" s="217"/>
      <c r="K331" s="427"/>
    </row>
    <row r="332" spans="1:11" ht="15.75" x14ac:dyDescent="0.3">
      <c r="A332" s="426"/>
      <c r="B332" s="395" t="s">
        <v>1902</v>
      </c>
      <c r="C332" s="217"/>
      <c r="D332" s="217"/>
      <c r="E332" s="217">
        <f>H196</f>
        <v>2.8966658952137365</v>
      </c>
      <c r="F332" s="217" t="s">
        <v>24</v>
      </c>
      <c r="G332" s="217"/>
      <c r="H332" s="217"/>
      <c r="I332" s="217"/>
      <c r="J332" s="217"/>
      <c r="K332" s="427"/>
    </row>
    <row r="333" spans="1:11" x14ac:dyDescent="0.2">
      <c r="A333" s="426"/>
      <c r="B333" s="217"/>
      <c r="C333" s="217"/>
      <c r="D333" s="217"/>
      <c r="E333" s="217"/>
      <c r="F333" s="217"/>
      <c r="G333" s="217"/>
      <c r="H333" s="217"/>
      <c r="I333" s="217"/>
      <c r="J333" s="217"/>
      <c r="K333" s="427"/>
    </row>
    <row r="334" spans="1:11" x14ac:dyDescent="0.2">
      <c r="A334" s="426"/>
      <c r="B334" s="217" t="s">
        <v>928</v>
      </c>
      <c r="C334" s="217"/>
      <c r="D334" s="217"/>
      <c r="E334" s="217">
        <f>G207</f>
        <v>1</v>
      </c>
      <c r="F334" s="217" t="str">
        <f>C189</f>
        <v>Indian Standard Stilling Basin I</v>
      </c>
      <c r="G334" s="217"/>
      <c r="H334" s="217"/>
      <c r="I334" s="217"/>
      <c r="J334" s="217"/>
      <c r="K334" s="427"/>
    </row>
    <row r="335" spans="1:11" x14ac:dyDescent="0.2">
      <c r="A335" s="426"/>
      <c r="B335" s="217"/>
      <c r="C335" s="217"/>
      <c r="D335" s="217"/>
      <c r="E335" s="217"/>
      <c r="F335" s="217"/>
      <c r="G335" s="217"/>
      <c r="H335" s="217"/>
      <c r="I335" s="217"/>
      <c r="J335" s="217"/>
      <c r="K335" s="427"/>
    </row>
    <row r="336" spans="1:11" ht="13.5" thickBot="1" x14ac:dyDescent="0.25">
      <c r="A336" s="426"/>
      <c r="B336" s="217" t="s">
        <v>929</v>
      </c>
      <c r="C336" s="217"/>
      <c r="D336" s="217"/>
      <c r="E336" s="217">
        <f>F227</f>
        <v>9.2693308646839565</v>
      </c>
      <c r="F336" s="217" t="s">
        <v>24</v>
      </c>
      <c r="G336" s="217"/>
      <c r="H336" s="217"/>
      <c r="I336" s="217"/>
      <c r="J336" s="217"/>
      <c r="K336" s="427"/>
    </row>
    <row r="337" spans="1:12" ht="13.5" thickBot="1" x14ac:dyDescent="0.25">
      <c r="A337" s="426"/>
      <c r="B337" s="395" t="s">
        <v>1908</v>
      </c>
      <c r="C337" s="217"/>
      <c r="D337" s="217"/>
      <c r="E337" s="704">
        <f>F22</f>
        <v>3.2000000000000011</v>
      </c>
      <c r="F337" s="395" t="s">
        <v>24</v>
      </c>
      <c r="G337" s="217"/>
      <c r="H337" s="217"/>
      <c r="I337" s="217"/>
      <c r="J337" s="217"/>
      <c r="K337" s="427"/>
    </row>
    <row r="338" spans="1:12" ht="13.5" thickBot="1" x14ac:dyDescent="0.25">
      <c r="A338" s="426"/>
      <c r="B338" s="395" t="s">
        <v>1909</v>
      </c>
      <c r="C338" s="217"/>
      <c r="D338" s="217"/>
      <c r="E338" s="705">
        <f>H229</f>
        <v>13</v>
      </c>
      <c r="F338" s="395" t="s">
        <v>24</v>
      </c>
      <c r="G338" s="217" t="s">
        <v>930</v>
      </c>
      <c r="H338" s="217"/>
      <c r="I338" s="217">
        <f>J226</f>
        <v>3.25</v>
      </c>
      <c r="J338" s="217" t="s">
        <v>24</v>
      </c>
      <c r="K338" s="427"/>
    </row>
    <row r="339" spans="1:12" ht="13.5" thickBot="1" x14ac:dyDescent="0.25">
      <c r="A339" s="426"/>
      <c r="B339" s="608" t="s">
        <v>2494</v>
      </c>
      <c r="C339" s="217"/>
      <c r="D339" s="217"/>
      <c r="E339" s="471">
        <f>F17</f>
        <v>0.5</v>
      </c>
      <c r="F339" s="395" t="s">
        <v>24</v>
      </c>
      <c r="G339" s="217" t="s">
        <v>931</v>
      </c>
      <c r="H339" s="217"/>
      <c r="I339" s="706">
        <f>J227</f>
        <v>2.5</v>
      </c>
      <c r="J339" s="217" t="s">
        <v>24</v>
      </c>
      <c r="K339" s="427"/>
    </row>
    <row r="340" spans="1:12" x14ac:dyDescent="0.2">
      <c r="A340" s="426"/>
      <c r="B340" s="217" t="s">
        <v>932</v>
      </c>
      <c r="C340" s="217"/>
      <c r="D340" s="217"/>
      <c r="E340" s="498">
        <f>F23</f>
        <v>8</v>
      </c>
      <c r="F340" s="217" t="s">
        <v>32</v>
      </c>
      <c r="G340" s="217"/>
      <c r="H340" s="217"/>
      <c r="I340" s="217"/>
      <c r="J340" s="217"/>
      <c r="K340" s="427"/>
    </row>
    <row r="341" spans="1:12" ht="13.5" thickBot="1" x14ac:dyDescent="0.25">
      <c r="A341" s="426"/>
      <c r="B341" s="217"/>
      <c r="C341" s="217"/>
      <c r="D341" s="217"/>
      <c r="E341" s="217"/>
      <c r="F341" s="217"/>
      <c r="G341" s="217" t="s">
        <v>933</v>
      </c>
      <c r="H341" s="217"/>
      <c r="I341" s="217">
        <f>E324</f>
        <v>0.66880000000000006</v>
      </c>
      <c r="J341" s="217" t="s">
        <v>24</v>
      </c>
      <c r="K341" s="427"/>
    </row>
    <row r="342" spans="1:12" ht="13.5" thickBot="1" x14ac:dyDescent="0.25">
      <c r="A342" s="426"/>
      <c r="B342" s="217" t="s">
        <v>934</v>
      </c>
      <c r="C342" s="217"/>
      <c r="D342" s="217"/>
      <c r="E342" s="704">
        <f>F240</f>
        <v>5</v>
      </c>
      <c r="F342" s="217" t="s">
        <v>24</v>
      </c>
      <c r="G342" s="217" t="s">
        <v>935</v>
      </c>
      <c r="H342" s="217"/>
      <c r="I342" s="799">
        <v>0.6</v>
      </c>
      <c r="J342" s="217" t="s">
        <v>24</v>
      </c>
      <c r="K342" s="427"/>
    </row>
    <row r="343" spans="1:12" ht="15.75" x14ac:dyDescent="0.3">
      <c r="A343" s="426"/>
      <c r="B343" s="395" t="s">
        <v>1903</v>
      </c>
      <c r="C343" s="217"/>
      <c r="D343" s="217"/>
      <c r="E343" s="217">
        <f>F246</f>
        <v>0.58380988324325667</v>
      </c>
      <c r="F343" s="217" t="str">
        <f>G246</f>
        <v>m/sec</v>
      </c>
      <c r="G343" s="395" t="s">
        <v>2405</v>
      </c>
      <c r="H343" s="217"/>
      <c r="I343" s="217">
        <f>0.7*E324</f>
        <v>0.46816000000000002</v>
      </c>
      <c r="J343" s="395" t="s">
        <v>24</v>
      </c>
      <c r="K343" s="427"/>
    </row>
    <row r="344" spans="1:12" ht="15.75" x14ac:dyDescent="0.3">
      <c r="A344" s="426"/>
      <c r="B344" s="395" t="s">
        <v>1904</v>
      </c>
      <c r="C344" s="217"/>
      <c r="D344" s="217"/>
      <c r="E344" s="217">
        <f>F245</f>
        <v>21.375</v>
      </c>
      <c r="F344" s="222" t="s">
        <v>765</v>
      </c>
      <c r="G344" s="608" t="s">
        <v>2378</v>
      </c>
      <c r="H344" s="217"/>
      <c r="I344" s="607">
        <v>0.5</v>
      </c>
      <c r="J344" s="395" t="s">
        <v>24</v>
      </c>
      <c r="K344" s="427"/>
    </row>
    <row r="345" spans="1:12" x14ac:dyDescent="0.2">
      <c r="A345" s="426"/>
      <c r="B345" s="217"/>
      <c r="C345" s="217"/>
      <c r="D345" s="217"/>
      <c r="E345" s="217"/>
      <c r="F345" s="217"/>
      <c r="G345" s="217"/>
      <c r="H345" s="217"/>
      <c r="I345" s="217"/>
      <c r="J345" s="217"/>
      <c r="K345" s="427"/>
    </row>
    <row r="346" spans="1:12" x14ac:dyDescent="0.2">
      <c r="A346" s="426"/>
      <c r="B346" s="217"/>
      <c r="C346" s="217"/>
      <c r="D346" s="217"/>
      <c r="E346" s="217"/>
      <c r="F346" s="217"/>
      <c r="G346" s="608" t="s">
        <v>2403</v>
      </c>
      <c r="H346" s="217"/>
      <c r="I346" s="217"/>
      <c r="J346" s="217"/>
      <c r="K346" s="427"/>
    </row>
    <row r="347" spans="1:12" x14ac:dyDescent="0.2">
      <c r="A347" s="426"/>
      <c r="B347" s="217"/>
      <c r="C347" s="217"/>
      <c r="D347" s="217"/>
      <c r="E347" s="217"/>
      <c r="F347" s="217"/>
      <c r="G347" s="395" t="s">
        <v>2404</v>
      </c>
      <c r="H347" s="217"/>
      <c r="I347" s="608"/>
      <c r="J347" s="217"/>
      <c r="K347" s="427"/>
    </row>
    <row r="348" spans="1:12" x14ac:dyDescent="0.2">
      <c r="A348" s="426"/>
      <c r="B348" s="395" t="s">
        <v>1905</v>
      </c>
      <c r="C348" s="217"/>
      <c r="D348" s="217"/>
      <c r="E348" s="217">
        <f>E255</f>
        <v>0.24890158697766473</v>
      </c>
      <c r="F348" s="217"/>
      <c r="G348" s="217"/>
      <c r="H348" s="217"/>
      <c r="I348" s="217"/>
      <c r="J348" s="217"/>
      <c r="K348" s="427"/>
    </row>
    <row r="349" spans="1:12" x14ac:dyDescent="0.2">
      <c r="A349" s="426"/>
      <c r="B349" s="217"/>
      <c r="C349" s="217"/>
      <c r="D349" s="217"/>
      <c r="E349" s="217"/>
      <c r="F349" s="217"/>
      <c r="G349" s="395" t="s">
        <v>2379</v>
      </c>
      <c r="H349" s="217"/>
      <c r="I349" s="217">
        <f>0.2*E332</f>
        <v>0.57933317904274728</v>
      </c>
      <c r="J349" s="395" t="s">
        <v>24</v>
      </c>
      <c r="K349" s="427"/>
    </row>
    <row r="350" spans="1:12" x14ac:dyDescent="0.2">
      <c r="A350" s="426"/>
      <c r="B350" s="217" t="s">
        <v>939</v>
      </c>
      <c r="C350" s="217"/>
      <c r="D350" s="217"/>
      <c r="E350" s="217">
        <f>F257</f>
        <v>3.9066241429677357</v>
      </c>
      <c r="F350" s="217" t="s">
        <v>24</v>
      </c>
      <c r="G350" s="217" t="s">
        <v>935</v>
      </c>
      <c r="H350" s="217"/>
      <c r="I350" s="607">
        <v>0.5</v>
      </c>
      <c r="J350" s="395" t="s">
        <v>24</v>
      </c>
      <c r="K350" s="427"/>
    </row>
    <row r="351" spans="1:12" x14ac:dyDescent="0.2">
      <c r="A351" s="426"/>
      <c r="B351" s="217"/>
      <c r="C351" s="217"/>
      <c r="D351" s="217"/>
      <c r="E351" s="217"/>
      <c r="F351" s="217"/>
      <c r="G351" s="395" t="s">
        <v>2405</v>
      </c>
      <c r="I351" s="169">
        <f>0.15*E332</f>
        <v>0.43449988428206049</v>
      </c>
      <c r="J351" s="339" t="s">
        <v>24</v>
      </c>
      <c r="L351" s="216"/>
    </row>
    <row r="352" spans="1:12" x14ac:dyDescent="0.2">
      <c r="A352" s="426"/>
      <c r="B352" s="217" t="s">
        <v>940</v>
      </c>
      <c r="C352" s="217"/>
      <c r="D352" s="217"/>
      <c r="E352" s="217">
        <f>F259</f>
        <v>4.8832801787096694</v>
      </c>
      <c r="F352" s="217" t="s">
        <v>24</v>
      </c>
      <c r="G352" s="217" t="s">
        <v>935</v>
      </c>
      <c r="I352" s="800">
        <v>0.5</v>
      </c>
      <c r="J352" s="339" t="s">
        <v>24</v>
      </c>
      <c r="L352" s="216"/>
    </row>
    <row r="353" spans="1:11" x14ac:dyDescent="0.2">
      <c r="A353" s="426"/>
      <c r="B353" s="217" t="s">
        <v>941</v>
      </c>
      <c r="C353" s="217"/>
      <c r="D353" s="217"/>
      <c r="E353" s="217">
        <f>F261</f>
        <v>5.8599362144516034</v>
      </c>
      <c r="F353" s="217" t="s">
        <v>24</v>
      </c>
      <c r="G353" s="217"/>
      <c r="H353" s="217"/>
      <c r="I353" s="217"/>
      <c r="J353" s="217"/>
      <c r="K353" s="427"/>
    </row>
    <row r="354" spans="1:11" x14ac:dyDescent="0.2">
      <c r="A354" s="426"/>
      <c r="B354" s="217"/>
      <c r="C354" s="217"/>
      <c r="D354" s="217"/>
      <c r="E354" s="217"/>
      <c r="F354" s="217"/>
      <c r="G354" s="217"/>
      <c r="H354" s="217"/>
      <c r="I354" s="217"/>
      <c r="J354" s="217"/>
      <c r="K354" s="427"/>
    </row>
    <row r="355" spans="1:11" x14ac:dyDescent="0.2">
      <c r="A355" s="426"/>
      <c r="B355" s="217" t="s">
        <v>942</v>
      </c>
      <c r="C355" s="217"/>
      <c r="D355" s="217"/>
      <c r="E355" s="217">
        <f>H263</f>
        <v>-0.21671982129033029</v>
      </c>
      <c r="F355" s="217" t="s">
        <v>24</v>
      </c>
      <c r="G355" s="217" t="s">
        <v>943</v>
      </c>
      <c r="H355" s="217">
        <f>D265</f>
        <v>3</v>
      </c>
      <c r="I355" s="217" t="s">
        <v>24</v>
      </c>
      <c r="J355" s="217"/>
      <c r="K355" s="427"/>
    </row>
    <row r="356" spans="1:11" x14ac:dyDescent="0.2">
      <c r="A356" s="426"/>
      <c r="B356" s="217" t="s">
        <v>944</v>
      </c>
      <c r="C356" s="217"/>
      <c r="D356" s="217"/>
      <c r="E356" s="217">
        <f>I266</f>
        <v>2.9632703192378669</v>
      </c>
      <c r="F356" s="217" t="s">
        <v>24</v>
      </c>
      <c r="G356" s="217" t="s">
        <v>943</v>
      </c>
      <c r="H356" s="217">
        <f>D268</f>
        <v>3</v>
      </c>
      <c r="I356" s="217" t="s">
        <v>24</v>
      </c>
      <c r="J356" s="217"/>
      <c r="K356" s="427"/>
    </row>
    <row r="357" spans="1:11" x14ac:dyDescent="0.2">
      <c r="A357" s="426"/>
      <c r="B357" s="217"/>
      <c r="C357" s="217"/>
      <c r="D357" s="217"/>
      <c r="E357" s="217"/>
      <c r="F357" s="217"/>
      <c r="G357" s="217"/>
      <c r="H357" s="217"/>
      <c r="I357" s="217"/>
      <c r="J357" s="217"/>
      <c r="K357" s="427"/>
    </row>
    <row r="358" spans="1:11" x14ac:dyDescent="0.2">
      <c r="A358" s="426"/>
      <c r="B358" s="217" t="s">
        <v>945</v>
      </c>
      <c r="C358" s="217"/>
      <c r="D358" s="217"/>
      <c r="E358" s="217">
        <f>I280</f>
        <v>3</v>
      </c>
      <c r="F358" s="217" t="s">
        <v>24</v>
      </c>
      <c r="G358" s="217" t="s">
        <v>577</v>
      </c>
      <c r="H358" s="350">
        <f>F281</f>
        <v>6</v>
      </c>
      <c r="I358" s="217" t="s">
        <v>24</v>
      </c>
      <c r="J358" s="217"/>
      <c r="K358" s="427"/>
    </row>
    <row r="359" spans="1:11" x14ac:dyDescent="0.2">
      <c r="A359" s="426"/>
      <c r="B359" s="217" t="s">
        <v>946</v>
      </c>
      <c r="C359" s="217"/>
      <c r="D359" s="217"/>
      <c r="E359" s="217">
        <f>I283</f>
        <v>4.5</v>
      </c>
      <c r="F359" s="217" t="s">
        <v>24</v>
      </c>
      <c r="G359" s="217" t="s">
        <v>577</v>
      </c>
      <c r="H359" s="803">
        <f>F284</f>
        <v>5</v>
      </c>
      <c r="I359" s="217" t="s">
        <v>24</v>
      </c>
      <c r="J359" s="217"/>
      <c r="K359" s="427"/>
    </row>
    <row r="360" spans="1:11" x14ac:dyDescent="0.2">
      <c r="A360" s="426"/>
      <c r="B360" s="217"/>
      <c r="C360" s="217"/>
      <c r="D360" s="217"/>
      <c r="E360" s="217"/>
      <c r="F360" s="217"/>
      <c r="G360" s="217"/>
      <c r="H360" s="803"/>
      <c r="I360" s="217"/>
      <c r="J360" s="217"/>
      <c r="K360" s="427"/>
    </row>
    <row r="361" spans="1:11" x14ac:dyDescent="0.2">
      <c r="A361" s="426"/>
      <c r="B361" s="217" t="s">
        <v>947</v>
      </c>
      <c r="C361" s="217"/>
      <c r="D361" s="217"/>
      <c r="E361" s="217">
        <f>I288</f>
        <v>4.5</v>
      </c>
      <c r="F361" s="217" t="s">
        <v>24</v>
      </c>
      <c r="G361" s="217" t="s">
        <v>943</v>
      </c>
      <c r="H361" s="803">
        <f>F289</f>
        <v>6</v>
      </c>
      <c r="I361" s="217" t="s">
        <v>24</v>
      </c>
      <c r="J361" s="217"/>
      <c r="K361" s="427"/>
    </row>
    <row r="362" spans="1:11" x14ac:dyDescent="0.2">
      <c r="A362" s="426"/>
      <c r="B362" s="217" t="s">
        <v>948</v>
      </c>
      <c r="C362" s="217"/>
      <c r="D362" s="217"/>
      <c r="E362" s="217">
        <f>I291</f>
        <v>4.5</v>
      </c>
      <c r="F362" s="217" t="s">
        <v>24</v>
      </c>
      <c r="G362" s="217" t="s">
        <v>943</v>
      </c>
      <c r="H362" s="804">
        <f>F292</f>
        <v>5</v>
      </c>
      <c r="I362" s="217" t="s">
        <v>24</v>
      </c>
      <c r="J362" s="217"/>
      <c r="K362" s="427"/>
    </row>
    <row r="363" spans="1:11" x14ac:dyDescent="0.2">
      <c r="A363" s="426"/>
      <c r="B363" s="217"/>
      <c r="C363" s="217"/>
      <c r="D363" s="217"/>
      <c r="E363" s="217"/>
      <c r="F363" s="217"/>
      <c r="G363" s="217"/>
      <c r="H363" s="217"/>
      <c r="I363" s="217"/>
      <c r="J363" s="217"/>
      <c r="K363" s="427"/>
    </row>
    <row r="364" spans="1:11" x14ac:dyDescent="0.2">
      <c r="A364" s="426"/>
      <c r="B364" s="217"/>
      <c r="C364" s="217"/>
      <c r="D364" s="217"/>
      <c r="E364" s="217"/>
      <c r="F364" s="217"/>
      <c r="G364" s="217"/>
      <c r="H364" s="217"/>
      <c r="I364" s="217"/>
      <c r="J364" s="217"/>
      <c r="K364" s="427"/>
    </row>
    <row r="365" spans="1:11" x14ac:dyDescent="0.2">
      <c r="A365" s="426"/>
      <c r="B365" s="217"/>
      <c r="C365" s="217"/>
      <c r="D365" s="217"/>
      <c r="E365" s="217"/>
      <c r="F365" s="217"/>
      <c r="G365" s="217"/>
      <c r="H365" s="217"/>
      <c r="I365" s="217"/>
      <c r="J365" s="217"/>
      <c r="K365" s="427"/>
    </row>
    <row r="366" spans="1:11" x14ac:dyDescent="0.2">
      <c r="A366" s="426"/>
      <c r="B366" s="217"/>
      <c r="C366" s="217"/>
      <c r="D366" s="217"/>
      <c r="E366" s="217"/>
      <c r="F366" s="217"/>
      <c r="G366" s="217"/>
      <c r="H366" s="217"/>
      <c r="I366" s="217"/>
      <c r="J366" s="217"/>
      <c r="K366" s="427"/>
    </row>
    <row r="367" spans="1:11" ht="13.5" thickBot="1" x14ac:dyDescent="0.25">
      <c r="A367" s="429"/>
      <c r="B367" s="430"/>
      <c r="C367" s="430"/>
      <c r="D367" s="430"/>
      <c r="E367" s="430"/>
      <c r="F367" s="430"/>
      <c r="G367" s="430"/>
      <c r="H367" s="430"/>
      <c r="I367" s="430"/>
      <c r="J367" s="465"/>
      <c r="K367" s="489" t="s">
        <v>2386</v>
      </c>
    </row>
  </sheetData>
  <mergeCells count="1">
    <mergeCell ref="C40:D40"/>
  </mergeCells>
  <pageMargins left="0.25" right="0.25" top="0.75" bottom="0.75" header="0.3" footer="0.3"/>
  <pageSetup paperSize="9" scale="95"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R916"/>
  <sheetViews>
    <sheetView topLeftCell="A58" zoomScale="106" zoomScaleNormal="106" workbookViewId="0">
      <selection activeCell="G885" sqref="G885"/>
    </sheetView>
  </sheetViews>
  <sheetFormatPr defaultColWidth="11" defaultRowHeight="12.75" x14ac:dyDescent="0.2"/>
  <cols>
    <col min="1" max="1" width="4.42578125" style="174" customWidth="1"/>
    <col min="2" max="2" width="8.85546875" style="174" customWidth="1"/>
    <col min="3" max="3" width="10.140625" style="174" customWidth="1"/>
    <col min="4" max="6" width="11" style="174"/>
    <col min="7" max="7" width="11.28515625" style="174" bestFit="1" customWidth="1"/>
    <col min="8" max="8" width="11" style="174"/>
    <col min="9" max="9" width="10" style="174" customWidth="1"/>
    <col min="10" max="10" width="8" style="174" customWidth="1"/>
    <col min="11" max="11" width="0.140625" style="174" customWidth="1"/>
    <col min="12" max="13" width="11" style="174"/>
    <col min="14" max="14" width="12.5703125" style="174" customWidth="1"/>
    <col min="15" max="15" width="12.140625" style="174" customWidth="1"/>
    <col min="16" max="16" width="12.5703125" style="174" customWidth="1"/>
    <col min="17" max="17" width="12.28515625" style="174" customWidth="1"/>
    <col min="18" max="18" width="12.5703125" style="174" customWidth="1"/>
    <col min="19" max="16384" width="11" style="174"/>
  </cols>
  <sheetData>
    <row r="1" spans="1:13" x14ac:dyDescent="0.2">
      <c r="A1" s="889" t="s">
        <v>2186</v>
      </c>
      <c r="B1" s="890"/>
      <c r="C1" s="890"/>
      <c r="D1" s="890" t="str">
        <f>'Design Data'!C2</f>
        <v>Coastal Embankment Improvement Project Phase-1, CEIP-1.</v>
      </c>
      <c r="E1" s="890"/>
      <c r="F1" s="890"/>
      <c r="G1" s="890"/>
      <c r="H1" s="891"/>
      <c r="I1" s="891"/>
      <c r="J1" s="892"/>
    </row>
    <row r="2" spans="1:13" x14ac:dyDescent="0.2">
      <c r="A2" s="893" t="s">
        <v>1870</v>
      </c>
      <c r="B2" s="894"/>
      <c r="C2" s="809"/>
      <c r="D2" s="895" t="str">
        <f>'Basin (CS)'!D2</f>
        <v>DR-5</v>
      </c>
      <c r="E2" s="895"/>
      <c r="F2" s="809"/>
      <c r="G2" s="809"/>
      <c r="H2" s="895"/>
      <c r="I2" s="895"/>
      <c r="J2" s="896"/>
    </row>
    <row r="3" spans="1:13" x14ac:dyDescent="0.2">
      <c r="A3" s="815" t="s">
        <v>2267</v>
      </c>
      <c r="B3" s="809"/>
      <c r="D3" s="895" t="str">
        <f>'Design Data'!C3</f>
        <v>Polder- 16</v>
      </c>
      <c r="E3" s="1155" t="s">
        <v>2184</v>
      </c>
      <c r="F3" s="895" t="str">
        <f>'Design Data'!C8</f>
        <v>Salta River</v>
      </c>
      <c r="G3" s="809"/>
      <c r="H3" s="897" t="s">
        <v>1966</v>
      </c>
      <c r="I3" s="809" t="str">
        <f>'Basin (RS)'!H3</f>
        <v>1.50m x 1.80m</v>
      </c>
      <c r="J3" s="896"/>
    </row>
    <row r="4" spans="1:13" x14ac:dyDescent="0.2">
      <c r="A4" s="898" t="s">
        <v>950</v>
      </c>
      <c r="B4" s="809"/>
      <c r="C4" s="809"/>
      <c r="D4" s="809"/>
      <c r="E4" s="809"/>
      <c r="F4" s="809"/>
      <c r="G4" s="809"/>
      <c r="H4" s="897" t="s">
        <v>2465</v>
      </c>
      <c r="I4" s="899">
        <f>'Design Data'!D22</f>
        <v>1</v>
      </c>
      <c r="J4" s="896"/>
      <c r="L4" s="275" t="e">
        <v>#VALUE!</v>
      </c>
      <c r="M4" s="274" t="s">
        <v>0</v>
      </c>
    </row>
    <row r="5" spans="1:13" x14ac:dyDescent="0.2">
      <c r="A5" s="898" t="s">
        <v>951</v>
      </c>
      <c r="B5" s="809"/>
      <c r="C5" s="809"/>
      <c r="D5" s="809"/>
      <c r="E5" s="809"/>
      <c r="F5" s="692"/>
      <c r="G5" s="809"/>
      <c r="H5" s="809"/>
      <c r="I5" s="809"/>
      <c r="J5" s="896"/>
      <c r="L5" s="275">
        <v>1</v>
      </c>
      <c r="M5" s="274" t="s">
        <v>1</v>
      </c>
    </row>
    <row r="6" spans="1:13" x14ac:dyDescent="0.2">
      <c r="A6" s="815"/>
      <c r="B6" s="809"/>
      <c r="C6" s="809"/>
      <c r="D6" s="809"/>
      <c r="E6" s="809"/>
      <c r="F6" s="809"/>
      <c r="G6" s="809"/>
      <c r="H6" s="809"/>
      <c r="I6" s="809"/>
      <c r="J6" s="896"/>
      <c r="L6" s="276" t="s">
        <v>2</v>
      </c>
      <c r="M6" s="274" t="s">
        <v>3</v>
      </c>
    </row>
    <row r="7" spans="1:13" ht="12.75" customHeight="1" x14ac:dyDescent="0.2">
      <c r="A7" s="898" t="s">
        <v>950</v>
      </c>
      <c r="B7" s="809"/>
      <c r="C7" s="809"/>
      <c r="D7" s="895"/>
      <c r="E7" s="809"/>
      <c r="F7" s="809"/>
      <c r="G7" s="809"/>
      <c r="H7" s="809"/>
      <c r="I7" s="809"/>
      <c r="J7" s="896"/>
      <c r="M7" s="274" t="s">
        <v>4</v>
      </c>
    </row>
    <row r="8" spans="1:13" x14ac:dyDescent="0.2">
      <c r="A8" s="898" t="s">
        <v>952</v>
      </c>
      <c r="B8" s="809"/>
      <c r="C8" s="809"/>
      <c r="D8" s="809"/>
      <c r="E8" s="809"/>
      <c r="F8" s="809"/>
      <c r="G8" s="809"/>
      <c r="H8" s="809"/>
      <c r="I8" s="809"/>
      <c r="J8" s="896"/>
      <c r="M8" s="274" t="s">
        <v>5</v>
      </c>
    </row>
    <row r="9" spans="1:13" x14ac:dyDescent="0.2">
      <c r="A9" s="815"/>
      <c r="B9" s="809"/>
      <c r="C9" s="809"/>
      <c r="D9" s="809"/>
      <c r="E9" s="809"/>
      <c r="F9" s="809"/>
      <c r="G9" s="809"/>
      <c r="H9" s="809"/>
      <c r="I9" s="809"/>
      <c r="J9" s="896"/>
      <c r="M9" s="274" t="s">
        <v>6</v>
      </c>
    </row>
    <row r="10" spans="1:13" ht="13.5" x14ac:dyDescent="0.2">
      <c r="A10" s="815"/>
      <c r="B10" s="692" t="s">
        <v>953</v>
      </c>
      <c r="C10" s="809"/>
      <c r="D10" s="809"/>
      <c r="E10" s="901">
        <f>'Design Data'!E12+1</f>
        <v>6.1</v>
      </c>
      <c r="F10" s="692" t="s">
        <v>2505</v>
      </c>
      <c r="G10" s="810"/>
      <c r="H10" s="811"/>
      <c r="I10" s="809"/>
      <c r="J10" s="896"/>
      <c r="M10" s="274" t="s">
        <v>7</v>
      </c>
    </row>
    <row r="11" spans="1:13" x14ac:dyDescent="0.2">
      <c r="A11" s="815"/>
      <c r="B11" s="692"/>
      <c r="C11" s="809"/>
      <c r="D11" s="809"/>
      <c r="E11" s="1171"/>
      <c r="F11" s="692"/>
      <c r="G11" s="809"/>
      <c r="H11" s="811"/>
      <c r="I11" s="809"/>
      <c r="J11" s="896"/>
      <c r="M11" s="274"/>
    </row>
    <row r="12" spans="1:13" x14ac:dyDescent="0.2">
      <c r="A12" s="815"/>
      <c r="B12" s="809" t="s">
        <v>1762</v>
      </c>
      <c r="C12" s="809"/>
      <c r="D12" s="809"/>
      <c r="E12" s="901">
        <f>'Design Data'!E13</f>
        <v>6</v>
      </c>
      <c r="F12" s="809" t="s">
        <v>24</v>
      </c>
      <c r="G12" s="902"/>
      <c r="H12" s="811"/>
      <c r="I12" s="809"/>
      <c r="J12" s="896"/>
      <c r="M12" s="274" t="s">
        <v>9</v>
      </c>
    </row>
    <row r="13" spans="1:13" x14ac:dyDescent="0.2">
      <c r="A13" s="815"/>
      <c r="B13" s="692" t="s">
        <v>954</v>
      </c>
      <c r="C13" s="809"/>
      <c r="D13" s="809"/>
      <c r="E13" s="1172">
        <f>5.1</f>
        <v>5.0999999999999996</v>
      </c>
      <c r="F13" s="692" t="s">
        <v>2343</v>
      </c>
      <c r="G13" s="809"/>
      <c r="H13" s="903">
        <f>E37+E35+E29/1000</f>
        <v>5.0999999999999996</v>
      </c>
      <c r="I13" s="903" t="s">
        <v>2343</v>
      </c>
      <c r="J13" s="904"/>
      <c r="M13" s="274" t="s">
        <v>17</v>
      </c>
    </row>
    <row r="14" spans="1:13" x14ac:dyDescent="0.2">
      <c r="A14" s="815"/>
      <c r="B14" s="809"/>
      <c r="C14" s="809"/>
      <c r="D14" s="809"/>
      <c r="E14" s="905"/>
      <c r="F14" s="809"/>
      <c r="G14" s="809"/>
      <c r="H14" s="809"/>
      <c r="I14" s="809"/>
      <c r="J14" s="896"/>
      <c r="M14" s="274" t="s">
        <v>956</v>
      </c>
    </row>
    <row r="15" spans="1:13" x14ac:dyDescent="0.2">
      <c r="A15" s="815"/>
      <c r="B15" s="809" t="s">
        <v>1852</v>
      </c>
      <c r="C15" s="809"/>
      <c r="D15" s="809"/>
      <c r="E15" s="1172">
        <f>'Design Data'!E25</f>
        <v>3.95</v>
      </c>
      <c r="F15" s="692" t="s">
        <v>2343</v>
      </c>
      <c r="G15" s="811"/>
      <c r="H15" s="811"/>
      <c r="I15" s="809"/>
      <c r="J15" s="896"/>
      <c r="M15" s="274" t="s">
        <v>958</v>
      </c>
    </row>
    <row r="16" spans="1:13" x14ac:dyDescent="0.2">
      <c r="A16" s="815"/>
      <c r="B16" s="692" t="s">
        <v>2359</v>
      </c>
      <c r="C16" s="809"/>
      <c r="D16" s="809"/>
      <c r="E16" s="1172">
        <f>E37+'Design Data'!E19+'Struct2(Barrel)'!E29/1000</f>
        <v>1.1500000000000001</v>
      </c>
      <c r="F16" s="1434" t="s">
        <v>2343</v>
      </c>
      <c r="G16" s="1434"/>
      <c r="H16" s="906"/>
      <c r="I16" s="809"/>
      <c r="J16" s="896"/>
      <c r="M16" s="274" t="s">
        <v>960</v>
      </c>
    </row>
    <row r="17" spans="1:17" x14ac:dyDescent="0.2">
      <c r="A17" s="815"/>
      <c r="B17" s="907" t="s">
        <v>2268</v>
      </c>
      <c r="C17" s="809"/>
      <c r="D17" s="809"/>
      <c r="E17" s="809"/>
      <c r="F17" s="958" t="str">
        <f>IF(E16&lt;E13-E29/2000,"ERROR:  Max.Water Level must be greater than Top Slab C/l!!","")</f>
        <v>ERROR:  Max.Water Level must be greater than Top Slab C/l!!</v>
      </c>
      <c r="G17" s="809"/>
      <c r="H17" s="809"/>
      <c r="I17" s="809"/>
      <c r="J17" s="896"/>
      <c r="M17" s="274" t="s">
        <v>961</v>
      </c>
    </row>
    <row r="18" spans="1:17" x14ac:dyDescent="0.2">
      <c r="A18" s="815"/>
      <c r="B18" s="692" t="s">
        <v>957</v>
      </c>
      <c r="C18" s="809"/>
      <c r="D18" s="809"/>
      <c r="E18" s="901">
        <f>E10-0.9+0.15</f>
        <v>5.35</v>
      </c>
      <c r="F18" s="692" t="s">
        <v>2343</v>
      </c>
      <c r="G18" s="809"/>
      <c r="H18" s="809"/>
      <c r="I18" s="809"/>
      <c r="J18" s="896"/>
      <c r="M18" s="274" t="s">
        <v>11</v>
      </c>
    </row>
    <row r="19" spans="1:17" x14ac:dyDescent="0.2">
      <c r="A19" s="815"/>
      <c r="B19" s="692" t="s">
        <v>2269</v>
      </c>
      <c r="C19" s="809"/>
      <c r="D19" s="809"/>
      <c r="E19" s="809"/>
      <c r="F19" s="1166" t="s">
        <v>959</v>
      </c>
      <c r="G19" s="809"/>
      <c r="H19" s="809"/>
      <c r="I19" s="809"/>
      <c r="J19" s="896"/>
      <c r="M19" s="274" t="s">
        <v>964</v>
      </c>
    </row>
    <row r="20" spans="1:17" x14ac:dyDescent="0.2">
      <c r="A20" s="909"/>
      <c r="B20" s="910"/>
      <c r="C20" s="910"/>
      <c r="D20" s="910"/>
      <c r="E20" s="910"/>
      <c r="F20" s="910"/>
      <c r="G20" s="910"/>
      <c r="H20" s="910"/>
      <c r="I20" s="910"/>
      <c r="J20" s="911"/>
      <c r="M20" s="274" t="s">
        <v>966</v>
      </c>
    </row>
    <row r="21" spans="1:17" x14ac:dyDescent="0.2">
      <c r="A21" s="815"/>
      <c r="B21" s="692" t="s">
        <v>962</v>
      </c>
      <c r="C21" s="809"/>
      <c r="D21" s="809"/>
      <c r="E21" s="901">
        <v>77</v>
      </c>
      <c r="F21" s="692" t="s">
        <v>28</v>
      </c>
      <c r="G21" s="809"/>
      <c r="H21" s="809"/>
      <c r="I21" s="912"/>
      <c r="J21" s="913"/>
      <c r="M21" s="274" t="s">
        <v>20</v>
      </c>
    </row>
    <row r="22" spans="1:17" x14ac:dyDescent="0.2">
      <c r="A22" s="815"/>
      <c r="B22" s="692" t="s">
        <v>963</v>
      </c>
      <c r="C22" s="809"/>
      <c r="D22" s="809"/>
      <c r="E22" s="901">
        <v>23.6</v>
      </c>
      <c r="F22" s="692" t="s">
        <v>28</v>
      </c>
      <c r="G22" s="809"/>
      <c r="H22" s="809"/>
      <c r="I22" s="809"/>
      <c r="J22" s="896"/>
      <c r="M22" s="274" t="s">
        <v>968</v>
      </c>
    </row>
    <row r="23" spans="1:17" x14ac:dyDescent="0.2">
      <c r="A23" s="815"/>
      <c r="B23" s="692" t="s">
        <v>965</v>
      </c>
      <c r="C23" s="809"/>
      <c r="D23" s="809"/>
      <c r="E23" s="901">
        <v>19.600000000000001</v>
      </c>
      <c r="F23" s="692" t="s">
        <v>28</v>
      </c>
      <c r="G23" s="809"/>
      <c r="H23" s="809"/>
      <c r="I23" s="809"/>
      <c r="J23" s="896"/>
      <c r="M23" s="274" t="s">
        <v>970</v>
      </c>
    </row>
    <row r="24" spans="1:17" x14ac:dyDescent="0.2">
      <c r="A24" s="815"/>
      <c r="B24" s="692" t="s">
        <v>967</v>
      </c>
      <c r="C24" s="809"/>
      <c r="D24" s="809"/>
      <c r="E24" s="901">
        <v>9.81</v>
      </c>
      <c r="F24" s="692" t="s">
        <v>28</v>
      </c>
      <c r="G24" s="809"/>
      <c r="H24" s="809"/>
      <c r="I24" s="809"/>
      <c r="J24" s="896"/>
      <c r="M24" s="274" t="s">
        <v>25</v>
      </c>
    </row>
    <row r="25" spans="1:17" x14ac:dyDescent="0.2">
      <c r="A25" s="815"/>
      <c r="B25" s="809"/>
      <c r="C25" s="809"/>
      <c r="D25" s="809"/>
      <c r="E25" s="809"/>
      <c r="F25" s="809"/>
      <c r="G25" s="809"/>
      <c r="H25" s="809"/>
      <c r="I25" s="809"/>
      <c r="J25" s="896"/>
      <c r="M25" s="274" t="s">
        <v>26</v>
      </c>
    </row>
    <row r="26" spans="1:17" x14ac:dyDescent="0.2">
      <c r="A26" s="815"/>
      <c r="B26" s="692" t="s">
        <v>969</v>
      </c>
      <c r="C26" s="809"/>
      <c r="D26" s="809"/>
      <c r="E26" s="809"/>
      <c r="F26" s="914">
        <f>'Design Data'!D44</f>
        <v>15</v>
      </c>
      <c r="G26" s="692" t="s">
        <v>32</v>
      </c>
      <c r="H26" s="809"/>
      <c r="I26" s="809"/>
      <c r="J26" s="896"/>
      <c r="M26" s="274" t="s">
        <v>29</v>
      </c>
    </row>
    <row r="27" spans="1:17" x14ac:dyDescent="0.2">
      <c r="A27" s="815"/>
      <c r="B27" s="692" t="s">
        <v>1763</v>
      </c>
      <c r="C27" s="809"/>
      <c r="D27" s="809"/>
      <c r="E27" s="809"/>
      <c r="F27" s="908">
        <f>(1-SIN(F26*PI()/180))</f>
        <v>0.74118095489747926</v>
      </c>
      <c r="G27" s="809"/>
      <c r="H27" s="809"/>
      <c r="I27" s="809"/>
      <c r="J27" s="896"/>
      <c r="M27" s="274" t="s">
        <v>30</v>
      </c>
    </row>
    <row r="28" spans="1:17" x14ac:dyDescent="0.2">
      <c r="A28" s="815"/>
      <c r="B28" s="809"/>
      <c r="C28" s="809"/>
      <c r="D28" s="809"/>
      <c r="E28" s="809"/>
      <c r="F28" s="809"/>
      <c r="G28" s="809"/>
      <c r="H28" s="809"/>
      <c r="I28" s="809"/>
      <c r="J28" s="896"/>
      <c r="Q28" s="274" t="s">
        <v>27</v>
      </c>
    </row>
    <row r="29" spans="1:17" x14ac:dyDescent="0.2">
      <c r="A29" s="815"/>
      <c r="B29" s="692" t="s">
        <v>971</v>
      </c>
      <c r="C29" s="809"/>
      <c r="D29" s="809"/>
      <c r="E29" s="1167">
        <v>550</v>
      </c>
      <c r="F29" s="692" t="s">
        <v>43</v>
      </c>
      <c r="G29" s="809"/>
      <c r="H29" s="809"/>
      <c r="I29" s="809"/>
      <c r="J29" s="896"/>
    </row>
    <row r="30" spans="1:17" x14ac:dyDescent="0.2">
      <c r="A30" s="815"/>
      <c r="B30" s="692" t="s">
        <v>430</v>
      </c>
      <c r="C30" s="809"/>
      <c r="D30" s="809"/>
      <c r="E30" s="1168">
        <v>750</v>
      </c>
      <c r="F30" s="692" t="s">
        <v>43</v>
      </c>
      <c r="G30" s="809" t="s">
        <v>1747</v>
      </c>
      <c r="H30" s="809"/>
      <c r="I30" s="809"/>
      <c r="J30" s="896"/>
    </row>
    <row r="31" spans="1:17" x14ac:dyDescent="0.2">
      <c r="A31" s="815"/>
      <c r="B31" s="692" t="s">
        <v>1853</v>
      </c>
      <c r="C31" s="809"/>
      <c r="D31" s="809"/>
      <c r="E31" s="1167">
        <v>700</v>
      </c>
      <c r="F31" s="692" t="s">
        <v>43</v>
      </c>
      <c r="G31" s="809" t="s">
        <v>2265</v>
      </c>
      <c r="H31" s="809"/>
      <c r="I31" s="912" t="s">
        <v>334</v>
      </c>
      <c r="J31" s="916">
        <f>'Design Data'!G14</f>
        <v>3</v>
      </c>
    </row>
    <row r="32" spans="1:17" x14ac:dyDescent="0.2">
      <c r="A32" s="815"/>
      <c r="B32" s="692" t="s">
        <v>1854</v>
      </c>
      <c r="C32" s="809"/>
      <c r="D32" s="809"/>
      <c r="E32" s="1167">
        <v>700</v>
      </c>
      <c r="F32" s="692" t="s">
        <v>43</v>
      </c>
      <c r="G32" s="809" t="s">
        <v>2266</v>
      </c>
      <c r="H32" s="809"/>
      <c r="I32" s="912" t="s">
        <v>334</v>
      </c>
      <c r="J32" s="916">
        <f>'Design Data'!G15</f>
        <v>2</v>
      </c>
    </row>
    <row r="33" spans="1:10" x14ac:dyDescent="0.2">
      <c r="A33" s="815"/>
      <c r="B33" s="692" t="s">
        <v>972</v>
      </c>
      <c r="C33" s="809"/>
      <c r="D33" s="809"/>
      <c r="E33" s="1167">
        <v>400</v>
      </c>
      <c r="F33" s="692" t="s">
        <v>43</v>
      </c>
      <c r="G33" s="809"/>
      <c r="H33" s="809"/>
      <c r="I33" s="809"/>
      <c r="J33" s="896"/>
    </row>
    <row r="34" spans="1:10" ht="16.5" customHeight="1" x14ac:dyDescent="0.25">
      <c r="A34" s="815"/>
      <c r="B34" s="692" t="s">
        <v>973</v>
      </c>
      <c r="C34" s="809"/>
      <c r="D34" s="809"/>
      <c r="E34" s="1169">
        <f>'Basin (RS)'!F11</f>
        <v>1</v>
      </c>
      <c r="F34" s="908" t="str">
        <f>IF(E34&gt;9,"     ERROR:  The maximum No. of Vents is 9!!!","")</f>
        <v/>
      </c>
      <c r="G34" s="809"/>
      <c r="H34" s="809"/>
      <c r="I34" s="809"/>
      <c r="J34" s="896"/>
    </row>
    <row r="35" spans="1:10" x14ac:dyDescent="0.2">
      <c r="A35" s="815"/>
      <c r="B35" s="692" t="s">
        <v>974</v>
      </c>
      <c r="C35" s="809"/>
      <c r="D35" s="809"/>
      <c r="E35" s="894">
        <f>E13-E29/1000-E37</f>
        <v>5.75</v>
      </c>
      <c r="F35" s="692" t="s">
        <v>24</v>
      </c>
      <c r="G35" s="809"/>
      <c r="H35" s="809"/>
      <c r="I35" s="809"/>
      <c r="J35" s="896"/>
    </row>
    <row r="36" spans="1:10" x14ac:dyDescent="0.2">
      <c r="A36" s="815"/>
      <c r="B36" s="692" t="s">
        <v>975</v>
      </c>
      <c r="C36" s="809"/>
      <c r="D36" s="809"/>
      <c r="E36" s="894">
        <f>'Basin (RS)'!F13</f>
        <v>1.5</v>
      </c>
      <c r="F36" s="692" t="s">
        <v>24</v>
      </c>
      <c r="G36" s="809"/>
      <c r="H36" s="809"/>
      <c r="I36" s="809"/>
      <c r="J36" s="896"/>
    </row>
    <row r="37" spans="1:10" x14ac:dyDescent="0.2">
      <c r="A37" s="815"/>
      <c r="B37" s="809" t="s">
        <v>1851</v>
      </c>
      <c r="C37" s="809"/>
      <c r="D37" s="809"/>
      <c r="E37" s="1170">
        <f>'Basin (RS)'!F14</f>
        <v>-1.2</v>
      </c>
      <c r="F37" s="692" t="s">
        <v>2343</v>
      </c>
      <c r="G37" s="809"/>
      <c r="H37" s="809"/>
      <c r="I37" s="809"/>
      <c r="J37" s="896"/>
    </row>
    <row r="38" spans="1:10" x14ac:dyDescent="0.2">
      <c r="A38" s="815"/>
      <c r="B38" s="692" t="s">
        <v>976</v>
      </c>
      <c r="C38" s="809"/>
      <c r="D38" s="809"/>
      <c r="E38" s="1170">
        <f>I38</f>
        <v>9.9</v>
      </c>
      <c r="F38" s="692" t="s">
        <v>977</v>
      </c>
      <c r="G38" s="809" t="s">
        <v>978</v>
      </c>
      <c r="H38" s="809"/>
      <c r="I38" s="809">
        <f>E12+E39+E40</f>
        <v>9.9</v>
      </c>
      <c r="J38" s="896" t="s">
        <v>24</v>
      </c>
    </row>
    <row r="39" spans="1:10" x14ac:dyDescent="0.2">
      <c r="A39" s="815"/>
      <c r="B39" s="692" t="s">
        <v>979</v>
      </c>
      <c r="C39" s="809"/>
      <c r="D39" s="809"/>
      <c r="E39" s="908">
        <v>2.1</v>
      </c>
      <c r="F39" s="692" t="s">
        <v>24</v>
      </c>
      <c r="G39" s="809"/>
      <c r="H39" s="809"/>
      <c r="I39" s="809"/>
      <c r="J39" s="896"/>
    </row>
    <row r="40" spans="1:10" x14ac:dyDescent="0.2">
      <c r="A40" s="815"/>
      <c r="B40" s="692" t="s">
        <v>980</v>
      </c>
      <c r="C40" s="809"/>
      <c r="D40" s="809"/>
      <c r="E40" s="908">
        <v>1.8</v>
      </c>
      <c r="F40" s="692" t="s">
        <v>24</v>
      </c>
      <c r="G40" s="809"/>
      <c r="H40" s="809"/>
      <c r="I40" s="809"/>
      <c r="J40" s="896"/>
    </row>
    <row r="41" spans="1:10" x14ac:dyDescent="0.2">
      <c r="A41" s="815"/>
      <c r="B41" s="917" t="s">
        <v>981</v>
      </c>
      <c r="C41" s="809"/>
      <c r="D41" s="809"/>
      <c r="E41" s="809"/>
      <c r="F41" s="809"/>
      <c r="G41" s="809"/>
      <c r="H41" s="809"/>
      <c r="I41" s="809"/>
      <c r="J41" s="896"/>
    </row>
    <row r="42" spans="1:10" x14ac:dyDescent="0.2">
      <c r="A42" s="815"/>
      <c r="B42" s="692" t="s">
        <v>34</v>
      </c>
      <c r="C42" s="809"/>
      <c r="D42" s="809"/>
      <c r="E42" s="809"/>
      <c r="F42" s="816">
        <v>414000</v>
      </c>
      <c r="G42" s="692" t="s">
        <v>35</v>
      </c>
      <c r="H42" s="918">
        <f>F42/6.895</f>
        <v>60043.509789702686</v>
      </c>
      <c r="I42" s="809" t="s">
        <v>413</v>
      </c>
      <c r="J42" s="896"/>
    </row>
    <row r="43" spans="1:10" x14ac:dyDescent="0.2">
      <c r="A43" s="815"/>
      <c r="B43" s="692" t="s">
        <v>36</v>
      </c>
      <c r="C43" s="809"/>
      <c r="D43" s="809"/>
      <c r="E43" s="809"/>
      <c r="F43" s="816">
        <v>22000</v>
      </c>
      <c r="G43" s="692" t="s">
        <v>35</v>
      </c>
      <c r="H43" s="918">
        <f>F43/6.895</f>
        <v>3190.7179115300946</v>
      </c>
      <c r="I43" s="809" t="s">
        <v>413</v>
      </c>
      <c r="J43" s="896"/>
    </row>
    <row r="44" spans="1:10" x14ac:dyDescent="0.2">
      <c r="A44" s="815"/>
      <c r="B44" s="692" t="s">
        <v>1749</v>
      </c>
      <c r="C44" s="809"/>
      <c r="D44" s="809"/>
      <c r="E44" s="809"/>
      <c r="F44" s="817"/>
      <c r="G44" s="818">
        <f>0.45*F42</f>
        <v>186300</v>
      </c>
      <c r="H44" s="692" t="s">
        <v>35</v>
      </c>
      <c r="I44" s="809"/>
      <c r="J44" s="896"/>
    </row>
    <row r="45" spans="1:10" x14ac:dyDescent="0.2">
      <c r="A45" s="815"/>
      <c r="B45" s="692" t="s">
        <v>1748</v>
      </c>
      <c r="C45" s="809"/>
      <c r="D45" s="809"/>
      <c r="E45" s="809"/>
      <c r="F45" s="817"/>
      <c r="G45" s="818">
        <f>0.4*F43</f>
        <v>8800</v>
      </c>
      <c r="H45" s="692" t="s">
        <v>35</v>
      </c>
      <c r="I45" s="809"/>
      <c r="J45" s="896"/>
    </row>
    <row r="46" spans="1:10" x14ac:dyDescent="0.2">
      <c r="A46" s="815"/>
      <c r="B46" s="692" t="s">
        <v>982</v>
      </c>
      <c r="C46" s="809"/>
      <c r="D46" s="809"/>
      <c r="E46" s="809"/>
      <c r="F46" s="817"/>
      <c r="G46" s="818">
        <f>2.89*SQRT(F43)</f>
        <v>428.65627255412932</v>
      </c>
      <c r="H46" s="692" t="s">
        <v>35</v>
      </c>
      <c r="I46" s="809"/>
      <c r="J46" s="896"/>
    </row>
    <row r="47" spans="1:10" x14ac:dyDescent="0.2">
      <c r="A47" s="815"/>
      <c r="B47" s="692" t="s">
        <v>40</v>
      </c>
      <c r="C47" s="809"/>
      <c r="D47" s="809"/>
      <c r="E47" s="809"/>
      <c r="F47" s="816">
        <v>196000000</v>
      </c>
      <c r="G47" s="692" t="s">
        <v>35</v>
      </c>
      <c r="H47" s="809"/>
      <c r="I47" s="809"/>
      <c r="J47" s="896"/>
    </row>
    <row r="48" spans="1:10" x14ac:dyDescent="0.2">
      <c r="A48" s="815"/>
      <c r="B48" s="692" t="s">
        <v>41</v>
      </c>
      <c r="C48" s="809"/>
      <c r="D48" s="809"/>
      <c r="E48" s="809"/>
      <c r="F48" s="816">
        <v>19800000</v>
      </c>
      <c r="G48" s="692" t="s">
        <v>35</v>
      </c>
      <c r="H48" s="809"/>
      <c r="I48" s="809"/>
      <c r="J48" s="896"/>
    </row>
    <row r="49" spans="1:10" x14ac:dyDescent="0.2">
      <c r="A49" s="815"/>
      <c r="B49" s="809"/>
      <c r="C49" s="809"/>
      <c r="D49" s="809"/>
      <c r="E49" s="809"/>
      <c r="F49" s="809"/>
      <c r="G49" s="809"/>
      <c r="H49" s="809"/>
      <c r="I49" s="809"/>
      <c r="J49" s="896"/>
    </row>
    <row r="50" spans="1:10" x14ac:dyDescent="0.2">
      <c r="A50" s="815"/>
      <c r="B50" s="692" t="s">
        <v>42</v>
      </c>
      <c r="C50" s="809"/>
      <c r="D50" s="809"/>
      <c r="E50" s="809"/>
      <c r="F50" s="915">
        <v>75</v>
      </c>
      <c r="G50" s="692" t="s">
        <v>43</v>
      </c>
      <c r="H50" s="809"/>
      <c r="I50" s="809"/>
      <c r="J50" s="896"/>
    </row>
    <row r="51" spans="1:10" x14ac:dyDescent="0.2">
      <c r="A51" s="815"/>
      <c r="B51" s="809"/>
      <c r="C51" s="809"/>
      <c r="D51" s="809"/>
      <c r="E51" s="809"/>
      <c r="F51" s="809"/>
      <c r="G51" s="809"/>
      <c r="H51" s="809"/>
      <c r="I51" s="809"/>
      <c r="J51" s="896"/>
    </row>
    <row r="52" spans="1:10" x14ac:dyDescent="0.2">
      <c r="A52" s="815"/>
      <c r="B52" s="692" t="s">
        <v>983</v>
      </c>
      <c r="C52" s="809"/>
      <c r="D52" s="809"/>
      <c r="E52" s="809"/>
      <c r="F52" s="809"/>
      <c r="G52" s="809"/>
      <c r="H52" s="809"/>
      <c r="I52" s="809"/>
      <c r="J52" s="896"/>
    </row>
    <row r="53" spans="1:10" x14ac:dyDescent="0.2">
      <c r="A53" s="815"/>
      <c r="B53" s="809"/>
      <c r="C53" s="809"/>
      <c r="D53" s="809"/>
      <c r="E53" s="809"/>
      <c r="F53" s="908">
        <f>E10</f>
        <v>6.1</v>
      </c>
      <c r="G53" s="809" t="s">
        <v>2343</v>
      </c>
      <c r="H53" s="809"/>
      <c r="I53" s="809"/>
      <c r="J53" s="896"/>
    </row>
    <row r="54" spans="1:10" x14ac:dyDescent="0.2">
      <c r="A54" s="815"/>
      <c r="B54" s="809"/>
      <c r="C54" s="809"/>
      <c r="D54" s="692"/>
      <c r="E54" s="919"/>
      <c r="F54" s="692" t="s">
        <v>984</v>
      </c>
      <c r="G54" s="809"/>
      <c r="H54" s="809"/>
      <c r="I54" s="809"/>
      <c r="J54" s="896"/>
    </row>
    <row r="55" spans="1:10" x14ac:dyDescent="0.2">
      <c r="A55" s="815"/>
      <c r="B55" s="809"/>
      <c r="C55" s="809"/>
      <c r="D55" s="920">
        <f>E31</f>
        <v>700</v>
      </c>
      <c r="E55" s="692" t="s">
        <v>43</v>
      </c>
      <c r="F55" s="809"/>
      <c r="G55" s="809"/>
      <c r="H55" s="809"/>
      <c r="I55" s="809"/>
      <c r="J55" s="896"/>
    </row>
    <row r="56" spans="1:10" x14ac:dyDescent="0.2">
      <c r="A56" s="815"/>
      <c r="B56" s="809"/>
      <c r="C56" s="809"/>
      <c r="D56" s="692"/>
      <c r="E56" s="919"/>
      <c r="F56" s="908">
        <f>E13</f>
        <v>5.0999999999999996</v>
      </c>
      <c r="G56" s="692" t="s">
        <v>2343</v>
      </c>
      <c r="H56" s="809"/>
      <c r="I56" s="809"/>
      <c r="J56" s="896"/>
    </row>
    <row r="57" spans="1:10" x14ac:dyDescent="0.2">
      <c r="A57" s="815"/>
      <c r="B57" s="809"/>
      <c r="C57" s="692"/>
      <c r="D57" s="692"/>
      <c r="E57" s="921"/>
      <c r="F57" s="692"/>
      <c r="G57" s="692"/>
      <c r="H57" s="809"/>
      <c r="I57" s="809"/>
      <c r="J57" s="896"/>
    </row>
    <row r="58" spans="1:10" x14ac:dyDescent="0.2">
      <c r="A58" s="815"/>
      <c r="B58" s="809"/>
      <c r="C58" s="920">
        <f>E29</f>
        <v>550</v>
      </c>
      <c r="D58" s="692" t="s">
        <v>43</v>
      </c>
      <c r="E58" s="809"/>
      <c r="F58" s="809"/>
      <c r="G58" s="692"/>
      <c r="H58" s="809"/>
      <c r="I58" s="809"/>
      <c r="J58" s="896"/>
    </row>
    <row r="59" spans="1:10" x14ac:dyDescent="0.2">
      <c r="A59" s="815"/>
      <c r="B59" s="809"/>
      <c r="C59" s="692"/>
      <c r="D59" s="692"/>
      <c r="E59" s="921"/>
      <c r="F59" s="692"/>
      <c r="G59" s="692"/>
      <c r="H59" s="809"/>
      <c r="I59" s="809"/>
      <c r="J59" s="896"/>
    </row>
    <row r="60" spans="1:10" x14ac:dyDescent="0.2">
      <c r="A60" s="815"/>
      <c r="B60" s="809"/>
      <c r="C60" s="692"/>
      <c r="D60" s="692"/>
      <c r="E60" s="809"/>
      <c r="F60" s="692"/>
      <c r="G60" s="919"/>
      <c r="H60" s="809"/>
      <c r="I60" s="809"/>
      <c r="J60" s="896"/>
    </row>
    <row r="61" spans="1:10" x14ac:dyDescent="0.2">
      <c r="A61" s="815"/>
      <c r="B61" s="809"/>
      <c r="C61" s="692"/>
      <c r="D61" s="692"/>
      <c r="E61" s="809"/>
      <c r="F61" s="692"/>
      <c r="G61" s="919"/>
      <c r="H61" s="809"/>
      <c r="I61" s="809"/>
      <c r="J61" s="896"/>
    </row>
    <row r="62" spans="1:10" x14ac:dyDescent="0.2">
      <c r="A62" s="815"/>
      <c r="B62" s="809"/>
      <c r="C62" s="908">
        <f>E35</f>
        <v>5.75</v>
      </c>
      <c r="D62" s="692" t="s">
        <v>977</v>
      </c>
      <c r="E62" s="809"/>
      <c r="F62" s="692"/>
      <c r="G62" s="919"/>
      <c r="H62" s="809"/>
      <c r="I62" s="809"/>
      <c r="J62" s="896"/>
    </row>
    <row r="63" spans="1:10" x14ac:dyDescent="0.2">
      <c r="A63" s="815"/>
      <c r="B63" s="809"/>
      <c r="C63" s="692"/>
      <c r="D63" s="692"/>
      <c r="E63" s="809"/>
      <c r="F63" s="692"/>
      <c r="G63" s="919"/>
      <c r="H63" s="809"/>
      <c r="I63" s="809"/>
      <c r="J63" s="896"/>
    </row>
    <row r="64" spans="1:10" x14ac:dyDescent="0.2">
      <c r="A64" s="815"/>
      <c r="B64" s="809"/>
      <c r="C64" s="692"/>
      <c r="D64" s="692"/>
      <c r="E64" s="809"/>
      <c r="F64" s="692"/>
      <c r="G64" s="919"/>
      <c r="H64" s="809"/>
      <c r="I64" s="809"/>
      <c r="J64" s="896"/>
    </row>
    <row r="65" spans="1:10" x14ac:dyDescent="0.2">
      <c r="A65" s="815"/>
      <c r="B65" s="809"/>
      <c r="C65" s="692"/>
      <c r="D65" s="692"/>
      <c r="E65" s="809">
        <f>E37</f>
        <v>-1.2</v>
      </c>
      <c r="F65" s="692" t="s">
        <v>2362</v>
      </c>
      <c r="G65" s="919"/>
      <c r="H65" s="809"/>
      <c r="I65" s="809"/>
      <c r="J65" s="896"/>
    </row>
    <row r="66" spans="1:10" x14ac:dyDescent="0.2">
      <c r="A66" s="815"/>
      <c r="B66" s="809"/>
      <c r="C66" s="692"/>
      <c r="D66" s="922"/>
      <c r="E66" s="921"/>
      <c r="F66" s="692"/>
      <c r="G66" s="921"/>
      <c r="H66" s="809"/>
      <c r="I66" s="809"/>
      <c r="J66" s="896"/>
    </row>
    <row r="67" spans="1:10" x14ac:dyDescent="0.2">
      <c r="A67" s="815"/>
      <c r="B67" s="809"/>
      <c r="C67" s="920">
        <f>E30</f>
        <v>750</v>
      </c>
      <c r="D67" s="692" t="s">
        <v>985</v>
      </c>
      <c r="E67" s="809"/>
      <c r="F67" s="809"/>
      <c r="G67" s="692"/>
      <c r="H67" s="809"/>
      <c r="I67" s="809"/>
      <c r="J67" s="896"/>
    </row>
    <row r="68" spans="1:10" x14ac:dyDescent="0.2">
      <c r="A68" s="815"/>
      <c r="B68" s="809"/>
      <c r="C68" s="692"/>
      <c r="D68" s="920">
        <f>E32</f>
        <v>700</v>
      </c>
      <c r="E68" s="923" t="s">
        <v>43</v>
      </c>
      <c r="F68" s="924">
        <f>E33</f>
        <v>400</v>
      </c>
      <c r="G68" s="692" t="s">
        <v>43</v>
      </c>
      <c r="H68" s="809"/>
      <c r="I68" s="809"/>
      <c r="J68" s="896"/>
    </row>
    <row r="69" spans="1:10" ht="13.5" thickBot="1" x14ac:dyDescent="0.25">
      <c r="A69" s="925" t="s">
        <v>986</v>
      </c>
      <c r="B69" s="821"/>
      <c r="C69" s="821"/>
      <c r="D69" s="821"/>
      <c r="E69" s="926">
        <f>E36</f>
        <v>1.5</v>
      </c>
      <c r="F69" s="821" t="s">
        <v>24</v>
      </c>
      <c r="G69" s="821"/>
      <c r="H69" s="821"/>
      <c r="I69" s="927"/>
      <c r="J69" s="928" t="s">
        <v>2387</v>
      </c>
    </row>
    <row r="70" spans="1:10" x14ac:dyDescent="0.2">
      <c r="A70" s="929"/>
      <c r="B70" s="890"/>
      <c r="C70" s="890"/>
      <c r="D70" s="890"/>
      <c r="E70" s="930"/>
      <c r="F70" s="890"/>
      <c r="G70" s="890"/>
      <c r="H70" s="890"/>
      <c r="I70" s="890"/>
      <c r="J70" s="892"/>
    </row>
    <row r="71" spans="1:10" x14ac:dyDescent="0.2">
      <c r="A71" s="815"/>
      <c r="B71" s="692" t="s">
        <v>987</v>
      </c>
      <c r="C71" s="809"/>
      <c r="D71" s="809"/>
      <c r="E71" s="809"/>
      <c r="F71" s="809"/>
      <c r="G71" s="809"/>
      <c r="H71" s="908">
        <f>E39+E40+E38</f>
        <v>13.8</v>
      </c>
      <c r="I71" s="692" t="s">
        <v>24</v>
      </c>
      <c r="J71" s="896"/>
    </row>
    <row r="72" spans="1:10" x14ac:dyDescent="0.2">
      <c r="A72" s="815"/>
      <c r="B72" s="809"/>
      <c r="C72" s="809"/>
      <c r="D72" s="692"/>
      <c r="E72" s="809"/>
      <c r="F72" s="809"/>
      <c r="G72" s="809"/>
      <c r="H72" s="809"/>
      <c r="I72" s="809"/>
      <c r="J72" s="896"/>
    </row>
    <row r="73" spans="1:10" x14ac:dyDescent="0.2">
      <c r="A73" s="815"/>
      <c r="B73" s="692" t="s">
        <v>988</v>
      </c>
      <c r="C73" s="809"/>
      <c r="D73" s="809"/>
      <c r="E73" s="809"/>
      <c r="F73" s="809"/>
      <c r="G73" s="809"/>
      <c r="H73" s="908">
        <f>$E$34*$E$36+$E$32/500+($E$34-1)*$E$33/1000</f>
        <v>2.9</v>
      </c>
      <c r="I73" s="692" t="s">
        <v>24</v>
      </c>
      <c r="J73" s="896"/>
    </row>
    <row r="74" spans="1:10" x14ac:dyDescent="0.2">
      <c r="A74" s="815"/>
      <c r="B74" s="692" t="s">
        <v>989</v>
      </c>
      <c r="C74" s="809"/>
      <c r="D74" s="809"/>
      <c r="E74" s="809"/>
      <c r="F74" s="809"/>
      <c r="G74" s="809"/>
      <c r="H74" s="809"/>
      <c r="I74" s="809"/>
      <c r="J74" s="896"/>
    </row>
    <row r="75" spans="1:10" x14ac:dyDescent="0.2">
      <c r="A75" s="815"/>
      <c r="B75" s="692" t="s">
        <v>990</v>
      </c>
      <c r="C75" s="809"/>
      <c r="D75" s="809"/>
      <c r="E75" s="809"/>
      <c r="F75" s="809"/>
      <c r="G75" s="809"/>
      <c r="H75" s="908">
        <f>IF(E34&gt;1,E36+(E31+E33)/2000,E36+E31/1000)</f>
        <v>2.2000000000000002</v>
      </c>
      <c r="I75" s="692" t="s">
        <v>24</v>
      </c>
      <c r="J75" s="896"/>
    </row>
    <row r="76" spans="1:10" x14ac:dyDescent="0.2">
      <c r="A76" s="815"/>
      <c r="B76" s="692" t="s">
        <v>991</v>
      </c>
      <c r="C76" s="809"/>
      <c r="D76" s="809"/>
      <c r="E76" s="809"/>
      <c r="F76" s="809"/>
      <c r="G76" s="809"/>
      <c r="H76" s="908">
        <f>IF(E34&gt;1,E36+(E32+E33)/2000,E36+E32/1000)</f>
        <v>2.2000000000000002</v>
      </c>
      <c r="I76" s="692" t="s">
        <v>24</v>
      </c>
      <c r="J76" s="896"/>
    </row>
    <row r="77" spans="1:10" x14ac:dyDescent="0.2">
      <c r="A77" s="815"/>
      <c r="B77" s="692" t="s">
        <v>992</v>
      </c>
      <c r="C77" s="809"/>
      <c r="D77" s="809"/>
      <c r="E77" s="809"/>
      <c r="F77" s="809"/>
      <c r="G77" s="809"/>
      <c r="H77" s="908">
        <f>IF(E34&gt;2,E36+E33/1000,0)</f>
        <v>0</v>
      </c>
      <c r="I77" s="692" t="s">
        <v>24</v>
      </c>
      <c r="J77" s="896"/>
    </row>
    <row r="78" spans="1:10" x14ac:dyDescent="0.2">
      <c r="A78" s="815"/>
      <c r="B78" s="692" t="s">
        <v>993</v>
      </c>
      <c r="C78" s="809"/>
      <c r="D78" s="809"/>
      <c r="E78" s="809"/>
      <c r="F78" s="809"/>
      <c r="G78" s="809"/>
      <c r="H78" s="809"/>
      <c r="I78" s="809"/>
      <c r="J78" s="896"/>
    </row>
    <row r="79" spans="1:10" x14ac:dyDescent="0.2">
      <c r="A79" s="815"/>
      <c r="B79" s="692" t="s">
        <v>994</v>
      </c>
      <c r="C79" s="809"/>
      <c r="D79" s="809"/>
      <c r="E79" s="809"/>
      <c r="F79" s="809"/>
      <c r="G79" s="809"/>
      <c r="H79" s="908">
        <f>E35+(E29+E30)/2000</f>
        <v>6.4</v>
      </c>
      <c r="I79" s="692" t="s">
        <v>24</v>
      </c>
      <c r="J79" s="896"/>
    </row>
    <row r="80" spans="1:10" x14ac:dyDescent="0.2">
      <c r="A80" s="815"/>
      <c r="B80" s="692" t="s">
        <v>995</v>
      </c>
      <c r="C80" s="809"/>
      <c r="D80" s="809"/>
      <c r="E80" s="809"/>
      <c r="F80" s="809"/>
      <c r="G80" s="809"/>
      <c r="H80" s="809"/>
      <c r="I80" s="809"/>
      <c r="J80" s="896"/>
    </row>
    <row r="81" spans="1:10" x14ac:dyDescent="0.2">
      <c r="A81" s="815"/>
      <c r="B81" s="692"/>
      <c r="C81" s="809"/>
      <c r="D81" s="809"/>
      <c r="E81" s="809"/>
      <c r="F81" s="809"/>
      <c r="G81" s="809"/>
      <c r="H81" s="809"/>
      <c r="I81" s="809"/>
      <c r="J81" s="896"/>
    </row>
    <row r="82" spans="1:10" x14ac:dyDescent="0.2">
      <c r="A82" s="898" t="s">
        <v>950</v>
      </c>
      <c r="B82" s="809"/>
      <c r="C82" s="809"/>
      <c r="D82" s="809"/>
      <c r="E82" s="809"/>
      <c r="F82" s="809"/>
      <c r="G82" s="809"/>
      <c r="H82" s="809"/>
      <c r="I82" s="809"/>
      <c r="J82" s="896"/>
    </row>
    <row r="83" spans="1:10" x14ac:dyDescent="0.2">
      <c r="A83" s="898" t="s">
        <v>996</v>
      </c>
      <c r="B83" s="809"/>
      <c r="C83" s="809"/>
      <c r="D83" s="809"/>
      <c r="E83" s="809"/>
      <c r="F83" s="809"/>
      <c r="G83" s="809"/>
      <c r="H83" s="809"/>
      <c r="I83" s="809"/>
      <c r="J83" s="896"/>
    </row>
    <row r="84" spans="1:10" x14ac:dyDescent="0.2">
      <c r="A84" s="815"/>
      <c r="B84" s="809"/>
      <c r="C84" s="809"/>
      <c r="D84" s="809"/>
      <c r="E84" s="809"/>
      <c r="F84" s="809"/>
      <c r="G84" s="809"/>
      <c r="H84" s="809"/>
      <c r="I84" s="809"/>
      <c r="J84" s="896"/>
    </row>
    <row r="85" spans="1:10" x14ac:dyDescent="0.2">
      <c r="A85" s="898" t="s">
        <v>950</v>
      </c>
      <c r="B85" s="809"/>
      <c r="C85" s="809"/>
      <c r="D85" s="809"/>
      <c r="E85" s="809"/>
      <c r="F85" s="809"/>
      <c r="G85" s="809"/>
      <c r="H85" s="809"/>
      <c r="I85" s="809"/>
      <c r="J85" s="896"/>
    </row>
    <row r="86" spans="1:10" x14ac:dyDescent="0.2">
      <c r="A86" s="815"/>
      <c r="B86" s="692" t="s">
        <v>997</v>
      </c>
      <c r="C86" s="809"/>
      <c r="D86" s="809"/>
      <c r="E86" s="809"/>
      <c r="F86" s="809"/>
      <c r="G86" s="809"/>
      <c r="H86" s="809"/>
      <c r="I86" s="809"/>
      <c r="J86" s="896"/>
    </row>
    <row r="87" spans="1:10" x14ac:dyDescent="0.2">
      <c r="A87" s="815"/>
      <c r="B87" s="809"/>
      <c r="C87" s="809"/>
      <c r="D87" s="809"/>
      <c r="E87" s="809"/>
      <c r="F87" s="809"/>
      <c r="G87" s="809"/>
      <c r="H87" s="809"/>
      <c r="I87" s="809"/>
      <c r="J87" s="896"/>
    </row>
    <row r="88" spans="1:10" x14ac:dyDescent="0.2">
      <c r="A88" s="815"/>
      <c r="B88" s="692" t="s">
        <v>1750</v>
      </c>
      <c r="C88" s="809"/>
      <c r="D88" s="809"/>
      <c r="E88" s="809"/>
      <c r="F88" s="809"/>
      <c r="G88" s="809"/>
      <c r="H88" s="809"/>
      <c r="I88" s="809"/>
      <c r="J88" s="896"/>
    </row>
    <row r="89" spans="1:10" x14ac:dyDescent="0.2">
      <c r="A89" s="815"/>
      <c r="B89" s="692" t="s">
        <v>1751</v>
      </c>
      <c r="C89" s="809"/>
      <c r="D89" s="809"/>
      <c r="E89" s="809"/>
      <c r="F89" s="809"/>
      <c r="G89" s="809"/>
      <c r="H89" s="809"/>
      <c r="I89" s="809"/>
      <c r="J89" s="896"/>
    </row>
    <row r="90" spans="1:10" x14ac:dyDescent="0.2">
      <c r="A90" s="815"/>
      <c r="B90" s="908" t="str">
        <f>IF(F91&lt;1,"WARNING:  Analysis assumes D &gt; 1 m (distributed load with overlap between wheels)","")</f>
        <v/>
      </c>
      <c r="C90" s="809"/>
      <c r="D90" s="809"/>
      <c r="E90" s="809"/>
      <c r="F90" s="809"/>
      <c r="G90" s="809"/>
      <c r="H90" s="809"/>
      <c r="I90" s="809"/>
      <c r="J90" s="896"/>
    </row>
    <row r="91" spans="1:10" x14ac:dyDescent="0.2">
      <c r="A91" s="815"/>
      <c r="B91" s="692" t="s">
        <v>998</v>
      </c>
      <c r="C91" s="809"/>
      <c r="D91" s="809"/>
      <c r="E91" s="809"/>
      <c r="F91" s="908">
        <f>E10-E13</f>
        <v>1</v>
      </c>
      <c r="G91" s="692" t="s">
        <v>24</v>
      </c>
      <c r="H91" s="809"/>
      <c r="I91" s="809"/>
      <c r="J91" s="896"/>
    </row>
    <row r="92" spans="1:10" x14ac:dyDescent="0.2">
      <c r="A92" s="815"/>
      <c r="B92" s="692" t="s">
        <v>999</v>
      </c>
      <c r="C92" s="809"/>
      <c r="D92" s="809"/>
      <c r="E92" s="809"/>
      <c r="F92" s="908">
        <f>E34*E36+(E34-1)*E33/1000</f>
        <v>1.5</v>
      </c>
      <c r="G92" s="692" t="s">
        <v>24</v>
      </c>
      <c r="H92" s="809"/>
      <c r="I92" s="809"/>
      <c r="J92" s="896"/>
    </row>
    <row r="93" spans="1:10" x14ac:dyDescent="0.2">
      <c r="A93" s="815"/>
      <c r="B93" s="809"/>
      <c r="C93" s="809"/>
      <c r="D93" s="809"/>
      <c r="E93" s="809"/>
      <c r="F93" s="809"/>
      <c r="G93" s="809"/>
      <c r="H93" s="809"/>
      <c r="I93" s="809"/>
      <c r="J93" s="896"/>
    </row>
    <row r="94" spans="1:10" x14ac:dyDescent="0.2">
      <c r="A94" s="815"/>
      <c r="B94" s="908" t="str">
        <f>IF(AND($F$91&gt;$F$92,$F$91&gt;2.5),"D &gt; L  and  D &gt; 2.5 m      Live Load is Negligible.",IF(F91&lt;=F92,"D &lt; L      Live Load is Not Negligible.","D &lt; 2.5 m      Live Load is Not Negligible."))</f>
        <v>D &lt; L      Live Load is Not Negligible.</v>
      </c>
      <c r="C94" s="809"/>
      <c r="D94" s="809"/>
      <c r="E94" s="809"/>
      <c r="F94" s="809"/>
      <c r="G94" s="809"/>
      <c r="H94" s="692" t="s">
        <v>64</v>
      </c>
      <c r="I94" s="809"/>
      <c r="J94" s="896"/>
    </row>
    <row r="95" spans="1:10" x14ac:dyDescent="0.2">
      <c r="A95" s="815"/>
      <c r="B95" s="809"/>
      <c r="C95" s="809"/>
      <c r="D95" s="809"/>
      <c r="E95" s="809"/>
      <c r="F95" s="809"/>
      <c r="G95" s="809"/>
      <c r="H95" s="809"/>
      <c r="I95" s="809"/>
      <c r="J95" s="896"/>
    </row>
    <row r="96" spans="1:10" x14ac:dyDescent="0.2">
      <c r="A96" s="815"/>
      <c r="B96" s="692" t="s">
        <v>1000</v>
      </c>
      <c r="C96" s="809"/>
      <c r="D96" s="809"/>
      <c r="E96" s="809"/>
      <c r="F96" s="809"/>
      <c r="G96" s="809"/>
      <c r="H96" s="809"/>
      <c r="I96" s="809"/>
      <c r="J96" s="896"/>
    </row>
    <row r="97" spans="1:10" x14ac:dyDescent="0.2">
      <c r="A97" s="815"/>
      <c r="B97" s="692" t="s">
        <v>1001</v>
      </c>
      <c r="C97" s="809"/>
      <c r="D97" s="809"/>
      <c r="E97" s="809"/>
      <c r="F97" s="809"/>
      <c r="G97" s="809"/>
      <c r="H97" s="809"/>
      <c r="I97" s="809"/>
      <c r="J97" s="896"/>
    </row>
    <row r="98" spans="1:10" x14ac:dyDescent="0.2">
      <c r="A98" s="815"/>
      <c r="B98" s="809"/>
      <c r="C98" s="809"/>
      <c r="D98" s="809"/>
      <c r="E98" s="809"/>
      <c r="F98" s="809"/>
      <c r="G98" s="809"/>
      <c r="H98" s="809"/>
      <c r="I98" s="809"/>
      <c r="J98" s="896"/>
    </row>
    <row r="99" spans="1:10" x14ac:dyDescent="0.2">
      <c r="A99" s="815"/>
      <c r="B99" s="692" t="s">
        <v>1002</v>
      </c>
      <c r="C99" s="920">
        <f>IF($F$19="H10",89,IF($F$19="H20",178,0))</f>
        <v>178</v>
      </c>
      <c r="D99" s="692" t="s">
        <v>57</v>
      </c>
      <c r="E99" s="920" t="str">
        <f>IF($F$19="H10","(H10 Live Vehicle Loading)",IF($F$19="H20","(H20 Live Vehicle Loading)","(No Live Vehicle Loading)"))</f>
        <v>(H20 Live Vehicle Loading)</v>
      </c>
      <c r="F99" s="809"/>
      <c r="G99" s="809"/>
      <c r="H99" s="809"/>
      <c r="I99" s="809"/>
      <c r="J99" s="896"/>
    </row>
    <row r="100" spans="1:10" x14ac:dyDescent="0.2">
      <c r="A100" s="815"/>
      <c r="B100" s="692" t="s">
        <v>1003</v>
      </c>
      <c r="C100" s="809"/>
      <c r="D100" s="809"/>
      <c r="E100" s="809"/>
      <c r="F100" s="920"/>
      <c r="G100" s="692"/>
      <c r="H100" s="908">
        <f>0.8*C99</f>
        <v>142.4</v>
      </c>
      <c r="I100" s="692" t="s">
        <v>57</v>
      </c>
      <c r="J100" s="896"/>
    </row>
    <row r="101" spans="1:10" x14ac:dyDescent="0.2">
      <c r="A101" s="815"/>
      <c r="B101" s="692" t="s">
        <v>1004</v>
      </c>
      <c r="C101" s="809"/>
      <c r="D101" s="809"/>
      <c r="E101" s="809"/>
      <c r="F101" s="809"/>
      <c r="G101" s="809"/>
      <c r="H101" s="809"/>
      <c r="I101" s="809"/>
      <c r="J101" s="896"/>
    </row>
    <row r="102" spans="1:10" x14ac:dyDescent="0.2">
      <c r="A102" s="815"/>
      <c r="B102" s="809"/>
      <c r="C102" s="809"/>
      <c r="D102" s="809"/>
      <c r="E102" s="809"/>
      <c r="F102" s="809"/>
      <c r="G102" s="809"/>
      <c r="H102" s="809"/>
      <c r="I102" s="809"/>
      <c r="J102" s="896"/>
    </row>
    <row r="103" spans="1:10" x14ac:dyDescent="0.2">
      <c r="A103" s="815"/>
      <c r="B103" s="692" t="s">
        <v>1005</v>
      </c>
      <c r="C103" s="809"/>
      <c r="D103" s="809"/>
      <c r="E103" s="809"/>
      <c r="F103" s="809"/>
      <c r="G103" s="809"/>
      <c r="H103" s="908">
        <f>1.75*F91</f>
        <v>1.75</v>
      </c>
      <c r="I103" s="692" t="s">
        <v>24</v>
      </c>
      <c r="J103" s="896"/>
    </row>
    <row r="104" spans="1:10" x14ac:dyDescent="0.2">
      <c r="A104" s="815"/>
      <c r="B104" s="692" t="s">
        <v>1006</v>
      </c>
      <c r="C104" s="809"/>
      <c r="D104" s="809"/>
      <c r="E104" s="809"/>
      <c r="F104" s="809"/>
      <c r="G104" s="809"/>
      <c r="H104" s="809">
        <f>H103+1.8</f>
        <v>3.55</v>
      </c>
      <c r="I104" s="809" t="s">
        <v>24</v>
      </c>
      <c r="J104" s="896"/>
    </row>
    <row r="105" spans="1:10" x14ac:dyDescent="0.2">
      <c r="A105" s="815"/>
      <c r="B105" s="809"/>
      <c r="C105" s="809"/>
      <c r="D105" s="692" t="s">
        <v>1007</v>
      </c>
      <c r="E105" s="692"/>
      <c r="F105" s="908"/>
      <c r="G105" s="692"/>
      <c r="H105" s="908"/>
      <c r="I105" s="692"/>
      <c r="J105" s="896"/>
    </row>
    <row r="106" spans="1:10" x14ac:dyDescent="0.2">
      <c r="A106" s="815"/>
      <c r="B106" s="809"/>
      <c r="C106" s="809"/>
      <c r="D106" s="809"/>
      <c r="E106" s="692" t="s">
        <v>1008</v>
      </c>
      <c r="F106" s="809"/>
      <c r="G106" s="809"/>
      <c r="H106" s="908">
        <f>E38</f>
        <v>9.9</v>
      </c>
      <c r="I106" s="692" t="s">
        <v>24</v>
      </c>
      <c r="J106" s="896"/>
    </row>
    <row r="107" spans="1:10" x14ac:dyDescent="0.2">
      <c r="A107" s="815"/>
      <c r="B107" s="692" t="s">
        <v>1009</v>
      </c>
      <c r="C107" s="809"/>
      <c r="D107" s="692"/>
      <c r="E107" s="809"/>
      <c r="F107" s="809"/>
      <c r="G107" s="692" t="s">
        <v>1010</v>
      </c>
      <c r="H107" s="908">
        <f>MIN(H104,H106)</f>
        <v>3.55</v>
      </c>
      <c r="I107" s="692" t="s">
        <v>107</v>
      </c>
      <c r="J107" s="896"/>
    </row>
    <row r="108" spans="1:10" x14ac:dyDescent="0.2">
      <c r="A108" s="815"/>
      <c r="B108" s="809"/>
      <c r="C108" s="809"/>
      <c r="D108" s="809"/>
      <c r="E108" s="809"/>
      <c r="F108" s="809"/>
      <c r="G108" s="809"/>
      <c r="H108" s="809"/>
      <c r="I108" s="809"/>
      <c r="J108" s="896"/>
    </row>
    <row r="109" spans="1:10" x14ac:dyDescent="0.2">
      <c r="A109" s="815"/>
      <c r="B109" s="692" t="s">
        <v>1011</v>
      </c>
      <c r="C109" s="809"/>
      <c r="D109" s="908">
        <f>H103</f>
        <v>1.75</v>
      </c>
      <c r="E109" s="692" t="s">
        <v>1012</v>
      </c>
      <c r="F109" s="908">
        <f>H107</f>
        <v>3.55</v>
      </c>
      <c r="G109" s="692" t="s">
        <v>55</v>
      </c>
      <c r="H109" s="908">
        <f>D109*F109</f>
        <v>6.2124999999999995</v>
      </c>
      <c r="I109" s="692" t="s">
        <v>765</v>
      </c>
      <c r="J109" s="896"/>
    </row>
    <row r="110" spans="1:10" x14ac:dyDescent="0.2">
      <c r="A110" s="815"/>
      <c r="B110" s="692" t="s">
        <v>1013</v>
      </c>
      <c r="C110" s="809"/>
      <c r="D110" s="908">
        <f>H100</f>
        <v>142.4</v>
      </c>
      <c r="E110" s="692" t="s">
        <v>1014</v>
      </c>
      <c r="F110" s="908">
        <f>H109</f>
        <v>6.2124999999999995</v>
      </c>
      <c r="G110" s="692" t="s">
        <v>55</v>
      </c>
      <c r="H110" s="908">
        <f>D110/F110</f>
        <v>22.921529175050306</v>
      </c>
      <c r="I110" s="692" t="s">
        <v>35</v>
      </c>
      <c r="J110" s="896"/>
    </row>
    <row r="111" spans="1:10" x14ac:dyDescent="0.2">
      <c r="A111" s="815"/>
      <c r="B111" s="692" t="s">
        <v>1015</v>
      </c>
      <c r="C111" s="809"/>
      <c r="D111" s="809"/>
      <c r="E111" s="809"/>
      <c r="F111" s="809"/>
      <c r="G111" s="809"/>
      <c r="H111" s="908">
        <f>IF(AND($F$91&gt;$F$92,$F$91&gt;2.5),0,H110)</f>
        <v>22.921529175050306</v>
      </c>
      <c r="I111" s="692" t="s">
        <v>35</v>
      </c>
      <c r="J111" s="896"/>
    </row>
    <row r="112" spans="1:10" x14ac:dyDescent="0.2">
      <c r="A112" s="898" t="s">
        <v>986</v>
      </c>
      <c r="B112" s="809"/>
      <c r="C112" s="809"/>
      <c r="D112" s="809"/>
      <c r="E112" s="809"/>
      <c r="F112" s="809"/>
      <c r="G112" s="809"/>
      <c r="H112" s="809"/>
      <c r="I112" s="809"/>
      <c r="J112" s="896"/>
    </row>
    <row r="113" spans="1:10" x14ac:dyDescent="0.2">
      <c r="A113" s="898" t="s">
        <v>950</v>
      </c>
      <c r="B113" s="809"/>
      <c r="C113" s="809"/>
      <c r="D113" s="809"/>
      <c r="E113" s="809"/>
      <c r="F113" s="809"/>
      <c r="G113" s="809"/>
      <c r="H113" s="809"/>
      <c r="I113" s="809"/>
      <c r="J113" s="896"/>
    </row>
    <row r="114" spans="1:10" x14ac:dyDescent="0.2">
      <c r="A114" s="898" t="s">
        <v>1016</v>
      </c>
      <c r="B114" s="809"/>
      <c r="C114" s="809"/>
      <c r="D114" s="809"/>
      <c r="E114" s="809"/>
      <c r="F114" s="809"/>
      <c r="G114" s="809"/>
      <c r="H114" s="809"/>
      <c r="I114" s="809"/>
      <c r="J114" s="896"/>
    </row>
    <row r="115" spans="1:10" x14ac:dyDescent="0.2">
      <c r="A115" s="815"/>
      <c r="B115" s="809"/>
      <c r="C115" s="809"/>
      <c r="D115" s="809"/>
      <c r="E115" s="809"/>
      <c r="F115" s="809"/>
      <c r="G115" s="809"/>
      <c r="H115" s="809"/>
      <c r="I115" s="809"/>
      <c r="J115" s="896"/>
    </row>
    <row r="116" spans="1:10" x14ac:dyDescent="0.2">
      <c r="A116" s="815"/>
      <c r="B116" s="692" t="s">
        <v>1017</v>
      </c>
      <c r="C116" s="809"/>
      <c r="D116" s="809"/>
      <c r="E116" s="809"/>
      <c r="F116" s="809"/>
      <c r="G116" s="809"/>
      <c r="H116" s="809">
        <f>F91*E23</f>
        <v>19.600000000000001</v>
      </c>
      <c r="I116" s="692" t="s">
        <v>35</v>
      </c>
      <c r="J116" s="896"/>
    </row>
    <row r="117" spans="1:10" x14ac:dyDescent="0.2">
      <c r="A117" s="815"/>
      <c r="B117" s="692" t="s">
        <v>1018</v>
      </c>
      <c r="C117" s="809"/>
      <c r="D117" s="809"/>
      <c r="E117" s="809"/>
      <c r="F117" s="809"/>
      <c r="G117" s="809"/>
      <c r="H117" s="809">
        <f>E29/1000*E22</f>
        <v>12.980000000000002</v>
      </c>
      <c r="I117" s="692" t="s">
        <v>35</v>
      </c>
      <c r="J117" s="896"/>
    </row>
    <row r="118" spans="1:10" x14ac:dyDescent="0.2">
      <c r="A118" s="815"/>
      <c r="B118" s="692" t="s">
        <v>1019</v>
      </c>
      <c r="C118" s="809"/>
      <c r="D118" s="809"/>
      <c r="E118" s="809"/>
      <c r="F118" s="809"/>
      <c r="G118" s="809"/>
      <c r="H118" s="908">
        <f>H111</f>
        <v>22.921529175050306</v>
      </c>
      <c r="I118" s="692" t="s">
        <v>35</v>
      </c>
      <c r="J118" s="896"/>
    </row>
    <row r="119" spans="1:10" x14ac:dyDescent="0.2">
      <c r="A119" s="815"/>
      <c r="B119" s="692" t="s">
        <v>1020</v>
      </c>
      <c r="C119" s="809"/>
      <c r="D119" s="809"/>
      <c r="E119" s="809"/>
      <c r="F119" s="809"/>
      <c r="G119" s="809"/>
      <c r="H119" s="908">
        <f>H116+H117+H118</f>
        <v>55.501529175050308</v>
      </c>
      <c r="I119" s="692" t="s">
        <v>35</v>
      </c>
      <c r="J119" s="896"/>
    </row>
    <row r="120" spans="1:10" x14ac:dyDescent="0.2">
      <c r="A120" s="815"/>
      <c r="B120" s="809"/>
      <c r="C120" s="809"/>
      <c r="D120" s="809"/>
      <c r="E120" s="809"/>
      <c r="F120" s="809"/>
      <c r="G120" s="809"/>
      <c r="H120" s="809"/>
      <c r="I120" s="809"/>
      <c r="J120" s="896"/>
    </row>
    <row r="121" spans="1:10" x14ac:dyDescent="0.2">
      <c r="A121" s="898" t="s">
        <v>950</v>
      </c>
      <c r="B121" s="809"/>
      <c r="C121" s="809"/>
      <c r="D121" s="809"/>
      <c r="E121" s="809"/>
      <c r="F121" s="809"/>
      <c r="G121" s="809"/>
      <c r="H121" s="809"/>
      <c r="I121" s="809"/>
      <c r="J121" s="896"/>
    </row>
    <row r="122" spans="1:10" x14ac:dyDescent="0.2">
      <c r="A122" s="815"/>
      <c r="B122" s="692" t="s">
        <v>1021</v>
      </c>
      <c r="C122" s="809"/>
      <c r="D122" s="809"/>
      <c r="E122" s="809"/>
      <c r="F122" s="809"/>
      <c r="G122" s="809"/>
      <c r="H122" s="809"/>
      <c r="I122" s="809"/>
      <c r="J122" s="896"/>
    </row>
    <row r="123" spans="1:10" x14ac:dyDescent="0.2">
      <c r="A123" s="815"/>
      <c r="B123" s="692" t="s">
        <v>1022</v>
      </c>
      <c r="C123" s="809"/>
      <c r="D123" s="809"/>
      <c r="E123" s="809"/>
      <c r="F123" s="809"/>
      <c r="G123" s="809"/>
      <c r="H123" s="809">
        <f>2*E35*(E31+E32)/2000*E22/H73</f>
        <v>65.510344827586209</v>
      </c>
      <c r="I123" s="692" t="s">
        <v>35</v>
      </c>
      <c r="J123" s="896"/>
    </row>
    <row r="124" spans="1:10" x14ac:dyDescent="0.2">
      <c r="A124" s="815"/>
      <c r="B124" s="692" t="s">
        <v>1023</v>
      </c>
      <c r="C124" s="809"/>
      <c r="D124" s="809"/>
      <c r="E124" s="809"/>
      <c r="F124" s="809"/>
      <c r="G124" s="809"/>
      <c r="H124" s="809">
        <f>(E34-1)*E35*E33/1000*E22/H73</f>
        <v>0</v>
      </c>
      <c r="I124" s="692" t="s">
        <v>35</v>
      </c>
      <c r="J124" s="896"/>
    </row>
    <row r="125" spans="1:10" x14ac:dyDescent="0.2">
      <c r="A125" s="815"/>
      <c r="B125" s="692" t="s">
        <v>1024</v>
      </c>
      <c r="C125" s="809"/>
      <c r="D125" s="809"/>
      <c r="E125" s="809"/>
      <c r="F125" s="908"/>
      <c r="G125" s="692"/>
      <c r="H125" s="908">
        <f>H119</f>
        <v>55.501529175050308</v>
      </c>
      <c r="I125" s="692" t="s">
        <v>35</v>
      </c>
      <c r="J125" s="896"/>
    </row>
    <row r="126" spans="1:10" x14ac:dyDescent="0.2">
      <c r="A126" s="815"/>
      <c r="B126" s="692" t="s">
        <v>1025</v>
      </c>
      <c r="C126" s="809"/>
      <c r="D126" s="809"/>
      <c r="E126" s="809"/>
      <c r="F126" s="809"/>
      <c r="G126" s="809"/>
      <c r="H126" s="908">
        <f>H123+H124+H125</f>
        <v>121.01187400263652</v>
      </c>
      <c r="I126" s="692" t="s">
        <v>35</v>
      </c>
      <c r="J126" s="896"/>
    </row>
    <row r="127" spans="1:10" x14ac:dyDescent="0.2">
      <c r="A127" s="815"/>
      <c r="B127" s="809"/>
      <c r="C127" s="809"/>
      <c r="D127" s="809"/>
      <c r="E127" s="809"/>
      <c r="F127" s="809"/>
      <c r="G127" s="908"/>
      <c r="H127" s="809"/>
      <c r="I127" s="809"/>
      <c r="J127" s="896"/>
    </row>
    <row r="128" spans="1:10" x14ac:dyDescent="0.2">
      <c r="A128" s="898" t="s">
        <v>950</v>
      </c>
      <c r="B128" s="809"/>
      <c r="C128" s="809"/>
      <c r="D128" s="809"/>
      <c r="E128" s="809"/>
      <c r="F128" s="809"/>
      <c r="G128" s="809"/>
      <c r="H128" s="809"/>
      <c r="I128" s="809"/>
      <c r="J128" s="896"/>
    </row>
    <row r="129" spans="1:10" x14ac:dyDescent="0.2">
      <c r="A129" s="815"/>
      <c r="B129" s="692" t="s">
        <v>1026</v>
      </c>
      <c r="C129" s="809"/>
      <c r="D129" s="809"/>
      <c r="E129" s="809"/>
      <c r="F129" s="809"/>
      <c r="G129" s="809"/>
      <c r="H129" s="809"/>
      <c r="I129" s="809"/>
      <c r="J129" s="896"/>
    </row>
    <row r="130" spans="1:10" x14ac:dyDescent="0.2">
      <c r="A130" s="815"/>
      <c r="B130" s="809"/>
      <c r="C130" s="809"/>
      <c r="D130" s="809"/>
      <c r="E130" s="809"/>
      <c r="F130" s="809"/>
      <c r="G130" s="809"/>
      <c r="H130" s="809"/>
      <c r="I130" s="809"/>
      <c r="J130" s="896"/>
    </row>
    <row r="131" spans="1:10" x14ac:dyDescent="0.2">
      <c r="A131" s="815"/>
      <c r="B131" s="692" t="s">
        <v>1027</v>
      </c>
      <c r="C131" s="809"/>
      <c r="D131" s="809"/>
      <c r="E131" s="809"/>
      <c r="F131" s="809"/>
      <c r="G131" s="809"/>
      <c r="H131" s="809">
        <f>F27*H132*E23</f>
        <v>31.596544107279541</v>
      </c>
      <c r="I131" s="692" t="s">
        <v>35</v>
      </c>
      <c r="J131" s="896"/>
    </row>
    <row r="132" spans="1:10" x14ac:dyDescent="0.2">
      <c r="A132" s="815"/>
      <c r="B132" s="902" t="s">
        <v>1028</v>
      </c>
      <c r="C132" s="809"/>
      <c r="D132" s="809"/>
      <c r="E132" s="809"/>
      <c r="F132" s="809"/>
      <c r="G132" s="809"/>
      <c r="H132" s="908">
        <f>IF(F19="H10",E10-E13+E29/2000+0.6,IF(F19="H20",E10-E13+E29/2000+0.9,E10-E13+E29/2000))</f>
        <v>2.1749999999999998</v>
      </c>
      <c r="I132" s="809" t="s">
        <v>24</v>
      </c>
      <c r="J132" s="896"/>
    </row>
    <row r="133" spans="1:10" x14ac:dyDescent="0.2">
      <c r="A133" s="815"/>
      <c r="B133" s="692" t="s">
        <v>1029</v>
      </c>
      <c r="C133" s="809"/>
      <c r="D133" s="809"/>
      <c r="E133" s="809"/>
      <c r="F133" s="809"/>
      <c r="G133" s="809"/>
      <c r="H133" s="809"/>
      <c r="I133" s="809"/>
      <c r="J133" s="896"/>
    </row>
    <row r="134" spans="1:10" x14ac:dyDescent="0.2">
      <c r="A134" s="815"/>
      <c r="B134" s="692" t="s">
        <v>1030</v>
      </c>
      <c r="C134" s="908" t="str">
        <f>IF(F19="H10"," For H10 Loading, the Height of Soil Surcharge is 0.60 m.",IF(F19="H20"," For H20 Loading, the Height of Soil Surcharge is 0.90 m."," The Height of Soil Surcharge is zero for no Live Vehicle Loading."))</f>
        <v xml:space="preserve"> For H20 Loading, the Height of Soil Surcharge is 0.90 m.</v>
      </c>
      <c r="D134" s="809"/>
      <c r="E134" s="809"/>
      <c r="F134" s="809"/>
      <c r="G134" s="809"/>
      <c r="H134" s="809"/>
      <c r="I134" s="809"/>
      <c r="J134" s="896"/>
    </row>
    <row r="135" spans="1:10" x14ac:dyDescent="0.2">
      <c r="A135" s="815"/>
      <c r="B135" s="692" t="s">
        <v>1031</v>
      </c>
      <c r="C135" s="809"/>
      <c r="D135" s="809"/>
      <c r="E135" s="809"/>
      <c r="F135" s="809"/>
      <c r="G135" s="809"/>
      <c r="H135" s="809">
        <f>F27*H136*E23</f>
        <v>124.57028308961934</v>
      </c>
      <c r="I135" s="692" t="s">
        <v>35</v>
      </c>
      <c r="J135" s="896"/>
    </row>
    <row r="136" spans="1:10" x14ac:dyDescent="0.2">
      <c r="A136" s="815"/>
      <c r="B136" s="919" t="s">
        <v>1032</v>
      </c>
      <c r="C136" s="809"/>
      <c r="D136" s="809"/>
      <c r="E136" s="809"/>
      <c r="F136" s="809"/>
      <c r="G136" s="809"/>
      <c r="H136" s="908">
        <f>IF(F19="H10",E10-E13+E29/1000+E35+E30/2000+0.6,IF(F19="H20",E10-E13+E29/1000+E35+E30/2000+0.9,E10-E13+E29/1000+E35+E30/2000))</f>
        <v>8.5749999999999993</v>
      </c>
      <c r="I136" s="809" t="s">
        <v>24</v>
      </c>
      <c r="J136" s="896"/>
    </row>
    <row r="137" spans="1:10" x14ac:dyDescent="0.2">
      <c r="A137" s="898" t="s">
        <v>986</v>
      </c>
      <c r="B137" s="809"/>
      <c r="C137" s="809"/>
      <c r="D137" s="809"/>
      <c r="E137" s="809"/>
      <c r="F137" s="809"/>
      <c r="G137" s="809"/>
      <c r="H137" s="809"/>
      <c r="I137" s="809"/>
      <c r="J137" s="896"/>
    </row>
    <row r="138" spans="1:10" ht="13.5" thickBot="1" x14ac:dyDescent="0.25">
      <c r="A138" s="925" t="s">
        <v>950</v>
      </c>
      <c r="B138" s="821"/>
      <c r="C138" s="821"/>
      <c r="D138" s="821"/>
      <c r="E138" s="821"/>
      <c r="F138" s="821"/>
      <c r="G138" s="821"/>
      <c r="H138" s="821"/>
      <c r="I138" s="927"/>
      <c r="J138" s="928" t="s">
        <v>2388</v>
      </c>
    </row>
    <row r="139" spans="1:10" x14ac:dyDescent="0.2">
      <c r="B139" s="274" t="s">
        <v>1033</v>
      </c>
    </row>
    <row r="141" spans="1:10" x14ac:dyDescent="0.2">
      <c r="B141" s="274" t="s">
        <v>1034</v>
      </c>
    </row>
    <row r="142" spans="1:10" x14ac:dyDescent="0.2">
      <c r="B142" s="274" t="s">
        <v>1035</v>
      </c>
    </row>
    <row r="144" spans="1:10" x14ac:dyDescent="0.2">
      <c r="B144" s="274" t="s">
        <v>1036</v>
      </c>
      <c r="H144" s="293">
        <f>E16</f>
        <v>1.1500000000000001</v>
      </c>
      <c r="I144" s="274" t="s">
        <v>24</v>
      </c>
    </row>
    <row r="145" spans="1:9" x14ac:dyDescent="0.2">
      <c r="B145" s="274"/>
      <c r="E145" s="278" t="str">
        <f>IF(H144&lt;E139-E152/2000,"ERROR:  Max.Water Level must be greater than Top Slab C/l!!","")</f>
        <v/>
      </c>
    </row>
    <row r="146" spans="1:9" x14ac:dyDescent="0.2">
      <c r="B146" s="274" t="s">
        <v>1037</v>
      </c>
      <c r="H146" s="174">
        <f>F147*E24</f>
        <v>-36.051749999999998</v>
      </c>
      <c r="I146" s="274" t="s">
        <v>35</v>
      </c>
    </row>
    <row r="147" spans="1:9" x14ac:dyDescent="0.2">
      <c r="D147" s="174" t="s">
        <v>1038</v>
      </c>
      <c r="F147" s="278">
        <f>E16-$E$13+$E$29/2000</f>
        <v>-3.6749999999999994</v>
      </c>
    </row>
    <row r="148" spans="1:9" x14ac:dyDescent="0.2">
      <c r="B148" s="274" t="s">
        <v>1039</v>
      </c>
      <c r="H148" s="174">
        <f>F149*E24</f>
        <v>26.732250000000008</v>
      </c>
      <c r="I148" s="274" t="s">
        <v>35</v>
      </c>
    </row>
    <row r="149" spans="1:9" x14ac:dyDescent="0.2">
      <c r="C149" s="274"/>
      <c r="D149" s="174" t="s">
        <v>1038</v>
      </c>
      <c r="E149" s="274"/>
      <c r="F149" s="278">
        <f>E16-$E$13+$E$29/1000+$E$35+$E$30/2000</f>
        <v>2.7250000000000005</v>
      </c>
      <c r="G149" s="274"/>
      <c r="H149" s="278"/>
    </row>
    <row r="151" spans="1:9" x14ac:dyDescent="0.2">
      <c r="A151" s="274" t="s">
        <v>950</v>
      </c>
    </row>
    <row r="152" spans="1:9" x14ac:dyDescent="0.2">
      <c r="A152" s="274" t="s">
        <v>1040</v>
      </c>
    </row>
    <row r="154" spans="1:9" x14ac:dyDescent="0.2">
      <c r="B154" s="274" t="s">
        <v>1041</v>
      </c>
      <c r="E154" s="293">
        <f>H119</f>
        <v>55.501529175050308</v>
      </c>
      <c r="F154" s="274" t="s">
        <v>35</v>
      </c>
    </row>
    <row r="155" spans="1:9" x14ac:dyDescent="0.2">
      <c r="B155" s="274" t="s">
        <v>1042</v>
      </c>
      <c r="E155" s="293">
        <f>H126</f>
        <v>121.01187400263652</v>
      </c>
      <c r="F155" s="274" t="s">
        <v>35</v>
      </c>
    </row>
    <row r="156" spans="1:9" x14ac:dyDescent="0.2">
      <c r="E156" s="169"/>
    </row>
    <row r="157" spans="1:9" x14ac:dyDescent="0.2">
      <c r="B157" s="274" t="s">
        <v>1043</v>
      </c>
      <c r="E157" s="169"/>
    </row>
    <row r="158" spans="1:9" x14ac:dyDescent="0.2">
      <c r="B158" s="274" t="s">
        <v>1044</v>
      </c>
      <c r="E158" s="293">
        <f>H131</f>
        <v>31.596544107279541</v>
      </c>
      <c r="F158" s="274" t="s">
        <v>35</v>
      </c>
    </row>
    <row r="159" spans="1:9" x14ac:dyDescent="0.2">
      <c r="B159" s="274" t="s">
        <v>1045</v>
      </c>
      <c r="E159" s="293">
        <f>H135</f>
        <v>124.57028308961934</v>
      </c>
      <c r="F159" s="274" t="s">
        <v>35</v>
      </c>
    </row>
    <row r="160" spans="1:9" x14ac:dyDescent="0.2">
      <c r="E160" s="169"/>
    </row>
    <row r="161" spans="1:6" x14ac:dyDescent="0.2">
      <c r="B161" s="274" t="s">
        <v>1046</v>
      </c>
      <c r="E161" s="169"/>
    </row>
    <row r="162" spans="1:6" x14ac:dyDescent="0.2">
      <c r="B162" s="274" t="s">
        <v>1044</v>
      </c>
      <c r="E162" s="168">
        <f>H146</f>
        <v>-36.051749999999998</v>
      </c>
      <c r="F162" s="274" t="s">
        <v>35</v>
      </c>
    </row>
    <row r="163" spans="1:6" x14ac:dyDescent="0.2">
      <c r="B163" s="274" t="s">
        <v>1045</v>
      </c>
      <c r="E163" s="168">
        <f>H148</f>
        <v>26.732250000000008</v>
      </c>
      <c r="F163" s="274" t="s">
        <v>35</v>
      </c>
    </row>
    <row r="164" spans="1:6" x14ac:dyDescent="0.2">
      <c r="B164" s="274"/>
      <c r="E164" s="278"/>
      <c r="F164" s="274"/>
    </row>
    <row r="165" spans="1:6" x14ac:dyDescent="0.2">
      <c r="A165" s="274" t="s">
        <v>986</v>
      </c>
    </row>
    <row r="166" spans="1:6" x14ac:dyDescent="0.2">
      <c r="A166" s="274" t="s">
        <v>950</v>
      </c>
    </row>
    <row r="167" spans="1:6" x14ac:dyDescent="0.2">
      <c r="A167" s="274" t="s">
        <v>1047</v>
      </c>
    </row>
    <row r="169" spans="1:6" ht="14.25" x14ac:dyDescent="0.2">
      <c r="B169" s="171" t="s">
        <v>1786</v>
      </c>
    </row>
    <row r="170" spans="1:6" ht="14.25" x14ac:dyDescent="0.2">
      <c r="B170" s="171" t="s">
        <v>1787</v>
      </c>
      <c r="C170" s="169"/>
    </row>
    <row r="171" spans="1:6" x14ac:dyDescent="0.2">
      <c r="B171" s="171"/>
      <c r="C171" s="169"/>
    </row>
    <row r="172" spans="1:6" x14ac:dyDescent="0.2">
      <c r="B172" s="171" t="s">
        <v>1788</v>
      </c>
      <c r="C172" s="169"/>
    </row>
    <row r="173" spans="1:6" x14ac:dyDescent="0.2">
      <c r="B173" s="171" t="s">
        <v>1789</v>
      </c>
      <c r="C173" s="169"/>
    </row>
    <row r="175" spans="1:6" x14ac:dyDescent="0.2">
      <c r="C175" s="274" t="s">
        <v>1048</v>
      </c>
    </row>
    <row r="177" spans="1:8" x14ac:dyDescent="0.2">
      <c r="C177" s="274" t="s">
        <v>1049</v>
      </c>
      <c r="D177" s="274" t="s">
        <v>1050</v>
      </c>
      <c r="E177" s="274" t="s">
        <v>1051</v>
      </c>
      <c r="F177" s="274" t="s">
        <v>1052</v>
      </c>
      <c r="G177" s="274" t="s">
        <v>1053</v>
      </c>
    </row>
    <row r="178" spans="1:8" x14ac:dyDescent="0.2">
      <c r="C178" s="274" t="s">
        <v>1054</v>
      </c>
      <c r="D178" s="274" t="s">
        <v>1054</v>
      </c>
      <c r="E178" s="274" t="s">
        <v>1054</v>
      </c>
      <c r="F178" s="274" t="s">
        <v>1054</v>
      </c>
      <c r="G178" s="274" t="s">
        <v>1055</v>
      </c>
    </row>
    <row r="179" spans="1:8" x14ac:dyDescent="0.2">
      <c r="C179" s="282" t="s">
        <v>1056</v>
      </c>
      <c r="D179" s="282" t="s">
        <v>1056</v>
      </c>
      <c r="E179" s="282" t="s">
        <v>1056</v>
      </c>
      <c r="F179" s="282" t="s">
        <v>1056</v>
      </c>
      <c r="G179" s="282" t="s">
        <v>1056</v>
      </c>
    </row>
    <row r="180" spans="1:8" x14ac:dyDescent="0.2">
      <c r="C180" s="282" t="s">
        <v>1056</v>
      </c>
      <c r="D180" s="282" t="s">
        <v>1056</v>
      </c>
      <c r="E180" s="282" t="s">
        <v>1056</v>
      </c>
      <c r="F180" s="282" t="s">
        <v>1056</v>
      </c>
      <c r="G180" s="282" t="s">
        <v>1056</v>
      </c>
    </row>
    <row r="181" spans="1:8" x14ac:dyDescent="0.2">
      <c r="C181" s="282" t="s">
        <v>1057</v>
      </c>
      <c r="D181" s="282" t="s">
        <v>1058</v>
      </c>
      <c r="E181" s="282" t="s">
        <v>1059</v>
      </c>
      <c r="F181" s="282" t="s">
        <v>1060</v>
      </c>
      <c r="G181" s="282" t="s">
        <v>1061</v>
      </c>
    </row>
    <row r="182" spans="1:8" x14ac:dyDescent="0.2">
      <c r="C182" s="282" t="s">
        <v>1056</v>
      </c>
      <c r="D182" s="282" t="s">
        <v>1056</v>
      </c>
      <c r="E182" s="282" t="s">
        <v>1056</v>
      </c>
      <c r="F182" s="282" t="s">
        <v>1056</v>
      </c>
      <c r="G182" s="282" t="s">
        <v>1056</v>
      </c>
    </row>
    <row r="183" spans="1:8" x14ac:dyDescent="0.2">
      <c r="C183" s="282" t="s">
        <v>1056</v>
      </c>
      <c r="D183" s="282" t="s">
        <v>1056</v>
      </c>
      <c r="E183" s="282" t="s">
        <v>1056</v>
      </c>
      <c r="F183" s="282" t="s">
        <v>1056</v>
      </c>
      <c r="G183" s="282" t="s">
        <v>1056</v>
      </c>
    </row>
    <row r="184" spans="1:8" x14ac:dyDescent="0.2">
      <c r="C184" s="274" t="s">
        <v>1054</v>
      </c>
      <c r="D184" s="274" t="s">
        <v>1054</v>
      </c>
      <c r="E184" s="274" t="s">
        <v>1054</v>
      </c>
      <c r="F184" s="274" t="s">
        <v>1054</v>
      </c>
      <c r="G184" s="274" t="s">
        <v>1055</v>
      </c>
    </row>
    <row r="185" spans="1:8" x14ac:dyDescent="0.2">
      <c r="C185" s="274" t="s">
        <v>209</v>
      </c>
      <c r="D185" s="274" t="s">
        <v>1062</v>
      </c>
      <c r="E185" s="274" t="s">
        <v>1063</v>
      </c>
      <c r="F185" s="274" t="s">
        <v>207</v>
      </c>
      <c r="G185" s="274" t="s">
        <v>1064</v>
      </c>
    </row>
    <row r="187" spans="1:8" x14ac:dyDescent="0.2">
      <c r="B187" s="274" t="s">
        <v>1065</v>
      </c>
    </row>
    <row r="188" spans="1:8" x14ac:dyDescent="0.2">
      <c r="A188" s="275"/>
      <c r="B188" s="274" t="s">
        <v>1066</v>
      </c>
    </row>
    <row r="189" spans="1:8" x14ac:dyDescent="0.2">
      <c r="A189" s="275"/>
      <c r="B189" s="274" t="s">
        <v>1049</v>
      </c>
      <c r="C189" s="274" t="s">
        <v>1067</v>
      </c>
      <c r="D189" s="278">
        <f>E31/1000</f>
        <v>0.7</v>
      </c>
      <c r="E189" s="278">
        <f>H79</f>
        <v>6.4</v>
      </c>
      <c r="F189" s="286">
        <f>D189^3/E189</f>
        <v>5.3593749999999982E-2</v>
      </c>
      <c r="G189" s="286">
        <f>SUM(F189:F190)</f>
        <v>0.12921874999999999</v>
      </c>
      <c r="H189" s="286">
        <f>F189/G189</f>
        <v>0.41475211608222479</v>
      </c>
    </row>
    <row r="190" spans="1:8" x14ac:dyDescent="0.2">
      <c r="A190" s="275"/>
      <c r="C190" s="274" t="s">
        <v>1068</v>
      </c>
      <c r="D190" s="278">
        <f>E29/1000</f>
        <v>0.55000000000000004</v>
      </c>
      <c r="E190" s="278">
        <f>H75</f>
        <v>2.2000000000000002</v>
      </c>
      <c r="F190" s="286">
        <f>D190^3/E190</f>
        <v>7.5625000000000012E-2</v>
      </c>
      <c r="G190" s="286"/>
      <c r="H190" s="286">
        <f>F190/G189</f>
        <v>0.58524788391777516</v>
      </c>
    </row>
    <row r="191" spans="1:8" x14ac:dyDescent="0.2">
      <c r="A191" s="275"/>
      <c r="B191" s="274" t="s">
        <v>209</v>
      </c>
      <c r="C191" s="274" t="s">
        <v>1069</v>
      </c>
      <c r="D191" s="278">
        <f>E32/1000</f>
        <v>0.7</v>
      </c>
      <c r="E191" s="278">
        <f>H79</f>
        <v>6.4</v>
      </c>
      <c r="F191" s="286">
        <f>D191^3/E191</f>
        <v>5.3593749999999982E-2</v>
      </c>
      <c r="G191" s="286">
        <f>SUM(F191:F192)</f>
        <v>0.24535511363636359</v>
      </c>
      <c r="H191" s="286">
        <f>F191/G191</f>
        <v>0.21843339315695012</v>
      </c>
    </row>
    <row r="192" spans="1:8" x14ac:dyDescent="0.2">
      <c r="A192" s="275"/>
      <c r="C192" s="274" t="s">
        <v>1070</v>
      </c>
      <c r="D192" s="278">
        <f>E30/1000</f>
        <v>0.75</v>
      </c>
      <c r="E192" s="278">
        <f>H76</f>
        <v>2.2000000000000002</v>
      </c>
      <c r="F192" s="286">
        <f>D192^3/E192</f>
        <v>0.19176136363636362</v>
      </c>
      <c r="G192" s="286"/>
      <c r="H192" s="286">
        <f>F192/G191</f>
        <v>0.7815666068430499</v>
      </c>
    </row>
    <row r="193" spans="1:8" x14ac:dyDescent="0.2">
      <c r="A193" s="275"/>
      <c r="B193" s="274" t="s">
        <v>1050</v>
      </c>
      <c r="C193" s="274" t="s">
        <v>1071</v>
      </c>
      <c r="D193" s="278">
        <f>IF($E$34&gt;1,$E$29/1000,0)</f>
        <v>0</v>
      </c>
      <c r="E193" s="278">
        <f>IF($E$34&gt;1,+H75,0)</f>
        <v>0</v>
      </c>
      <c r="F193" s="286">
        <f>IF(D195=0,0,IF(D193=0,0,D193^3/E193))</f>
        <v>0</v>
      </c>
      <c r="G193" s="286">
        <f>SUM(F193:F195)</f>
        <v>0</v>
      </c>
      <c r="H193" s="286">
        <f>IF(D195=0,0,F193/G193)</f>
        <v>0</v>
      </c>
    </row>
    <row r="194" spans="1:8" x14ac:dyDescent="0.2">
      <c r="A194" s="275"/>
      <c r="C194" s="274" t="s">
        <v>1072</v>
      </c>
      <c r="D194" s="278">
        <f>IF($E$34&gt;1,$E$33/1000,0)</f>
        <v>0</v>
      </c>
      <c r="E194" s="278">
        <f>IF($E$34&gt;1,+$H$79,0)</f>
        <v>0</v>
      </c>
      <c r="F194" s="286">
        <f>IF(D195=0,0,IF(D194=0,0,D194^3/E194))</f>
        <v>0</v>
      </c>
      <c r="G194" s="286"/>
      <c r="H194" s="286">
        <f>IF(D195=0,0,F194/G193)</f>
        <v>0</v>
      </c>
    </row>
    <row r="195" spans="1:8" x14ac:dyDescent="0.2">
      <c r="A195" s="275"/>
      <c r="C195" s="274" t="s">
        <v>1073</v>
      </c>
      <c r="D195" s="278">
        <f>IF($E$34&gt;2,$E$29/1000,0)</f>
        <v>0</v>
      </c>
      <c r="E195" s="278">
        <f>IF($E$34&gt;2,+$H$77,0)</f>
        <v>0</v>
      </c>
      <c r="F195" s="286">
        <f>IF(D195=0,0,D195^3/E195)</f>
        <v>0</v>
      </c>
      <c r="G195" s="286"/>
      <c r="H195" s="286">
        <f>IF(D195=0,0,F195/G193)</f>
        <v>0</v>
      </c>
    </row>
    <row r="196" spans="1:8" x14ac:dyDescent="0.2">
      <c r="A196" s="275"/>
      <c r="B196" s="274" t="s">
        <v>1062</v>
      </c>
      <c r="C196" s="274" t="s">
        <v>1074</v>
      </c>
      <c r="D196" s="278">
        <f>IF($E$34&gt;1,$E$30/1000,0)</f>
        <v>0</v>
      </c>
      <c r="E196" s="278">
        <f>IF($E$34&gt;1,+H76,0)</f>
        <v>0</v>
      </c>
      <c r="F196" s="286">
        <f>IF(D198=0,0,IF(D196=0,0,D196^3/E196))</f>
        <v>0</v>
      </c>
      <c r="G196" s="286">
        <f>SUM(F196:F198)</f>
        <v>0</v>
      </c>
      <c r="H196" s="286">
        <f>IF(D198=0,0,F196/G196)</f>
        <v>0</v>
      </c>
    </row>
    <row r="197" spans="1:8" x14ac:dyDescent="0.2">
      <c r="A197" s="275"/>
      <c r="C197" s="274" t="s">
        <v>1075</v>
      </c>
      <c r="D197" s="278">
        <f>IF($E$34&gt;1,$E$33/1000,0)</f>
        <v>0</v>
      </c>
      <c r="E197" s="278">
        <f>IF($E$34&gt;1,+$H$79,0)</f>
        <v>0</v>
      </c>
      <c r="F197" s="286">
        <f>IF(D198=0,0,IF(D197=0,0,D197^3/E197))</f>
        <v>0</v>
      </c>
      <c r="G197" s="286"/>
      <c r="H197" s="286">
        <f>IF(D198=0,0,F197/G196)</f>
        <v>0</v>
      </c>
    </row>
    <row r="198" spans="1:8" x14ac:dyDescent="0.2">
      <c r="A198" s="275"/>
      <c r="C198" s="274" t="s">
        <v>1076</v>
      </c>
      <c r="D198" s="278">
        <f>IF($E$34&gt;2,$E$30/1000,0)</f>
        <v>0</v>
      </c>
      <c r="E198" s="278">
        <f>IF($E$34&gt;2,+$H$77,0)</f>
        <v>0</v>
      </c>
      <c r="F198" s="286">
        <f>IF(D198=0,0,D198^3/E198)</f>
        <v>0</v>
      </c>
      <c r="G198" s="286"/>
      <c r="H198" s="286">
        <f>IF(D198=0,0,F198/G196)</f>
        <v>0</v>
      </c>
    </row>
    <row r="199" spans="1:8" x14ac:dyDescent="0.2">
      <c r="A199" s="276" t="s">
        <v>1077</v>
      </c>
      <c r="B199" s="274" t="s">
        <v>1051</v>
      </c>
      <c r="C199" s="274" t="s">
        <v>1078</v>
      </c>
      <c r="D199" s="278">
        <f>IF($E$34&gt;3,$E$29/1000,0)</f>
        <v>0</v>
      </c>
      <c r="E199" s="278">
        <f>IF($E$34&gt;3,+$H$77,0)</f>
        <v>0</v>
      </c>
      <c r="F199" s="286">
        <f>IF(D201=0,0,IF(D199=0,0,D199^3/E199))</f>
        <v>0</v>
      </c>
      <c r="G199" s="286">
        <f>SUM(F199:F201)</f>
        <v>0</v>
      </c>
      <c r="H199" s="286">
        <f>IF(D201=0,0,F199/G199)</f>
        <v>0</v>
      </c>
    </row>
    <row r="200" spans="1:8" x14ac:dyDescent="0.2">
      <c r="A200" s="276" t="s">
        <v>1077</v>
      </c>
      <c r="C200" s="274" t="s">
        <v>1079</v>
      </c>
      <c r="D200" s="278">
        <f>IF($E$34&gt;3,$E$33/1000,0)</f>
        <v>0</v>
      </c>
      <c r="E200" s="278">
        <f>IF($E$34&gt;3,+$H$79,0)</f>
        <v>0</v>
      </c>
      <c r="F200" s="286">
        <f>IF(D201=0,0,IF(D200=0,0,D200^3/E200))</f>
        <v>0</v>
      </c>
      <c r="G200" s="286"/>
      <c r="H200" s="286">
        <f>IF(D201=0,0,F200/G199)</f>
        <v>0</v>
      </c>
    </row>
    <row r="201" spans="1:8" x14ac:dyDescent="0.2">
      <c r="A201" s="276" t="s">
        <v>1077</v>
      </c>
      <c r="C201" s="274" t="s">
        <v>1080</v>
      </c>
      <c r="D201" s="278">
        <f>IF($E$34&gt;4,$E$29/1000,0)</f>
        <v>0</v>
      </c>
      <c r="E201" s="278">
        <f>IF($E$34&gt;4,+$H$77,0)</f>
        <v>0</v>
      </c>
      <c r="F201" s="286">
        <f>IF(D201=0,0,D201^3/E201)</f>
        <v>0</v>
      </c>
      <c r="G201" s="286"/>
      <c r="H201" s="286">
        <f>IF(D201=0,0,F201/G199)</f>
        <v>0</v>
      </c>
    </row>
    <row r="202" spans="1:8" x14ac:dyDescent="0.2">
      <c r="A202" s="276" t="s">
        <v>1077</v>
      </c>
      <c r="B202" s="274" t="s">
        <v>1063</v>
      </c>
      <c r="C202" s="274" t="s">
        <v>1081</v>
      </c>
      <c r="D202" s="278">
        <f>IF($E$34&gt;3,$E$30/1000,0)</f>
        <v>0</v>
      </c>
      <c r="E202" s="278">
        <f>IF($E$34&gt;3,+$H$77,0)</f>
        <v>0</v>
      </c>
      <c r="F202" s="286">
        <f>IF(D204=0,0,IF(D202=0,0,D202^3/E202))</f>
        <v>0</v>
      </c>
      <c r="G202" s="286">
        <f>SUM(F202:F204)</f>
        <v>0</v>
      </c>
      <c r="H202" s="286">
        <f>IF(D204=0,0,F202/G202)</f>
        <v>0</v>
      </c>
    </row>
    <row r="203" spans="1:8" x14ac:dyDescent="0.2">
      <c r="A203" s="276" t="s">
        <v>1077</v>
      </c>
      <c r="C203" s="274" t="s">
        <v>1082</v>
      </c>
      <c r="D203" s="278">
        <f>IF($E$34&gt;3,$E$33/1000,0)</f>
        <v>0</v>
      </c>
      <c r="E203" s="278">
        <f>IF($E$34&gt;3,+$H$79,0)</f>
        <v>0</v>
      </c>
      <c r="F203" s="286">
        <f>IF(D204=0,0,IF(D203=0,0,D203^3/E203))</f>
        <v>0</v>
      </c>
      <c r="G203" s="286"/>
      <c r="H203" s="286">
        <f>IF(D204=0,0,F203/G202)</f>
        <v>0</v>
      </c>
    </row>
    <row r="204" spans="1:8" x14ac:dyDescent="0.2">
      <c r="A204" s="276" t="s">
        <v>1077</v>
      </c>
      <c r="C204" s="274" t="s">
        <v>1083</v>
      </c>
      <c r="D204" s="278">
        <f>IF($E$34&gt;4,$E$30/1000,0)</f>
        <v>0</v>
      </c>
      <c r="E204" s="278">
        <f>IF($E$34&gt;4,+$H$77,0)</f>
        <v>0</v>
      </c>
      <c r="F204" s="286">
        <f>IF(D204=0,0,D204^3/E204)</f>
        <v>0</v>
      </c>
      <c r="G204" s="286"/>
      <c r="H204" s="286">
        <f>IF(D204=0,0,F204/G202)</f>
        <v>0</v>
      </c>
    </row>
    <row r="205" spans="1:8" x14ac:dyDescent="0.2">
      <c r="A205" s="276" t="s">
        <v>1077</v>
      </c>
      <c r="B205" s="274" t="s">
        <v>1052</v>
      </c>
      <c r="C205" s="274" t="s">
        <v>1084</v>
      </c>
      <c r="D205" s="278">
        <f>IF($E$34&gt;5,$E$29/1000,0)</f>
        <v>0</v>
      </c>
      <c r="E205" s="278">
        <f>IF($E$34&gt;5,+$H$77,0)</f>
        <v>0</v>
      </c>
      <c r="F205" s="286">
        <f>IF(D207=0,0,IF(D205=0,0,D205^3/E205))</f>
        <v>0</v>
      </c>
      <c r="G205" s="286">
        <f>SUM(F205:F207)</f>
        <v>0</v>
      </c>
      <c r="H205" s="286">
        <f>IF(D207=0,0,F205/G205)</f>
        <v>0</v>
      </c>
    </row>
    <row r="206" spans="1:8" x14ac:dyDescent="0.2">
      <c r="A206" s="276" t="s">
        <v>1077</v>
      </c>
      <c r="C206" s="274" t="s">
        <v>1085</v>
      </c>
      <c r="D206" s="278">
        <f>IF($E$34&gt;5,$E$33/1000,0)</f>
        <v>0</v>
      </c>
      <c r="E206" s="278">
        <f>IF($E$34&gt;5,+$H$79,0)</f>
        <v>0</v>
      </c>
      <c r="F206" s="286">
        <f>IF(D207=0,0,IF(D206=0,0,D206^3/E206))</f>
        <v>0</v>
      </c>
      <c r="G206" s="286"/>
      <c r="H206" s="286">
        <f>IF(D207=0,0,F206/G205)</f>
        <v>0</v>
      </c>
    </row>
    <row r="207" spans="1:8" x14ac:dyDescent="0.2">
      <c r="A207" s="276" t="s">
        <v>1077</v>
      </c>
      <c r="C207" s="274" t="s">
        <v>1086</v>
      </c>
      <c r="D207" s="278">
        <f>IF($E$34&gt;6,$E$29/1000,0)</f>
        <v>0</v>
      </c>
      <c r="E207" s="278">
        <f>IF($E$34&gt;6,+$H$77,0)</f>
        <v>0</v>
      </c>
      <c r="F207" s="286">
        <f>IF(D207=0,0,D207^3/E207)</f>
        <v>0</v>
      </c>
      <c r="G207" s="286"/>
      <c r="H207" s="286">
        <f>IF(D207=0,0,F207/G205)</f>
        <v>0</v>
      </c>
    </row>
    <row r="208" spans="1:8" x14ac:dyDescent="0.2">
      <c r="A208" s="276" t="s">
        <v>1077</v>
      </c>
      <c r="B208" s="274" t="s">
        <v>207</v>
      </c>
      <c r="C208" s="274" t="s">
        <v>1087</v>
      </c>
      <c r="D208" s="278">
        <f>IF($E$34&gt;5,$E$30/1000,0)</f>
        <v>0</v>
      </c>
      <c r="E208" s="278">
        <f>IF($E$34&gt;5,+$H$77,0)</f>
        <v>0</v>
      </c>
      <c r="F208" s="286">
        <f>IF(D210=0,0,IF(D208=0,0,D208^3/E208))</f>
        <v>0</v>
      </c>
      <c r="G208" s="286">
        <f>SUM(F208:F210)</f>
        <v>0</v>
      </c>
      <c r="H208" s="286">
        <f>IF(D210=0,0,F208/G208)</f>
        <v>0</v>
      </c>
    </row>
    <row r="209" spans="1:8" x14ac:dyDescent="0.2">
      <c r="A209" s="276" t="s">
        <v>1077</v>
      </c>
      <c r="C209" s="274" t="s">
        <v>1088</v>
      </c>
      <c r="D209" s="278">
        <f>IF($E$34&gt;5,$E$33/1000,0)</f>
        <v>0</v>
      </c>
      <c r="E209" s="278">
        <f>IF($E$34&gt;5,+$H$79,0)</f>
        <v>0</v>
      </c>
      <c r="F209" s="286">
        <f>IF(D210=0,0,IF(D209=0,0,D209^3/E209))</f>
        <v>0</v>
      </c>
      <c r="G209" s="286"/>
      <c r="H209" s="286">
        <f>IF(D210=0,0,F209/G208)</f>
        <v>0</v>
      </c>
    </row>
    <row r="210" spans="1:8" x14ac:dyDescent="0.2">
      <c r="A210" s="276" t="s">
        <v>1077</v>
      </c>
      <c r="C210" s="274" t="s">
        <v>1089</v>
      </c>
      <c r="D210" s="278">
        <f>IF($E$34&gt;6,$E$30/1000,0)</f>
        <v>0</v>
      </c>
      <c r="E210" s="278">
        <f>IF($E$34&gt;6,+$H$77,0)</f>
        <v>0</v>
      </c>
      <c r="F210" s="286">
        <f>IF(D210=0,0,D210^3/E210)</f>
        <v>0</v>
      </c>
      <c r="G210" s="286"/>
      <c r="H210" s="286">
        <f>IF(D210=0,0,F210/G208)</f>
        <v>0</v>
      </c>
    </row>
    <row r="211" spans="1:8" x14ac:dyDescent="0.2">
      <c r="A211" s="276" t="s">
        <v>1077</v>
      </c>
      <c r="B211" s="274" t="s">
        <v>1090</v>
      </c>
      <c r="C211" s="274" t="s">
        <v>1091</v>
      </c>
      <c r="D211" s="278">
        <f>IF($E$34&gt;7,$E$29/1000,0)</f>
        <v>0</v>
      </c>
      <c r="E211" s="278">
        <f>IF($E$34&gt;7,+$H$77,0)</f>
        <v>0</v>
      </c>
      <c r="F211" s="286">
        <f>IF(D213=0,0,IF(D211=0,0,D211^3/E211))</f>
        <v>0</v>
      </c>
      <c r="G211" s="286">
        <f>SUM(F211:F213)</f>
        <v>0</v>
      </c>
      <c r="H211" s="286">
        <f>IF(D213=0,0,F211/G211)</f>
        <v>0</v>
      </c>
    </row>
    <row r="212" spans="1:8" x14ac:dyDescent="0.2">
      <c r="A212" s="276" t="s">
        <v>1077</v>
      </c>
      <c r="C212" s="274" t="s">
        <v>1092</v>
      </c>
      <c r="D212" s="278">
        <f>IF($E$34&gt;7,$E$33/1000,0)</f>
        <v>0</v>
      </c>
      <c r="E212" s="278">
        <f>IF($E$34&gt;7,+$H$79,0)</f>
        <v>0</v>
      </c>
      <c r="F212" s="286">
        <f>IF(D213=0,0,IF(D212=0,0,D212^3/E212))</f>
        <v>0</v>
      </c>
      <c r="G212" s="286"/>
      <c r="H212" s="286">
        <f>IF(D213=0,0,F212/G211)</f>
        <v>0</v>
      </c>
    </row>
    <row r="213" spans="1:8" x14ac:dyDescent="0.2">
      <c r="A213" s="276" t="s">
        <v>1077</v>
      </c>
      <c r="C213" s="274" t="s">
        <v>1093</v>
      </c>
      <c r="D213" s="278">
        <f>IF($E$34&gt;8,$E$29/1000,0)</f>
        <v>0</v>
      </c>
      <c r="E213" s="278">
        <f>IF($E$34&gt;8,+$H$77,0)</f>
        <v>0</v>
      </c>
      <c r="F213" s="286">
        <f>IF(D213=0,0,D213^3/E213)</f>
        <v>0</v>
      </c>
      <c r="G213" s="286"/>
      <c r="H213" s="286">
        <f>IF(D213=0,0,F213/G211)</f>
        <v>0</v>
      </c>
    </row>
    <row r="214" spans="1:8" x14ac:dyDescent="0.2">
      <c r="A214" s="276" t="s">
        <v>1077</v>
      </c>
      <c r="B214" s="274" t="s">
        <v>1094</v>
      </c>
      <c r="C214" s="274" t="s">
        <v>1095</v>
      </c>
      <c r="D214" s="278">
        <f>IF($E$34&gt;7,$E$30/1000,0)</f>
        <v>0</v>
      </c>
      <c r="E214" s="278">
        <f>IF($E$34&gt;7,+$H$77,0)</f>
        <v>0</v>
      </c>
      <c r="F214" s="286">
        <f>IF(D216=0,0,IF(D214=0,0,D214^3/E214))</f>
        <v>0</v>
      </c>
      <c r="G214" s="286">
        <f>SUM(F214:F216)</f>
        <v>0</v>
      </c>
      <c r="H214" s="286">
        <f>IF(D216=0,0,F214/G214)</f>
        <v>0</v>
      </c>
    </row>
    <row r="215" spans="1:8" x14ac:dyDescent="0.2">
      <c r="A215" s="276" t="s">
        <v>1077</v>
      </c>
      <c r="C215" s="274" t="s">
        <v>1096</v>
      </c>
      <c r="D215" s="278">
        <f>IF($E$34&gt;7,$E$33/1000,0)</f>
        <v>0</v>
      </c>
      <c r="E215" s="278">
        <f>IF($E$34&gt;7,+$H$79,0)</f>
        <v>0</v>
      </c>
      <c r="F215" s="286">
        <f>IF(D216=0,0,IF(D215=0,0,D215^3/E215))</f>
        <v>0</v>
      </c>
      <c r="G215" s="286"/>
      <c r="H215" s="286">
        <f>IF(D216=0,0,F215/G214)</f>
        <v>0</v>
      </c>
    </row>
    <row r="216" spans="1:8" x14ac:dyDescent="0.2">
      <c r="A216" s="276" t="s">
        <v>1077</v>
      </c>
      <c r="C216" s="274" t="s">
        <v>1097</v>
      </c>
      <c r="D216" s="278">
        <f>IF($E$34&gt;8,$E$30/1000,0)</f>
        <v>0</v>
      </c>
      <c r="E216" s="278">
        <f>IF($E$34&gt;8,+$H$77,0)</f>
        <v>0</v>
      </c>
      <c r="F216" s="286">
        <f>IF(D216=0,0,D216^3/E216)</f>
        <v>0</v>
      </c>
      <c r="G216" s="286"/>
      <c r="H216" s="286">
        <f>IF(D216=0,0,F216/G214)</f>
        <v>0</v>
      </c>
    </row>
    <row r="217" spans="1:8" x14ac:dyDescent="0.2">
      <c r="A217" s="274" t="s">
        <v>986</v>
      </c>
    </row>
    <row r="218" spans="1:8" x14ac:dyDescent="0.2">
      <c r="A218" s="274" t="s">
        <v>950</v>
      </c>
    </row>
    <row r="219" spans="1:8" x14ac:dyDescent="0.2">
      <c r="A219" s="274" t="s">
        <v>1098</v>
      </c>
    </row>
    <row r="221" spans="1:8" x14ac:dyDescent="0.2">
      <c r="B221" s="171" t="s">
        <v>1764</v>
      </c>
    </row>
    <row r="222" spans="1:8" x14ac:dyDescent="0.2">
      <c r="B222" s="171" t="s">
        <v>1765</v>
      </c>
    </row>
    <row r="223" spans="1:8" x14ac:dyDescent="0.2">
      <c r="B223" s="274"/>
    </row>
    <row r="224" spans="1:8" x14ac:dyDescent="0.2">
      <c r="B224" s="274" t="s">
        <v>1766</v>
      </c>
    </row>
    <row r="226" spans="2:2" x14ac:dyDescent="0.2">
      <c r="B226" s="274" t="s">
        <v>1767</v>
      </c>
    </row>
    <row r="227" spans="2:2" x14ac:dyDescent="0.2">
      <c r="B227" s="274" t="s">
        <v>1773</v>
      </c>
    </row>
    <row r="228" spans="2:2" x14ac:dyDescent="0.2">
      <c r="B228" s="274" t="s">
        <v>1768</v>
      </c>
    </row>
    <row r="230" spans="2:2" x14ac:dyDescent="0.2">
      <c r="B230" s="274" t="s">
        <v>1769</v>
      </c>
    </row>
    <row r="231" spans="2:2" x14ac:dyDescent="0.2">
      <c r="B231" s="274" t="s">
        <v>1770</v>
      </c>
    </row>
    <row r="232" spans="2:2" x14ac:dyDescent="0.2">
      <c r="B232" s="274" t="s">
        <v>1771</v>
      </c>
    </row>
    <row r="233" spans="2:2" x14ac:dyDescent="0.2">
      <c r="B233" s="274" t="s">
        <v>1772</v>
      </c>
    </row>
    <row r="235" spans="2:2" x14ac:dyDescent="0.2">
      <c r="B235" s="274" t="s">
        <v>1774</v>
      </c>
    </row>
    <row r="236" spans="2:2" x14ac:dyDescent="0.2">
      <c r="B236" s="274" t="s">
        <v>1776</v>
      </c>
    </row>
    <row r="237" spans="2:2" x14ac:dyDescent="0.2">
      <c r="B237" s="274" t="s">
        <v>1775</v>
      </c>
    </row>
    <row r="239" spans="2:2" x14ac:dyDescent="0.2">
      <c r="B239" s="274" t="s">
        <v>1777</v>
      </c>
    </row>
    <row r="240" spans="2:2" x14ac:dyDescent="0.2">
      <c r="B240" s="274" t="s">
        <v>1778</v>
      </c>
    </row>
    <row r="241" spans="1:16" x14ac:dyDescent="0.2">
      <c r="B241" s="274" t="s">
        <v>1779</v>
      </c>
    </row>
    <row r="242" spans="1:16" x14ac:dyDescent="0.2">
      <c r="B242" s="274" t="s">
        <v>1780</v>
      </c>
    </row>
    <row r="243" spans="1:16" x14ac:dyDescent="0.2">
      <c r="B243" s="274"/>
    </row>
    <row r="244" spans="1:16" x14ac:dyDescent="0.2">
      <c r="F244" s="274" t="s">
        <v>1099</v>
      </c>
      <c r="I244" s="274" t="s">
        <v>1100</v>
      </c>
      <c r="L244" s="274" t="s">
        <v>1101</v>
      </c>
      <c r="O244" s="274" t="s">
        <v>1102</v>
      </c>
    </row>
    <row r="245" spans="1:16" x14ac:dyDescent="0.2">
      <c r="B245" s="274" t="s">
        <v>1103</v>
      </c>
      <c r="C245" s="274" t="s">
        <v>196</v>
      </c>
      <c r="D245" s="1412" t="s">
        <v>1104</v>
      </c>
      <c r="E245" s="1412" t="s">
        <v>1105</v>
      </c>
      <c r="F245" s="1412" t="s">
        <v>1106</v>
      </c>
      <c r="G245" s="1412" t="s">
        <v>1107</v>
      </c>
      <c r="H245" s="1412" t="s">
        <v>1108</v>
      </c>
      <c r="I245" s="1412" t="s">
        <v>1106</v>
      </c>
      <c r="J245" s="274" t="s">
        <v>1107</v>
      </c>
      <c r="K245" s="274" t="s">
        <v>1108</v>
      </c>
      <c r="L245" s="1412" t="s">
        <v>1106</v>
      </c>
      <c r="M245" s="1412" t="s">
        <v>1107</v>
      </c>
      <c r="N245" s="1412" t="s">
        <v>1108</v>
      </c>
      <c r="O245" s="1412" t="s">
        <v>1106</v>
      </c>
      <c r="P245" s="1412" t="s">
        <v>1109</v>
      </c>
    </row>
    <row r="246" spans="1:16" x14ac:dyDescent="0.2">
      <c r="A246" s="275"/>
      <c r="B246" s="274" t="s">
        <v>1049</v>
      </c>
      <c r="C246" s="274" t="s">
        <v>1067</v>
      </c>
      <c r="D246" s="286">
        <f t="shared" ref="D246:D273" si="0">H189</f>
        <v>0.41475211608222479</v>
      </c>
      <c r="E246" s="278">
        <f>(3*E158+2*E159)*E189^2/60</f>
        <v>234.78968217673548</v>
      </c>
      <c r="F246" s="278">
        <f>-SUM(E246:E247)*$D$246</f>
        <v>-88.095035593042979</v>
      </c>
      <c r="G246" s="278">
        <f t="shared" ref="G246:G273" si="1">SUM(E246:F246)</f>
        <v>146.6946465836925</v>
      </c>
      <c r="H246" s="278">
        <f>F248/2</f>
        <v>27.244283218543448</v>
      </c>
      <c r="I246" s="278">
        <f>-SUM(H246:H247)*$D$246</f>
        <v>-37.078340698279085</v>
      </c>
      <c r="J246" s="278">
        <f t="shared" ref="J246:J273" si="2">SUM(G246:I246)</f>
        <v>136.86058910395687</v>
      </c>
      <c r="K246" s="278">
        <f>I248/2</f>
        <v>15.457335381711692</v>
      </c>
      <c r="L246" s="278">
        <f>-SUM(K246:K247)*$D$246</f>
        <v>-17.260972774982648</v>
      </c>
      <c r="M246" s="278">
        <f t="shared" ref="M246:M273" si="3">SUM(J246:L246)</f>
        <v>135.05695171068589</v>
      </c>
      <c r="N246" s="278">
        <f>L248/2</f>
        <v>8.0652555253983476</v>
      </c>
      <c r="O246" s="278">
        <f>-SUM(N246:N247)*$D$246</f>
        <v>-8.39605569136328</v>
      </c>
      <c r="P246" s="278">
        <f t="shared" ref="P246:P273" si="4">SUM(M246:O246)</f>
        <v>134.72615154472098</v>
      </c>
    </row>
    <row r="247" spans="1:16" x14ac:dyDescent="0.2">
      <c r="A247" s="275"/>
      <c r="C247" s="274" t="s">
        <v>1068</v>
      </c>
      <c r="D247" s="286">
        <f t="shared" si="0"/>
        <v>0.58524788391777516</v>
      </c>
      <c r="E247" s="278">
        <f>-$E$154*E190^2/12</f>
        <v>-22.385616767270292</v>
      </c>
      <c r="F247" s="278">
        <f>-SUM(E246:E247)*$D$247</f>
        <v>-124.30902981642221</v>
      </c>
      <c r="G247" s="278">
        <f t="shared" si="1"/>
        <v>-146.6946465836925</v>
      </c>
      <c r="H247" s="278">
        <f>IF($D$193=0,-F247/2,F250/2)</f>
        <v>62.154514908211105</v>
      </c>
      <c r="I247" s="278">
        <f>-SUM(H246:H247)*$D$247</f>
        <v>-52.320457428475464</v>
      </c>
      <c r="J247" s="278">
        <f t="shared" si="2"/>
        <v>-136.86058910395687</v>
      </c>
      <c r="K247" s="278">
        <f>IF($D$193=0,-I247/2,I250/2)</f>
        <v>26.160228714237732</v>
      </c>
      <c r="L247" s="278">
        <f>-SUM(K246:K247)*$D$247</f>
        <v>-24.356591320966778</v>
      </c>
      <c r="M247" s="278">
        <f t="shared" si="3"/>
        <v>-135.05695171068592</v>
      </c>
      <c r="N247" s="278">
        <f>IF($D$193=0,-L247/2,L250/2)</f>
        <v>12.178295660483389</v>
      </c>
      <c r="O247" s="278">
        <f>-SUM(N246:N247)*$D$247</f>
        <v>-11.847495494518453</v>
      </c>
      <c r="P247" s="278">
        <f t="shared" si="4"/>
        <v>-134.72615154472098</v>
      </c>
    </row>
    <row r="248" spans="1:16" x14ac:dyDescent="0.2">
      <c r="A248" s="275"/>
      <c r="B248" s="274" t="s">
        <v>209</v>
      </c>
      <c r="C248" s="274" t="s">
        <v>1069</v>
      </c>
      <c r="D248" s="286">
        <f t="shared" si="0"/>
        <v>0.21843339315695012</v>
      </c>
      <c r="E248" s="278">
        <f>-(3*E159+2*E158)*E191^2/60</f>
        <v>-298.25975465534611</v>
      </c>
      <c r="F248" s="278">
        <f>-SUM(E248:E249)*$D$248</f>
        <v>54.488566437086895</v>
      </c>
      <c r="G248" s="278">
        <f t="shared" si="1"/>
        <v>-243.77118821825923</v>
      </c>
      <c r="H248" s="278">
        <f>F246/2</f>
        <v>-44.04751779652149</v>
      </c>
      <c r="I248" s="278">
        <f>-SUM(H248:H249)*$D$248</f>
        <v>30.914670763423384</v>
      </c>
      <c r="J248" s="278">
        <f t="shared" si="2"/>
        <v>-256.90403525135736</v>
      </c>
      <c r="K248" s="278">
        <f>I246/2</f>
        <v>-18.539170349139543</v>
      </c>
      <c r="L248" s="278">
        <f>-SUM(K248:K249)*$D$248</f>
        <v>16.130511050796695</v>
      </c>
      <c r="M248" s="278">
        <f t="shared" si="3"/>
        <v>-259.31269454970021</v>
      </c>
      <c r="N248" s="278">
        <f>L246/2</f>
        <v>-8.6304863874913238</v>
      </c>
      <c r="O248" s="278">
        <f>-SUM(N248:N249)*$D$248</f>
        <v>8.188720820522347</v>
      </c>
      <c r="P248" s="278">
        <f t="shared" si="4"/>
        <v>-259.75446011666918</v>
      </c>
    </row>
    <row r="249" spans="1:16" x14ac:dyDescent="0.2">
      <c r="A249" s="275"/>
      <c r="C249" s="274" t="s">
        <v>1070</v>
      </c>
      <c r="D249" s="286">
        <f t="shared" si="0"/>
        <v>0.7815666068430499</v>
      </c>
      <c r="E249" s="278">
        <f>$E$155*E192^2/12</f>
        <v>48.808122514396736</v>
      </c>
      <c r="F249" s="278">
        <f>-SUM(E248:E249)*$D$249</f>
        <v>194.9630657038625</v>
      </c>
      <c r="G249" s="278">
        <f t="shared" si="1"/>
        <v>243.77118821825923</v>
      </c>
      <c r="H249" s="278">
        <f>IF($D$196=0,-F249/2,F253/2)</f>
        <v>-97.481532851931249</v>
      </c>
      <c r="I249" s="278">
        <f>-SUM(H248:H249)*$D$249</f>
        <v>110.61437988502936</v>
      </c>
      <c r="J249" s="278">
        <f t="shared" si="2"/>
        <v>256.9040352513573</v>
      </c>
      <c r="K249" s="278">
        <f>IF($D$196=0,-I249/2,I253/2)</f>
        <v>-55.307189942514682</v>
      </c>
      <c r="L249" s="278">
        <f>-SUM(K248:K249)*$D$249</f>
        <v>57.71584924085753</v>
      </c>
      <c r="M249" s="278">
        <f t="shared" si="3"/>
        <v>259.31269454970015</v>
      </c>
      <c r="N249" s="278">
        <f>IF($D$196=0,-L249/2,L253/2)</f>
        <v>-28.857924620428765</v>
      </c>
      <c r="O249" s="278">
        <f>-SUM(N248:N249)*$D$249</f>
        <v>29.299690187397747</v>
      </c>
      <c r="P249" s="278">
        <f t="shared" si="4"/>
        <v>259.75446011666912</v>
      </c>
    </row>
    <row r="250" spans="1:16" x14ac:dyDescent="0.2">
      <c r="A250" s="275"/>
      <c r="B250" s="274" t="s">
        <v>1050</v>
      </c>
      <c r="C250" s="274" t="s">
        <v>1071</v>
      </c>
      <c r="D250" s="286">
        <f t="shared" si="0"/>
        <v>0</v>
      </c>
      <c r="E250" s="278">
        <f>$E$154*E193^2/12</f>
        <v>0</v>
      </c>
      <c r="F250" s="278">
        <f>-SUM(E250:E252)*$D$250</f>
        <v>0</v>
      </c>
      <c r="G250" s="278">
        <f t="shared" si="1"/>
        <v>0</v>
      </c>
      <c r="H250" s="278">
        <f>IF($D$193=0,0,F247/2)</f>
        <v>0</v>
      </c>
      <c r="I250" s="278">
        <f>-SUM(H250:H252)*$D$250</f>
        <v>0</v>
      </c>
      <c r="J250" s="278">
        <f t="shared" si="2"/>
        <v>0</v>
      </c>
      <c r="K250" s="278">
        <f>IF($D$193=0,0,I247/2)</f>
        <v>0</v>
      </c>
      <c r="L250" s="278">
        <f>-SUM(K250:K252)*$D$250</f>
        <v>0</v>
      </c>
      <c r="M250" s="278">
        <f t="shared" si="3"/>
        <v>0</v>
      </c>
      <c r="N250" s="278">
        <f>IF($D$193=0,0,L247/2)</f>
        <v>0</v>
      </c>
      <c r="O250" s="278">
        <f>-SUM(N250:N252)*$D$250</f>
        <v>0</v>
      </c>
      <c r="P250" s="278">
        <f t="shared" si="4"/>
        <v>0</v>
      </c>
    </row>
    <row r="251" spans="1:16" x14ac:dyDescent="0.2">
      <c r="A251" s="275"/>
      <c r="C251" s="274" t="s">
        <v>1072</v>
      </c>
      <c r="D251" s="286">
        <f t="shared" si="0"/>
        <v>0</v>
      </c>
      <c r="E251" s="278">
        <v>0</v>
      </c>
      <c r="F251" s="278">
        <f>-SUM(E250:E252)*$D$251</f>
        <v>0</v>
      </c>
      <c r="G251" s="278">
        <f t="shared" si="1"/>
        <v>0</v>
      </c>
      <c r="H251" s="278">
        <f>IF($D$194=0,0,F254/2)</f>
        <v>0</v>
      </c>
      <c r="I251" s="278">
        <f>-SUM(H250:H252)*$D$251</f>
        <v>0</v>
      </c>
      <c r="J251" s="278">
        <f t="shared" si="2"/>
        <v>0</v>
      </c>
      <c r="K251" s="278">
        <f>IF($D$194=0,0,I254/2)</f>
        <v>0</v>
      </c>
      <c r="L251" s="278">
        <f>-SUM(K250:K252)*$D$251</f>
        <v>0</v>
      </c>
      <c r="M251" s="278">
        <f t="shared" si="3"/>
        <v>0</v>
      </c>
      <c r="N251" s="278">
        <f>IF($D$194=0,0,L254/2)</f>
        <v>0</v>
      </c>
      <c r="O251" s="278">
        <f>-SUM(N250:N252)*$D$251</f>
        <v>0</v>
      </c>
      <c r="P251" s="278">
        <f t="shared" si="4"/>
        <v>0</v>
      </c>
    </row>
    <row r="252" spans="1:16" x14ac:dyDescent="0.2">
      <c r="A252" s="275"/>
      <c r="C252" s="274" t="s">
        <v>1073</v>
      </c>
      <c r="D252" s="286">
        <f t="shared" si="0"/>
        <v>0</v>
      </c>
      <c r="E252" s="278">
        <f>-$E$154*E195^2/12</f>
        <v>0</v>
      </c>
      <c r="F252" s="278">
        <f>-SUM(E250:E252)*$D$252</f>
        <v>0</v>
      </c>
      <c r="G252" s="278">
        <f t="shared" si="1"/>
        <v>0</v>
      </c>
      <c r="H252" s="278">
        <f>IF($D$195=0,0,IF($D$199=0,-F252/2,F256/2))</f>
        <v>0</v>
      </c>
      <c r="I252" s="278">
        <f>-SUM(H250:H252)*$D$252</f>
        <v>0</v>
      </c>
      <c r="J252" s="278">
        <f t="shared" si="2"/>
        <v>0</v>
      </c>
      <c r="K252" s="278">
        <f>IF($D$195=0,0,IF($D$199=0,-I252/2,I256/2))</f>
        <v>0</v>
      </c>
      <c r="L252" s="278">
        <f>-SUM(K250:K252)*$D$252</f>
        <v>0</v>
      </c>
      <c r="M252" s="278">
        <f t="shared" si="3"/>
        <v>0</v>
      </c>
      <c r="N252" s="278">
        <f>IF($D$195=0,0,IF($D$199=0,-L252/2,L256/2))</f>
        <v>0</v>
      </c>
      <c r="O252" s="278">
        <f>-SUM(N250:N252)*$D$252</f>
        <v>0</v>
      </c>
      <c r="P252" s="278">
        <f t="shared" si="4"/>
        <v>0</v>
      </c>
    </row>
    <row r="253" spans="1:16" x14ac:dyDescent="0.2">
      <c r="A253" s="275"/>
      <c r="B253" s="274" t="s">
        <v>1062</v>
      </c>
      <c r="C253" s="274" t="s">
        <v>1074</v>
      </c>
      <c r="D253" s="286">
        <f t="shared" si="0"/>
        <v>0</v>
      </c>
      <c r="E253" s="278">
        <f>-$E$155*E196^2/12</f>
        <v>0</v>
      </c>
      <c r="F253" s="278">
        <f>-SUM(E253:E255)*$D$253</f>
        <v>0</v>
      </c>
      <c r="G253" s="278">
        <f t="shared" si="1"/>
        <v>0</v>
      </c>
      <c r="H253" s="278">
        <f>IF($D$196=0,0,F249/2)</f>
        <v>0</v>
      </c>
      <c r="I253" s="278">
        <f>-SUM(H253:H255)*$D$253</f>
        <v>0</v>
      </c>
      <c r="J253" s="278">
        <f t="shared" si="2"/>
        <v>0</v>
      </c>
      <c r="K253" s="278">
        <f>IF($D$196=0,0,I249/2)</f>
        <v>0</v>
      </c>
      <c r="L253" s="278">
        <f>-SUM(K253:K255)*$D$253</f>
        <v>0</v>
      </c>
      <c r="M253" s="278">
        <f t="shared" si="3"/>
        <v>0</v>
      </c>
      <c r="N253" s="278">
        <f>IF($D$196=0,0,L249/2)</f>
        <v>0</v>
      </c>
      <c r="O253" s="278">
        <f>-SUM(N253:N255)*$D$253</f>
        <v>0</v>
      </c>
      <c r="P253" s="278">
        <f t="shared" si="4"/>
        <v>0</v>
      </c>
    </row>
    <row r="254" spans="1:16" x14ac:dyDescent="0.2">
      <c r="A254" s="275"/>
      <c r="C254" s="274" t="s">
        <v>1075</v>
      </c>
      <c r="D254" s="286">
        <f t="shared" si="0"/>
        <v>0</v>
      </c>
      <c r="E254" s="278">
        <v>0</v>
      </c>
      <c r="F254" s="278">
        <f>-SUM(E253:E255)*$D$254</f>
        <v>0</v>
      </c>
      <c r="G254" s="278">
        <f t="shared" si="1"/>
        <v>0</v>
      </c>
      <c r="H254" s="278">
        <f>IF($D$197=0,0,F251/2)</f>
        <v>0</v>
      </c>
      <c r="I254" s="278">
        <f>-SUM(H253:H255)*$D$254</f>
        <v>0</v>
      </c>
      <c r="J254" s="278">
        <f t="shared" si="2"/>
        <v>0</v>
      </c>
      <c r="K254" s="278">
        <f>IF($D$197=0,0,I251/2)</f>
        <v>0</v>
      </c>
      <c r="L254" s="278">
        <f>-SUM(K253:K255)*$D$254</f>
        <v>0</v>
      </c>
      <c r="M254" s="278">
        <f t="shared" si="3"/>
        <v>0</v>
      </c>
      <c r="N254" s="278">
        <f>IF($D$197=0,0,L251/2)</f>
        <v>0</v>
      </c>
      <c r="O254" s="278">
        <f>-SUM(N253:N255)*$D$254</f>
        <v>0</v>
      </c>
      <c r="P254" s="278">
        <f t="shared" si="4"/>
        <v>0</v>
      </c>
    </row>
    <row r="255" spans="1:16" x14ac:dyDescent="0.2">
      <c r="A255" s="275"/>
      <c r="C255" s="274" t="s">
        <v>1076</v>
      </c>
      <c r="D255" s="286">
        <f t="shared" si="0"/>
        <v>0</v>
      </c>
      <c r="E255" s="278">
        <f>$E$155*E198^2/12</f>
        <v>0</v>
      </c>
      <c r="F255" s="278">
        <f>-SUM(E253:E255)*$D$255</f>
        <v>0</v>
      </c>
      <c r="G255" s="278">
        <f t="shared" si="1"/>
        <v>0</v>
      </c>
      <c r="H255" s="278">
        <f>IF($D$198=0,0,IF($D$202=0,-F255/2,F259/2))</f>
        <v>0</v>
      </c>
      <c r="I255" s="278">
        <f>-SUM(H253:H255)*$D$255</f>
        <v>0</v>
      </c>
      <c r="J255" s="278">
        <f t="shared" si="2"/>
        <v>0</v>
      </c>
      <c r="K255" s="278">
        <f>IF($D$198=0,0,IF($D$202=0,-I255/2,I259/2))</f>
        <v>0</v>
      </c>
      <c r="L255" s="278">
        <f>-SUM(K253:K255)*$D$255</f>
        <v>0</v>
      </c>
      <c r="M255" s="278">
        <f t="shared" si="3"/>
        <v>0</v>
      </c>
      <c r="N255" s="278">
        <f>IF($D$198=0,0,IF($D$202=0,-L255/2,L259/2))</f>
        <v>0</v>
      </c>
      <c r="O255" s="278">
        <f>-SUM(N253:N255)*$D$255</f>
        <v>0</v>
      </c>
      <c r="P255" s="278">
        <f t="shared" si="4"/>
        <v>0</v>
      </c>
    </row>
    <row r="256" spans="1:16" x14ac:dyDescent="0.2">
      <c r="A256" s="275"/>
      <c r="B256" s="274" t="s">
        <v>1051</v>
      </c>
      <c r="C256" s="274" t="s">
        <v>1078</v>
      </c>
      <c r="D256" s="286">
        <f t="shared" si="0"/>
        <v>0</v>
      </c>
      <c r="E256" s="278">
        <f>$E$154*E199^2/12</f>
        <v>0</v>
      </c>
      <c r="F256" s="278">
        <f>-SUM(E256:E258)*$D$256</f>
        <v>0</v>
      </c>
      <c r="G256" s="278">
        <f t="shared" si="1"/>
        <v>0</v>
      </c>
      <c r="H256" s="278">
        <f>IF($D$199=0,0,F252/2)</f>
        <v>0</v>
      </c>
      <c r="I256" s="278">
        <f>-SUM(H256:H258)*$D$256</f>
        <v>0</v>
      </c>
      <c r="J256" s="278">
        <f t="shared" si="2"/>
        <v>0</v>
      </c>
      <c r="K256" s="278">
        <f>IF($D$199=0,0,I252/2)</f>
        <v>0</v>
      </c>
      <c r="L256" s="278">
        <f>-SUM(K256:K258)*$D$256</f>
        <v>0</v>
      </c>
      <c r="M256" s="278">
        <f t="shared" si="3"/>
        <v>0</v>
      </c>
      <c r="N256" s="278">
        <f>IF($D$199=0,0,L252/2)</f>
        <v>0</v>
      </c>
      <c r="O256" s="278">
        <f>-SUM(N256:N258)*$D$256</f>
        <v>0</v>
      </c>
      <c r="P256" s="278">
        <f t="shared" si="4"/>
        <v>0</v>
      </c>
    </row>
    <row r="257" spans="1:16" x14ac:dyDescent="0.2">
      <c r="A257" s="275"/>
      <c r="C257" s="274" t="s">
        <v>1079</v>
      </c>
      <c r="D257" s="286">
        <f t="shared" si="0"/>
        <v>0</v>
      </c>
      <c r="E257" s="278">
        <v>0</v>
      </c>
      <c r="F257" s="278">
        <f>-SUM(E256:E258)*$D$257</f>
        <v>0</v>
      </c>
      <c r="G257" s="278">
        <f t="shared" si="1"/>
        <v>0</v>
      </c>
      <c r="H257" s="278">
        <f>IF($D$200=0,0,F260/2)</f>
        <v>0</v>
      </c>
      <c r="I257" s="278">
        <f>-SUM(H256:H258)*$D$257</f>
        <v>0</v>
      </c>
      <c r="J257" s="278">
        <f t="shared" si="2"/>
        <v>0</v>
      </c>
      <c r="K257" s="278">
        <f>IF($D$200=0,0,I260/2)</f>
        <v>0</v>
      </c>
      <c r="L257" s="278">
        <f>-SUM(K256:K258)*$D$257</f>
        <v>0</v>
      </c>
      <c r="M257" s="278">
        <f t="shared" si="3"/>
        <v>0</v>
      </c>
      <c r="N257" s="278">
        <f>IF($D$200=0,0,L260/2)</f>
        <v>0</v>
      </c>
      <c r="O257" s="278">
        <f>-SUM(N256:N258)*$D$257</f>
        <v>0</v>
      </c>
      <c r="P257" s="278">
        <f t="shared" si="4"/>
        <v>0</v>
      </c>
    </row>
    <row r="258" spans="1:16" x14ac:dyDescent="0.2">
      <c r="A258" s="275"/>
      <c r="C258" s="274" t="s">
        <v>1080</v>
      </c>
      <c r="D258" s="286">
        <f t="shared" si="0"/>
        <v>0</v>
      </c>
      <c r="E258" s="278">
        <f>-$E$154*E201^2/12</f>
        <v>0</v>
      </c>
      <c r="F258" s="278">
        <f>-SUM(E256:E258)*$D$258</f>
        <v>0</v>
      </c>
      <c r="G258" s="278">
        <f t="shared" si="1"/>
        <v>0</v>
      </c>
      <c r="H258" s="278">
        <f>IF($D$201=0,0,IF($D$205=0,-F258/2,F262/2))</f>
        <v>0</v>
      </c>
      <c r="I258" s="278">
        <f>-SUM(H256:H258)*$D$258</f>
        <v>0</v>
      </c>
      <c r="J258" s="278">
        <f t="shared" si="2"/>
        <v>0</v>
      </c>
      <c r="K258" s="278">
        <f>IF($D$201=0,0,IF($D$205=0,-I258/2,I262/2))</f>
        <v>0</v>
      </c>
      <c r="L258" s="278">
        <f>-SUM(K256:K258)*$D$258</f>
        <v>0</v>
      </c>
      <c r="M258" s="278">
        <f t="shared" si="3"/>
        <v>0</v>
      </c>
      <c r="N258" s="278">
        <f>IF($D$201=0,0,IF($D$205=0,-L258/2,L262/2))</f>
        <v>0</v>
      </c>
      <c r="O258" s="278">
        <f>-SUM(N256:N258)*$D$258</f>
        <v>0</v>
      </c>
      <c r="P258" s="278">
        <f t="shared" si="4"/>
        <v>0</v>
      </c>
    </row>
    <row r="259" spans="1:16" x14ac:dyDescent="0.2">
      <c r="A259" s="275"/>
      <c r="B259" s="274" t="s">
        <v>1063</v>
      </c>
      <c r="C259" s="274" t="s">
        <v>1081</v>
      </c>
      <c r="D259" s="286">
        <f t="shared" si="0"/>
        <v>0</v>
      </c>
      <c r="E259" s="278">
        <f>-$E$155*E202^2/12</f>
        <v>0</v>
      </c>
      <c r="F259" s="278">
        <f>-SUM(E259:E261)*$D$259</f>
        <v>0</v>
      </c>
      <c r="G259" s="278">
        <f t="shared" si="1"/>
        <v>0</v>
      </c>
      <c r="H259" s="278">
        <f>IF($D$202=0,0,F255/2)</f>
        <v>0</v>
      </c>
      <c r="I259" s="278">
        <f>-SUM(H259:H261)*$D$259</f>
        <v>0</v>
      </c>
      <c r="J259" s="278">
        <f t="shared" si="2"/>
        <v>0</v>
      </c>
      <c r="K259" s="278">
        <f>IF($D$202=0,0,I255/2)</f>
        <v>0</v>
      </c>
      <c r="L259" s="278">
        <f>-SUM(K259:K261)*$D$259</f>
        <v>0</v>
      </c>
      <c r="M259" s="278">
        <f t="shared" si="3"/>
        <v>0</v>
      </c>
      <c r="N259" s="278">
        <f>IF($D$202=0,0,L255/2)</f>
        <v>0</v>
      </c>
      <c r="O259" s="278">
        <f>-SUM(N259:N261)*$D$259</f>
        <v>0</v>
      </c>
      <c r="P259" s="278">
        <f t="shared" si="4"/>
        <v>0</v>
      </c>
    </row>
    <row r="260" spans="1:16" x14ac:dyDescent="0.2">
      <c r="A260" s="275"/>
      <c r="C260" s="274" t="s">
        <v>1082</v>
      </c>
      <c r="D260" s="286">
        <f t="shared" si="0"/>
        <v>0</v>
      </c>
      <c r="E260" s="278">
        <v>0</v>
      </c>
      <c r="F260" s="278">
        <f>-SUM(E259:E261)*$D$260</f>
        <v>0</v>
      </c>
      <c r="G260" s="278">
        <f t="shared" si="1"/>
        <v>0</v>
      </c>
      <c r="H260" s="278">
        <f>IF($D$203=0,0,F257/2)</f>
        <v>0</v>
      </c>
      <c r="I260" s="278">
        <f>-SUM(H259:H261)*$D$260</f>
        <v>0</v>
      </c>
      <c r="J260" s="278">
        <f t="shared" si="2"/>
        <v>0</v>
      </c>
      <c r="K260" s="278">
        <f>IF($D$203=0,0,I257/2)</f>
        <v>0</v>
      </c>
      <c r="L260" s="278">
        <f>-SUM(K259:K261)*$D$260</f>
        <v>0</v>
      </c>
      <c r="M260" s="278">
        <f t="shared" si="3"/>
        <v>0</v>
      </c>
      <c r="N260" s="278">
        <f>IF($D$203=0,0,L257/2)</f>
        <v>0</v>
      </c>
      <c r="O260" s="278">
        <f>-SUM(N259:N261)*$D$260</f>
        <v>0</v>
      </c>
      <c r="P260" s="278">
        <f t="shared" si="4"/>
        <v>0</v>
      </c>
    </row>
    <row r="261" spans="1:16" x14ac:dyDescent="0.2">
      <c r="A261" s="275"/>
      <c r="C261" s="274" t="s">
        <v>1083</v>
      </c>
      <c r="D261" s="286">
        <f t="shared" si="0"/>
        <v>0</v>
      </c>
      <c r="E261" s="278">
        <f>$E$155*E204^2/12</f>
        <v>0</v>
      </c>
      <c r="F261" s="278">
        <f>-SUM(E259:E261)*$D$261</f>
        <v>0</v>
      </c>
      <c r="G261" s="278">
        <f t="shared" si="1"/>
        <v>0</v>
      </c>
      <c r="H261" s="278">
        <f>IF($D$204=0,0,IF($D$208=0,-F261/2,F265/2))</f>
        <v>0</v>
      </c>
      <c r="I261" s="278">
        <f>-SUM(H259:H261)*$D$261</f>
        <v>0</v>
      </c>
      <c r="J261" s="278">
        <f t="shared" si="2"/>
        <v>0</v>
      </c>
      <c r="K261" s="278">
        <f>IF($D$204=0,0,IF($D$208=0,-I261/2,I265/2))</f>
        <v>0</v>
      </c>
      <c r="L261" s="278">
        <f>-SUM(K259:K261)*$D$261</f>
        <v>0</v>
      </c>
      <c r="M261" s="278">
        <f t="shared" si="3"/>
        <v>0</v>
      </c>
      <c r="N261" s="278">
        <f>IF($D$204=0,0,IF($D$208=0,-L261/2,L265/2))</f>
        <v>0</v>
      </c>
      <c r="O261" s="278">
        <f>-SUM(N259:N261)*$D$261</f>
        <v>0</v>
      </c>
      <c r="P261" s="278">
        <f t="shared" si="4"/>
        <v>0</v>
      </c>
    </row>
    <row r="262" spans="1:16" x14ac:dyDescent="0.2">
      <c r="A262" s="275"/>
      <c r="B262" s="274" t="s">
        <v>1052</v>
      </c>
      <c r="C262" s="274" t="s">
        <v>1084</v>
      </c>
      <c r="D262" s="286">
        <f t="shared" si="0"/>
        <v>0</v>
      </c>
      <c r="E262" s="278">
        <f>$E$154*E205^2/12</f>
        <v>0</v>
      </c>
      <c r="F262" s="278">
        <f>-SUM(E262:E264)*$D$262</f>
        <v>0</v>
      </c>
      <c r="G262" s="278">
        <f t="shared" si="1"/>
        <v>0</v>
      </c>
      <c r="H262" s="278">
        <f>IF($D$205=0,0,F258/2)</f>
        <v>0</v>
      </c>
      <c r="I262" s="278">
        <f>-SUM(H262:H264)*$D$262</f>
        <v>0</v>
      </c>
      <c r="J262" s="278">
        <f t="shared" si="2"/>
        <v>0</v>
      </c>
      <c r="K262" s="278">
        <f>IF($D$205=0,0,I258/2)</f>
        <v>0</v>
      </c>
      <c r="L262" s="278">
        <f>-SUM(K262:K264)*$D$262</f>
        <v>0</v>
      </c>
      <c r="M262" s="278">
        <f t="shared" si="3"/>
        <v>0</v>
      </c>
      <c r="N262" s="278">
        <f>IF($D$205=0,0,L258/2)</f>
        <v>0</v>
      </c>
      <c r="O262" s="278">
        <f>-SUM(N262:N264)*$D$262</f>
        <v>0</v>
      </c>
      <c r="P262" s="278">
        <f t="shared" si="4"/>
        <v>0</v>
      </c>
    </row>
    <row r="263" spans="1:16" x14ac:dyDescent="0.2">
      <c r="A263" s="275"/>
      <c r="C263" s="274" t="s">
        <v>1085</v>
      </c>
      <c r="D263" s="286">
        <f t="shared" si="0"/>
        <v>0</v>
      </c>
      <c r="E263" s="278">
        <v>0</v>
      </c>
      <c r="F263" s="278">
        <f>-SUM(E262:E264)*$D$263</f>
        <v>0</v>
      </c>
      <c r="G263" s="278">
        <f t="shared" si="1"/>
        <v>0</v>
      </c>
      <c r="H263" s="278">
        <f>IF($D$206=0,0,F266/2)</f>
        <v>0</v>
      </c>
      <c r="I263" s="278">
        <f>-SUM(H262:H264)*$D$263</f>
        <v>0</v>
      </c>
      <c r="J263" s="278">
        <f t="shared" si="2"/>
        <v>0</v>
      </c>
      <c r="K263" s="278">
        <f>IF($D$206=0,0,I266/2)</f>
        <v>0</v>
      </c>
      <c r="L263" s="278">
        <f>-SUM(K262:K264)*$D$263</f>
        <v>0</v>
      </c>
      <c r="M263" s="278">
        <f t="shared" si="3"/>
        <v>0</v>
      </c>
      <c r="N263" s="278">
        <f>IF($D$206=0,0,L266/2)</f>
        <v>0</v>
      </c>
      <c r="O263" s="278">
        <f>-SUM(N262:N264)*$D$263</f>
        <v>0</v>
      </c>
      <c r="P263" s="278">
        <f t="shared" si="4"/>
        <v>0</v>
      </c>
    </row>
    <row r="264" spans="1:16" x14ac:dyDescent="0.2">
      <c r="A264" s="275"/>
      <c r="C264" s="274" t="s">
        <v>1086</v>
      </c>
      <c r="D264" s="286">
        <f t="shared" si="0"/>
        <v>0</v>
      </c>
      <c r="E264" s="278">
        <f>-$E$154*E207^2/12</f>
        <v>0</v>
      </c>
      <c r="F264" s="278">
        <f>-SUM(E262:E264)*$D$264</f>
        <v>0</v>
      </c>
      <c r="G264" s="278">
        <f t="shared" si="1"/>
        <v>0</v>
      </c>
      <c r="H264" s="278">
        <f>IF($D$207=0,0,IF($D$211=0,-F264/2,F268/2))</f>
        <v>0</v>
      </c>
      <c r="I264" s="278">
        <f>-SUM(H262:H264)*$D$264</f>
        <v>0</v>
      </c>
      <c r="J264" s="278">
        <f t="shared" si="2"/>
        <v>0</v>
      </c>
      <c r="K264" s="278">
        <f>IF($D$207=0,0,IF($D$211=0,-I264/2,I268/2))</f>
        <v>0</v>
      </c>
      <c r="L264" s="278">
        <f>-SUM(K262:K264)*$D$264</f>
        <v>0</v>
      </c>
      <c r="M264" s="278">
        <f t="shared" si="3"/>
        <v>0</v>
      </c>
      <c r="N264" s="278">
        <f>IF($D$207=0,0,IF($D$211=0,-L264/2,L268/2))</f>
        <v>0</v>
      </c>
      <c r="O264" s="278">
        <f>-SUM(N262:N264)*$D$264</f>
        <v>0</v>
      </c>
      <c r="P264" s="278">
        <f t="shared" si="4"/>
        <v>0</v>
      </c>
    </row>
    <row r="265" spans="1:16" x14ac:dyDescent="0.2">
      <c r="A265" s="275"/>
      <c r="B265" s="274" t="s">
        <v>207</v>
      </c>
      <c r="C265" s="274" t="s">
        <v>1087</v>
      </c>
      <c r="D265" s="286">
        <f t="shared" si="0"/>
        <v>0</v>
      </c>
      <c r="E265" s="278">
        <f>-$E$155*E208^2/12</f>
        <v>0</v>
      </c>
      <c r="F265" s="278">
        <f>-SUM(E265:E267)*$D$265</f>
        <v>0</v>
      </c>
      <c r="G265" s="278">
        <f t="shared" si="1"/>
        <v>0</v>
      </c>
      <c r="H265" s="278">
        <f>IF($D$208=0,0,F261/2)</f>
        <v>0</v>
      </c>
      <c r="I265" s="278">
        <f>-SUM(H265:H267)*$D$265</f>
        <v>0</v>
      </c>
      <c r="J265" s="278">
        <f t="shared" si="2"/>
        <v>0</v>
      </c>
      <c r="K265" s="278">
        <f>IF($D$208=0,0,I261/2)</f>
        <v>0</v>
      </c>
      <c r="L265" s="278">
        <f>-SUM(K265:K267)*$D$265</f>
        <v>0</v>
      </c>
      <c r="M265" s="278">
        <f t="shared" si="3"/>
        <v>0</v>
      </c>
      <c r="N265" s="278">
        <f>IF($D$208=0,0,L261/2)</f>
        <v>0</v>
      </c>
      <c r="O265" s="278">
        <f>-SUM(N265:N267)*$D$265</f>
        <v>0</v>
      </c>
      <c r="P265" s="278">
        <f t="shared" si="4"/>
        <v>0</v>
      </c>
    </row>
    <row r="266" spans="1:16" x14ac:dyDescent="0.2">
      <c r="A266" s="275"/>
      <c r="C266" s="274" t="s">
        <v>1088</v>
      </c>
      <c r="D266" s="286">
        <f t="shared" si="0"/>
        <v>0</v>
      </c>
      <c r="E266" s="278">
        <v>0</v>
      </c>
      <c r="F266" s="278">
        <f>-SUM(E265:E267)*$D$266</f>
        <v>0</v>
      </c>
      <c r="G266" s="278">
        <f t="shared" si="1"/>
        <v>0</v>
      </c>
      <c r="H266" s="278">
        <f>IF($D$209=0,0,F263/2)</f>
        <v>0</v>
      </c>
      <c r="I266" s="278">
        <f>-SUM(H265:H267)*$D$266</f>
        <v>0</v>
      </c>
      <c r="J266" s="278">
        <f t="shared" si="2"/>
        <v>0</v>
      </c>
      <c r="K266" s="278">
        <f>IF($D$209=0,0,I263/2)</f>
        <v>0</v>
      </c>
      <c r="L266" s="278">
        <f>-SUM(K265:K267)*$D$266</f>
        <v>0</v>
      </c>
      <c r="M266" s="278">
        <f t="shared" si="3"/>
        <v>0</v>
      </c>
      <c r="N266" s="278">
        <f>IF($D$209=0,0,L263/2)</f>
        <v>0</v>
      </c>
      <c r="O266" s="278">
        <f>-SUM(N265:N267)*$D$266</f>
        <v>0</v>
      </c>
      <c r="P266" s="278">
        <f t="shared" si="4"/>
        <v>0</v>
      </c>
    </row>
    <row r="267" spans="1:16" x14ac:dyDescent="0.2">
      <c r="A267" s="275"/>
      <c r="C267" s="274" t="s">
        <v>1089</v>
      </c>
      <c r="D267" s="286">
        <f t="shared" si="0"/>
        <v>0</v>
      </c>
      <c r="E267" s="278">
        <f>$E$155*E210^2/12</f>
        <v>0</v>
      </c>
      <c r="F267" s="278">
        <f>-SUM(E265:E267)*$D$267</f>
        <v>0</v>
      </c>
      <c r="G267" s="278">
        <f t="shared" si="1"/>
        <v>0</v>
      </c>
      <c r="H267" s="278">
        <f>IF($D$210=0,0,IF($D$214=0,-F267/2,F271/2))</f>
        <v>0</v>
      </c>
      <c r="I267" s="278">
        <f>-SUM(H265:H267)*$D$267</f>
        <v>0</v>
      </c>
      <c r="J267" s="278">
        <f t="shared" si="2"/>
        <v>0</v>
      </c>
      <c r="K267" s="278">
        <f>IF($D$210=0,0,IF($D$214=0,-I267/2,I271/2))</f>
        <v>0</v>
      </c>
      <c r="L267" s="278">
        <f>-SUM(K265:K267)*$D$267</f>
        <v>0</v>
      </c>
      <c r="M267" s="278">
        <f t="shared" si="3"/>
        <v>0</v>
      </c>
      <c r="N267" s="278">
        <f>IF($D$210=0,0,IF($D$214=0,-L267/2,L271/2))</f>
        <v>0</v>
      </c>
      <c r="O267" s="278">
        <f>-SUM(N265:N267)*$D$267</f>
        <v>0</v>
      </c>
      <c r="P267" s="278">
        <f t="shared" si="4"/>
        <v>0</v>
      </c>
    </row>
    <row r="268" spans="1:16" x14ac:dyDescent="0.2">
      <c r="A268" s="275"/>
      <c r="B268" s="274" t="s">
        <v>1090</v>
      </c>
      <c r="C268" s="274" t="s">
        <v>1091</v>
      </c>
      <c r="D268" s="286">
        <f t="shared" si="0"/>
        <v>0</v>
      </c>
      <c r="E268" s="278">
        <f>$E$154*E211^2/12</f>
        <v>0</v>
      </c>
      <c r="F268" s="278">
        <f>-SUM(E268:E270)*$D$268</f>
        <v>0</v>
      </c>
      <c r="G268" s="278">
        <f t="shared" si="1"/>
        <v>0</v>
      </c>
      <c r="H268" s="278">
        <f>IF($D$211=0,0,F264/2)</f>
        <v>0</v>
      </c>
      <c r="I268" s="278">
        <f>-SUM(H268:H270)*$D$268</f>
        <v>0</v>
      </c>
      <c r="J268" s="278">
        <f t="shared" si="2"/>
        <v>0</v>
      </c>
      <c r="K268" s="278">
        <f>IF($D$211=0,0,I264/2)</f>
        <v>0</v>
      </c>
      <c r="L268" s="278">
        <f>-SUM(K268:K270)*$D$268</f>
        <v>0</v>
      </c>
      <c r="M268" s="278">
        <f t="shared" si="3"/>
        <v>0</v>
      </c>
      <c r="N268" s="278">
        <f>IF($D$211=0,0,L264/2)</f>
        <v>0</v>
      </c>
      <c r="O268" s="278">
        <f>-SUM(N268:N270)*$D$268</f>
        <v>0</v>
      </c>
      <c r="P268" s="278">
        <f t="shared" si="4"/>
        <v>0</v>
      </c>
    </row>
    <row r="269" spans="1:16" x14ac:dyDescent="0.2">
      <c r="A269" s="275"/>
      <c r="C269" s="274" t="s">
        <v>1092</v>
      </c>
      <c r="D269" s="286">
        <f t="shared" si="0"/>
        <v>0</v>
      </c>
      <c r="E269" s="278">
        <v>0</v>
      </c>
      <c r="F269" s="278">
        <f>-SUM(E268:E270)*$D$269</f>
        <v>0</v>
      </c>
      <c r="G269" s="278">
        <f t="shared" si="1"/>
        <v>0</v>
      </c>
      <c r="H269" s="278">
        <f>IF($D$212=0,0,F272/2)</f>
        <v>0</v>
      </c>
      <c r="I269" s="278">
        <f>-SUM(H268:H270)*$D$269</f>
        <v>0</v>
      </c>
      <c r="J269" s="278">
        <f t="shared" si="2"/>
        <v>0</v>
      </c>
      <c r="K269" s="278">
        <f>IF($D$212=0,0,I272/2)</f>
        <v>0</v>
      </c>
      <c r="L269" s="278">
        <f>-SUM(K268:K270)*$D$269</f>
        <v>0</v>
      </c>
      <c r="M269" s="278">
        <f t="shared" si="3"/>
        <v>0</v>
      </c>
      <c r="N269" s="278">
        <f>IF($D$212=0,0,L272/2)</f>
        <v>0</v>
      </c>
      <c r="O269" s="278">
        <f>-SUM(N268:N270)*$D$269</f>
        <v>0</v>
      </c>
      <c r="P269" s="278">
        <f t="shared" si="4"/>
        <v>0</v>
      </c>
    </row>
    <row r="270" spans="1:16" x14ac:dyDescent="0.2">
      <c r="A270" s="275"/>
      <c r="C270" s="274" t="s">
        <v>1093</v>
      </c>
      <c r="D270" s="286">
        <f t="shared" si="0"/>
        <v>0</v>
      </c>
      <c r="E270" s="278">
        <f>-$E$154*E213^2/12</f>
        <v>0</v>
      </c>
      <c r="F270" s="278">
        <f>-SUM(E268:E270)*$D$270</f>
        <v>0</v>
      </c>
      <c r="G270" s="278">
        <f t="shared" si="1"/>
        <v>0</v>
      </c>
      <c r="H270" s="278">
        <f>IF($D$213=0,0,-F270/2)</f>
        <v>0</v>
      </c>
      <c r="I270" s="278">
        <f>-SUM(H268:H270)*$D$270</f>
        <v>0</v>
      </c>
      <c r="J270" s="278">
        <f t="shared" si="2"/>
        <v>0</v>
      </c>
      <c r="K270" s="278">
        <f>IF($D$213=0,0,-I270/2)</f>
        <v>0</v>
      </c>
      <c r="L270" s="278">
        <f>-SUM(K268:K270)*$D$270</f>
        <v>0</v>
      </c>
      <c r="M270" s="278">
        <f t="shared" si="3"/>
        <v>0</v>
      </c>
      <c r="N270" s="278">
        <f>IF($D$213=0,0,-L270/2)</f>
        <v>0</v>
      </c>
      <c r="O270" s="278">
        <f>-SUM(N268:N270)*$D$270</f>
        <v>0</v>
      </c>
      <c r="P270" s="278">
        <f t="shared" si="4"/>
        <v>0</v>
      </c>
    </row>
    <row r="271" spans="1:16" x14ac:dyDescent="0.2">
      <c r="A271" s="275"/>
      <c r="B271" s="274" t="s">
        <v>1094</v>
      </c>
      <c r="C271" s="274" t="s">
        <v>1095</v>
      </c>
      <c r="D271" s="286">
        <f t="shared" si="0"/>
        <v>0</v>
      </c>
      <c r="E271" s="278">
        <f>-$E$155*E214^2/12</f>
        <v>0</v>
      </c>
      <c r="F271" s="278">
        <f>-SUM(E271:E273)*$D$271</f>
        <v>0</v>
      </c>
      <c r="G271" s="278">
        <f t="shared" si="1"/>
        <v>0</v>
      </c>
      <c r="H271" s="278">
        <f>IF($D$214=0,0,F267/2)</f>
        <v>0</v>
      </c>
      <c r="I271" s="278">
        <f>-SUM(H271:H273)*$D$271</f>
        <v>0</v>
      </c>
      <c r="J271" s="278">
        <f t="shared" si="2"/>
        <v>0</v>
      </c>
      <c r="K271" s="278">
        <f>IF($D$214=0,0,I267/2)</f>
        <v>0</v>
      </c>
      <c r="L271" s="278">
        <f>-SUM(K271:K273)*$D$271</f>
        <v>0</v>
      </c>
      <c r="M271" s="278">
        <f t="shared" si="3"/>
        <v>0</v>
      </c>
      <c r="N271" s="278">
        <f>IF($D$214=0,0,L267/2)</f>
        <v>0</v>
      </c>
      <c r="O271" s="278">
        <f>-SUM(N271:N273)*$D$271</f>
        <v>0</v>
      </c>
      <c r="P271" s="278">
        <f t="shared" si="4"/>
        <v>0</v>
      </c>
    </row>
    <row r="272" spans="1:16" x14ac:dyDescent="0.2">
      <c r="A272" s="275"/>
      <c r="C272" s="274" t="s">
        <v>1096</v>
      </c>
      <c r="D272" s="286">
        <f t="shared" si="0"/>
        <v>0</v>
      </c>
      <c r="E272" s="278">
        <v>0</v>
      </c>
      <c r="F272" s="278">
        <f>-SUM(E271:E273)*$D$272</f>
        <v>0</v>
      </c>
      <c r="G272" s="278">
        <f t="shared" si="1"/>
        <v>0</v>
      </c>
      <c r="H272" s="278">
        <f>IF($D$215=0,0,F269/2)</f>
        <v>0</v>
      </c>
      <c r="I272" s="278">
        <f>-SUM(H271:H273)*$D$272</f>
        <v>0</v>
      </c>
      <c r="J272" s="278">
        <f t="shared" si="2"/>
        <v>0</v>
      </c>
      <c r="K272" s="278">
        <f>IF($D$215=0,0,I269/2)</f>
        <v>0</v>
      </c>
      <c r="L272" s="278">
        <f>-SUM(K271:K273)*$D$272</f>
        <v>0</v>
      </c>
      <c r="M272" s="278">
        <f t="shared" si="3"/>
        <v>0</v>
      </c>
      <c r="N272" s="278">
        <f>IF($D$215=0,0,L269/2)</f>
        <v>0</v>
      </c>
      <c r="O272" s="278">
        <f>-SUM(N271:N273)*$D$272</f>
        <v>0</v>
      </c>
      <c r="P272" s="278">
        <f t="shared" si="4"/>
        <v>0</v>
      </c>
    </row>
    <row r="273" spans="1:16" x14ac:dyDescent="0.2">
      <c r="A273" s="275"/>
      <c r="C273" s="274" t="s">
        <v>1097</v>
      </c>
      <c r="D273" s="286">
        <f t="shared" si="0"/>
        <v>0</v>
      </c>
      <c r="E273" s="278">
        <f>$E$155*E216^2/12</f>
        <v>0</v>
      </c>
      <c r="F273" s="278">
        <f>-SUM(E271:E273)*$D$273</f>
        <v>0</v>
      </c>
      <c r="G273" s="278">
        <f t="shared" si="1"/>
        <v>0</v>
      </c>
      <c r="H273" s="278">
        <f>IF($D$216=0,0,-F273/2)</f>
        <v>0</v>
      </c>
      <c r="I273" s="278">
        <f>-SUM(H271:H273)*$D$273</f>
        <v>0</v>
      </c>
      <c r="J273" s="278">
        <f t="shared" si="2"/>
        <v>0</v>
      </c>
      <c r="K273" s="278">
        <f>IF($D$216=0,0,-I273/2)</f>
        <v>0</v>
      </c>
      <c r="L273" s="278">
        <f>-SUM(K271:K273)*$D$273</f>
        <v>0</v>
      </c>
      <c r="M273" s="278">
        <f t="shared" si="3"/>
        <v>0</v>
      </c>
      <c r="N273" s="278">
        <f>IF($D$216=0,0,-L273/2)</f>
        <v>0</v>
      </c>
      <c r="O273" s="278">
        <f>-SUM(N271:N273)*$D$273</f>
        <v>0</v>
      </c>
      <c r="P273" s="278">
        <f t="shared" si="4"/>
        <v>0</v>
      </c>
    </row>
    <row r="274" spans="1:16" x14ac:dyDescent="0.2">
      <c r="A274" s="274" t="s">
        <v>986</v>
      </c>
    </row>
    <row r="275" spans="1:16" x14ac:dyDescent="0.2">
      <c r="A275" s="274" t="s">
        <v>950</v>
      </c>
    </row>
    <row r="276" spans="1:16" x14ac:dyDescent="0.2">
      <c r="A276" s="274" t="s">
        <v>1110</v>
      </c>
    </row>
    <row r="278" spans="1:16" x14ac:dyDescent="0.2">
      <c r="B278" s="171" t="s">
        <v>1782</v>
      </c>
    </row>
    <row r="279" spans="1:16" x14ac:dyDescent="0.2">
      <c r="B279" s="171" t="s">
        <v>1781</v>
      </c>
    </row>
    <row r="280" spans="1:16" x14ac:dyDescent="0.2">
      <c r="B280" s="171"/>
    </row>
    <row r="281" spans="1:16" x14ac:dyDescent="0.2">
      <c r="B281" s="169"/>
    </row>
    <row r="282" spans="1:16" x14ac:dyDescent="0.2">
      <c r="B282" s="171" t="s">
        <v>1783</v>
      </c>
    </row>
    <row r="283" spans="1:16" x14ac:dyDescent="0.2">
      <c r="B283" s="171" t="s">
        <v>1784</v>
      </c>
    </row>
    <row r="284" spans="1:16" x14ac:dyDescent="0.2">
      <c r="B284" s="171" t="s">
        <v>1785</v>
      </c>
    </row>
    <row r="286" spans="1:16" x14ac:dyDescent="0.2">
      <c r="B286" s="274" t="s">
        <v>1111</v>
      </c>
      <c r="D286" s="274" t="s">
        <v>1112</v>
      </c>
      <c r="F286" s="274" t="s">
        <v>1112</v>
      </c>
      <c r="H286" s="274" t="s">
        <v>1113</v>
      </c>
      <c r="I286" s="274" t="s">
        <v>1114</v>
      </c>
    </row>
    <row r="287" spans="1:16" x14ac:dyDescent="0.2">
      <c r="D287" s="274" t="s">
        <v>1115</v>
      </c>
      <c r="F287" s="274" t="s">
        <v>1116</v>
      </c>
      <c r="H287" s="274" t="s">
        <v>1117</v>
      </c>
      <c r="I287" s="274" t="s">
        <v>627</v>
      </c>
    </row>
    <row r="288" spans="1:16" x14ac:dyDescent="0.2">
      <c r="B288" s="274" t="s">
        <v>1118</v>
      </c>
      <c r="D288" s="274" t="s">
        <v>1119</v>
      </c>
      <c r="E288" s="274" t="s">
        <v>1120</v>
      </c>
      <c r="F288" s="274" t="s">
        <v>1119</v>
      </c>
      <c r="G288" s="274" t="s">
        <v>1120</v>
      </c>
      <c r="H288" s="274" t="s">
        <v>1121</v>
      </c>
      <c r="I288" s="274" t="s">
        <v>1122</v>
      </c>
    </row>
    <row r="290" spans="2:9" x14ac:dyDescent="0.2">
      <c r="B290" s="274" t="s">
        <v>1123</v>
      </c>
    </row>
    <row r="291" spans="2:9" x14ac:dyDescent="0.2">
      <c r="B291" s="274" t="s">
        <v>1049</v>
      </c>
      <c r="C291" s="274" t="s">
        <v>1050</v>
      </c>
      <c r="D291" s="278">
        <f>P247</f>
        <v>-134.72615154472098</v>
      </c>
      <c r="E291" s="278">
        <f>IF(D193=0,-D291,P250)</f>
        <v>134.72615154472098</v>
      </c>
      <c r="F291" s="278">
        <f>IF(D193=0,$E$154*E190/2,($E$154*E190^2/2-D291-E291)/E190)</f>
        <v>61.051682092555346</v>
      </c>
      <c r="G291" s="278">
        <f>$E$154*E190-F291</f>
        <v>61.051682092555346</v>
      </c>
      <c r="H291" s="278">
        <f>F291/$E$154</f>
        <v>1.1000000000000001</v>
      </c>
      <c r="I291" s="278">
        <f>F291*H291-$E$154*H291^2/2+D291</f>
        <v>-101.14772639381553</v>
      </c>
    </row>
    <row r="292" spans="2:9" x14ac:dyDescent="0.2">
      <c r="B292" s="274" t="s">
        <v>1050</v>
      </c>
      <c r="C292" s="274" t="s">
        <v>1051</v>
      </c>
      <c r="D292" s="278">
        <f>P252</f>
        <v>0</v>
      </c>
      <c r="E292" s="278">
        <f>IF(D199=0,-D292,P256)</f>
        <v>0</v>
      </c>
      <c r="F292" s="278">
        <f>IF(D195=0,0,IF(D199=0,$E$154*E195/2,($E$154*E195^2/2-D292-E292)/E195))</f>
        <v>0</v>
      </c>
      <c r="G292" s="278">
        <f>$E$154*E195-F292</f>
        <v>0</v>
      </c>
      <c r="H292" s="278">
        <f>F292/$E$154</f>
        <v>0</v>
      </c>
      <c r="I292" s="278">
        <f>F292*H292-$E$154*H292^2/2+D292</f>
        <v>0</v>
      </c>
    </row>
    <row r="293" spans="2:9" x14ac:dyDescent="0.2">
      <c r="B293" s="274" t="s">
        <v>1051</v>
      </c>
      <c r="C293" s="274" t="s">
        <v>1052</v>
      </c>
      <c r="D293" s="278">
        <f>P258</f>
        <v>0</v>
      </c>
      <c r="E293" s="278">
        <f>IF(D205=0,-D293,P262)</f>
        <v>0</v>
      </c>
      <c r="F293" s="278">
        <f>IF(D201=0,0,IF(D205=0,$E$154*E201/2,($E$154*E201^2/2-D293-E293)/E201))</f>
        <v>0</v>
      </c>
      <c r="G293" s="278">
        <f>$E$154*E201-F293</f>
        <v>0</v>
      </c>
      <c r="H293" s="278">
        <f>F293/$E$154</f>
        <v>0</v>
      </c>
      <c r="I293" s="278">
        <f>F293*H293-$E$154*H293^2/2+D293</f>
        <v>0</v>
      </c>
    </row>
    <row r="294" spans="2:9" x14ac:dyDescent="0.2">
      <c r="B294" s="274" t="s">
        <v>1052</v>
      </c>
      <c r="C294" s="274" t="s">
        <v>1090</v>
      </c>
      <c r="D294" s="278">
        <f>P264</f>
        <v>0</v>
      </c>
      <c r="E294" s="278">
        <f>IF(D211=0,-D294,P268)</f>
        <v>0</v>
      </c>
      <c r="F294" s="278">
        <f>IF(D207=0,0,IF(D211=0,$E$154*E207/2,($E$154*E207^2/2-D294-E294)/E207))</f>
        <v>0</v>
      </c>
      <c r="G294" s="278">
        <f>$E$154*E207-F294</f>
        <v>0</v>
      </c>
      <c r="H294" s="278">
        <f>F294/$E$154</f>
        <v>0</v>
      </c>
      <c r="I294" s="278">
        <f>F294*H294-$E$154*H294^2/2+D294</f>
        <v>0</v>
      </c>
    </row>
    <row r="295" spans="2:9" x14ac:dyDescent="0.2">
      <c r="B295" s="274" t="s">
        <v>1090</v>
      </c>
      <c r="C295" s="274" t="s">
        <v>1124</v>
      </c>
      <c r="D295" s="278">
        <f>P270</f>
        <v>0</v>
      </c>
      <c r="E295" s="278">
        <f>-D295</f>
        <v>0</v>
      </c>
      <c r="F295" s="278">
        <f>IF(D213=0,0,$E$154*E213/2)</f>
        <v>0</v>
      </c>
      <c r="G295" s="278">
        <f>$E$154*E213-F295</f>
        <v>0</v>
      </c>
      <c r="H295" s="278">
        <f>F295/$E$154</f>
        <v>0</v>
      </c>
      <c r="I295" s="278">
        <f>F295*H295-$E$154*H295^2/2+D295</f>
        <v>0</v>
      </c>
    </row>
    <row r="297" spans="2:9" x14ac:dyDescent="0.2">
      <c r="B297" s="274" t="s">
        <v>1125</v>
      </c>
    </row>
    <row r="298" spans="2:9" x14ac:dyDescent="0.2">
      <c r="B298" s="274" t="s">
        <v>209</v>
      </c>
      <c r="C298" s="274" t="s">
        <v>1062</v>
      </c>
      <c r="D298" s="278">
        <f>P249</f>
        <v>259.75446011666912</v>
      </c>
      <c r="E298" s="278">
        <f>IF(D196=0,-D298,P253)</f>
        <v>-259.75446011666912</v>
      </c>
      <c r="F298" s="278">
        <f>IF(D196=0,$E$155*E192/2,($E$155*E192^2/2+D298+E298)/E192)</f>
        <v>133.11306140290017</v>
      </c>
      <c r="G298" s="278">
        <f>$E$155*E192-F298</f>
        <v>133.11306140290017</v>
      </c>
      <c r="H298" s="278">
        <f>F298/$E$155</f>
        <v>1.1000000000000001</v>
      </c>
      <c r="I298" s="278">
        <f>-F298*H298+$E$155*H298^2/2+D298</f>
        <v>186.54227634507401</v>
      </c>
    </row>
    <row r="299" spans="2:9" x14ac:dyDescent="0.2">
      <c r="B299" s="274" t="s">
        <v>1062</v>
      </c>
      <c r="C299" s="274" t="s">
        <v>1063</v>
      </c>
      <c r="D299" s="278">
        <f>P255</f>
        <v>0</v>
      </c>
      <c r="E299" s="278">
        <f>IF(D202=0,-D299,P259)</f>
        <v>0</v>
      </c>
      <c r="F299" s="278">
        <f>IF(D198=0,0,IF(D202=0,$E$155*E198/2,($E$155*E198^2/2+D299+E299)/E198))</f>
        <v>0</v>
      </c>
      <c r="G299" s="278">
        <f>$E$155*E198-F299</f>
        <v>0</v>
      </c>
      <c r="H299" s="278">
        <f>F299/$E$155</f>
        <v>0</v>
      </c>
      <c r="I299" s="278">
        <f>-F299*H299+$E$155*H299^2/2+D299</f>
        <v>0</v>
      </c>
    </row>
    <row r="300" spans="2:9" x14ac:dyDescent="0.2">
      <c r="B300" s="274" t="s">
        <v>1063</v>
      </c>
      <c r="C300" s="274" t="s">
        <v>207</v>
      </c>
      <c r="D300" s="278">
        <f>P261</f>
        <v>0</v>
      </c>
      <c r="E300" s="278">
        <f>IF(D208=0,-D300,P265)</f>
        <v>0</v>
      </c>
      <c r="F300" s="278">
        <f>IF(D204=0,0,IF(D208=0,$E$155*E204/2,($E$155*E204^2/2+D300+E300)/E204))</f>
        <v>0</v>
      </c>
      <c r="G300" s="278">
        <f>$E$155*E204-F300</f>
        <v>0</v>
      </c>
      <c r="H300" s="278">
        <f>F300/$E$155</f>
        <v>0</v>
      </c>
      <c r="I300" s="278">
        <f>-F300*H300+$E$155*H300^2/2+D300</f>
        <v>0</v>
      </c>
    </row>
    <row r="301" spans="2:9" x14ac:dyDescent="0.2">
      <c r="B301" s="274" t="s">
        <v>207</v>
      </c>
      <c r="C301" s="274" t="s">
        <v>1094</v>
      </c>
      <c r="D301" s="278">
        <f>P267</f>
        <v>0</v>
      </c>
      <c r="E301" s="278">
        <f>IF(D214=0,-D301,P271)</f>
        <v>0</v>
      </c>
      <c r="F301" s="278">
        <f>IF(D210=0,0,IF(D214=0,$E$155*E210/2,($E$155*E210^2/2+D301+E301)/E210))</f>
        <v>0</v>
      </c>
      <c r="G301" s="278">
        <f>$E$155*E210-F301</f>
        <v>0</v>
      </c>
      <c r="H301" s="278">
        <f>F301/$E$155</f>
        <v>0</v>
      </c>
      <c r="I301" s="278">
        <f>-F301*H301+$E$155*H301^2/2+D301</f>
        <v>0</v>
      </c>
    </row>
    <row r="302" spans="2:9" x14ac:dyDescent="0.2">
      <c r="B302" s="274" t="s">
        <v>1094</v>
      </c>
      <c r="C302" s="274" t="s">
        <v>204</v>
      </c>
      <c r="D302" s="278">
        <f>P273</f>
        <v>0</v>
      </c>
      <c r="E302" s="278">
        <f>-D302</f>
        <v>0</v>
      </c>
      <c r="F302" s="278">
        <f>IF(D216=0,0,$E$155*E216/2)</f>
        <v>0</v>
      </c>
      <c r="G302" s="278">
        <f>$E$155*E216-F302</f>
        <v>0</v>
      </c>
      <c r="H302" s="278">
        <f>F302/$E$155</f>
        <v>0</v>
      </c>
      <c r="I302" s="278">
        <f>-F302*H302+$E$155*H302^2/2+D302</f>
        <v>0</v>
      </c>
    </row>
    <row r="304" spans="2:9" x14ac:dyDescent="0.2">
      <c r="B304" s="274" t="s">
        <v>1126</v>
      </c>
    </row>
    <row r="305" spans="1:10" x14ac:dyDescent="0.2">
      <c r="B305" s="274" t="s">
        <v>1049</v>
      </c>
      <c r="C305" s="274" t="s">
        <v>209</v>
      </c>
      <c r="D305" s="278">
        <f>P246</f>
        <v>134.72615154472098</v>
      </c>
      <c r="E305" s="278">
        <f>P248</f>
        <v>-259.75446011666918</v>
      </c>
      <c r="F305" s="278">
        <f>(E158*E189^2/2+(E159-E158)*E189^2/6+D305+E305)/E189</f>
        <v>180.74525617675678</v>
      </c>
      <c r="G305" s="278">
        <f>E158*E189+(E159-E158)*E189/2-F305</f>
        <v>318.98859085331969</v>
      </c>
      <c r="H305" s="278">
        <f>(-E158+SQRT(E158^2+4*(E159-E158)*F305/2/E189))*E189/(E159-E158)</f>
        <v>3.2669130864764155</v>
      </c>
      <c r="I305" s="278">
        <f>-F305*H305+E158*H305^2/2+(E159-E158)*H305^3/E189/6+D305</f>
        <v>-202.72302636322095</v>
      </c>
    </row>
    <row r="307" spans="1:10" x14ac:dyDescent="0.2">
      <c r="B307" s="274" t="s">
        <v>1127</v>
      </c>
    </row>
    <row r="308" spans="1:10" x14ac:dyDescent="0.2">
      <c r="B308" s="274" t="s">
        <v>1050</v>
      </c>
      <c r="C308" s="274" t="s">
        <v>1062</v>
      </c>
      <c r="D308" s="278">
        <f>$P$251</f>
        <v>0</v>
      </c>
      <c r="E308" s="278">
        <f>$P$254</f>
        <v>0</v>
      </c>
      <c r="F308" s="278">
        <f>IF($E$34&lt;2,0,($E$162*$H$79^2/2+($E$163-$E$162)*$H$79^2/6-D308-E308)/$H$79)</f>
        <v>0</v>
      </c>
      <c r="G308" s="278">
        <f>IF($E$34&lt;2,0,$E$162*$H$79+($E$163-$E$162)*$H$79/2-F308)</f>
        <v>0</v>
      </c>
      <c r="H308" s="278">
        <f>IF($E$34&lt;2,0,(-$E$162+SQRT($E$162^2+4*F308*($E$163-$E$162)/2/$H$79))*$H$79/($E$163-$E$162))</f>
        <v>0</v>
      </c>
      <c r="I308" s="278">
        <f>IF($E$34&lt;2,0,-$E$162*H308^2/2-($E$163-$E$162)*H308^3/6/$H$79+F308*H308+D308)</f>
        <v>0</v>
      </c>
    </row>
    <row r="309" spans="1:10" x14ac:dyDescent="0.2">
      <c r="B309" s="274" t="s">
        <v>1051</v>
      </c>
      <c r="C309" s="274" t="s">
        <v>1063</v>
      </c>
      <c r="D309" s="278">
        <f>$P$257</f>
        <v>0</v>
      </c>
      <c r="E309" s="278">
        <f>$P$260</f>
        <v>0</v>
      </c>
      <c r="F309" s="278">
        <f>IF($E$34&lt;4,0,($E$162*$H$79^2/2+($E$163-$E$162)*$H$79^2/6-D309-E309)/$H$79)</f>
        <v>0</v>
      </c>
      <c r="G309" s="278">
        <f>IF($E$34&lt;4,0,$E$162*$H$79+($E$163-$E$162)*$H$79/2-F309)</f>
        <v>0</v>
      </c>
      <c r="H309" s="278">
        <f>IF($E$34&lt;4,0,(-$E$162+SQRT($E$162^2+4*F309*($E$163-$E$162)/2/$H$79))*$H$79/($E$163-$E$162))</f>
        <v>0</v>
      </c>
      <c r="I309" s="278">
        <f>IF($E$34&lt;4,0,-$E$162*H309^2/2-($E$163-$E$162)*H309^3/6/$H$79+F309*H309+D309)</f>
        <v>0</v>
      </c>
    </row>
    <row r="310" spans="1:10" x14ac:dyDescent="0.2">
      <c r="B310" s="274" t="s">
        <v>1052</v>
      </c>
      <c r="C310" s="274" t="s">
        <v>207</v>
      </c>
      <c r="D310" s="278">
        <f>$P$263</f>
        <v>0</v>
      </c>
      <c r="E310" s="278">
        <f>$P$266</f>
        <v>0</v>
      </c>
      <c r="F310" s="278">
        <f>IF($E$34&lt;6,0,($E$162*$H$79^2/2+($E$163-$E$162)*$H$79^2/6-D310-E310)/$H$79)</f>
        <v>0</v>
      </c>
      <c r="G310" s="278">
        <f>IF($E$34&lt;6,0,$E$162*$H$79+($E$163-$E$162)*$H$79/2-F310)</f>
        <v>0</v>
      </c>
      <c r="H310" s="278">
        <f>IF($E$34&lt;6,0,(-$E$162+SQRT($E$162^2+4*F310*($E$163-$E$162)/2/$H$79))*$H$79/($E$163-$E$162))</f>
        <v>0</v>
      </c>
      <c r="I310" s="278">
        <f>IF($E$34&lt;6,0,-$E$162*H310^2/2-($E$163-$E$162)*H310^3/6/$H$79+F310*H310+D310)</f>
        <v>0</v>
      </c>
    </row>
    <row r="311" spans="1:10" x14ac:dyDescent="0.2">
      <c r="B311" s="274" t="s">
        <v>1090</v>
      </c>
      <c r="C311" s="274" t="s">
        <v>1094</v>
      </c>
      <c r="D311" s="278">
        <f>$P$269</f>
        <v>0</v>
      </c>
      <c r="E311" s="278">
        <f>$P$272</f>
        <v>0</v>
      </c>
      <c r="F311" s="278">
        <f>IF($E$34&lt;8,0,($E$162*$H$79^2/2+($E$163-$E$162)*$H$79^2/6-D311-E311)/$H$79)</f>
        <v>0</v>
      </c>
      <c r="G311" s="278">
        <f>IF($E$34&lt;8,0,$E$162*$H$79+($E$163-$E$162)*$H$79/2-F311)</f>
        <v>0</v>
      </c>
      <c r="H311" s="278">
        <f>IF($E$34&lt;8,0,(-$E$162+SQRT($E$162^2+4*F311*($E$163-$E$162)/2/$H$79))*$H$79/($E$163-$E$162))</f>
        <v>0</v>
      </c>
      <c r="I311" s="278">
        <f>IF($E$34&lt;8,0,-$E$162*H311^2/2-($E$163-$E$162)*H311^3/6/$H$79+F311*H311+D311)</f>
        <v>0</v>
      </c>
    </row>
    <row r="313" spans="1:10" x14ac:dyDescent="0.2">
      <c r="B313" s="274" t="s">
        <v>1128</v>
      </c>
    </row>
    <row r="314" spans="1:10" x14ac:dyDescent="0.2">
      <c r="B314" s="274" t="s">
        <v>1050</v>
      </c>
      <c r="C314" s="274" t="s">
        <v>1062</v>
      </c>
      <c r="D314" s="278">
        <f>$P$251</f>
        <v>0</v>
      </c>
      <c r="E314" s="278">
        <f>$P$254</f>
        <v>0</v>
      </c>
      <c r="F314" s="278">
        <f>IF($E$34&lt;2,0,($E$162*$H$79^2/2+($E$163-$E$162)*$H$79^2/6+D314+E314)/$H$79)</f>
        <v>0</v>
      </c>
      <c r="G314" s="278">
        <f>IF($E$34&lt;2,0,$E$162*$H$79+($E$163-$E$162)*$H$79/2-F314)</f>
        <v>0</v>
      </c>
      <c r="H314" s="278">
        <f>IF($E$34&lt;2,0,(-$E$162+SQRT($E$162^2+4*F314*($E$163-$E$162)/2/$H$79))*$H$79/($E$163-$E$162))</f>
        <v>0</v>
      </c>
      <c r="I314" s="278">
        <f>IF($E$34&lt;2,0,$E$162*H314^2/2+($E$163-$E$162)*H314^3/6/$H$79-F314*H314+D314)</f>
        <v>0</v>
      </c>
    </row>
    <row r="315" spans="1:10" x14ac:dyDescent="0.2">
      <c r="B315" s="274" t="s">
        <v>1051</v>
      </c>
      <c r="C315" s="274" t="s">
        <v>1063</v>
      </c>
      <c r="D315" s="278">
        <f>$P$257</f>
        <v>0</v>
      </c>
      <c r="E315" s="278">
        <f>$P$260</f>
        <v>0</v>
      </c>
      <c r="F315" s="278">
        <f>IF($E$34&lt;4,0,($E$162*$H$79^2/2+($E$163-$E$162)*$H$79^2/6+D315+E315)/$H$79)</f>
        <v>0</v>
      </c>
      <c r="G315" s="278">
        <f>IF($E$34&lt;4,0,$E$162*$H$79+($E$163-$E$162)*$H$79/2-F315)</f>
        <v>0</v>
      </c>
      <c r="H315" s="278">
        <f>IF($E$34&lt;4,0,(-$E$162+SQRT($E$162^2+4*F315*($E$163-$E$162)/2/$H$79))*$H$79/($E$163-$E$162))</f>
        <v>0</v>
      </c>
      <c r="I315" s="278">
        <f>IF($E$34&lt;4,0,$E$162*H315^2/2+($E$163-$E$162)*H315^3/6/$H$79-F315*H315+D315)</f>
        <v>0</v>
      </c>
    </row>
    <row r="316" spans="1:10" x14ac:dyDescent="0.2">
      <c r="B316" s="274" t="s">
        <v>1052</v>
      </c>
      <c r="C316" s="274" t="s">
        <v>207</v>
      </c>
      <c r="D316" s="278">
        <f>$P$263</f>
        <v>0</v>
      </c>
      <c r="E316" s="278">
        <f>$P$266</f>
        <v>0</v>
      </c>
      <c r="F316" s="278">
        <f>IF($E$34&lt;6,0,($E$162*$H$79^2/2+($E$163-$E$162)*$H$79^2/6+D316+E316)/$H$79)</f>
        <v>0</v>
      </c>
      <c r="G316" s="278">
        <f>IF($E$34&lt;6,0,$E$162*$H$79+($E$163-$E$162)*$H$79/2-F316)</f>
        <v>0</v>
      </c>
      <c r="H316" s="278">
        <f>IF($E$34&lt;6,0,(-$E$162+SQRT($E$162^2+4*F316*($E$163-$E$162)/2/$H$79))*$H$79/($E$163-$E$162))</f>
        <v>0</v>
      </c>
      <c r="I316" s="278">
        <f>IF($E$34&lt;6,0,$E$162*H316^2/2+($E$163-$E$162)*H316^3/6/$H$79-F316*H316+D316)</f>
        <v>0</v>
      </c>
    </row>
    <row r="317" spans="1:10" x14ac:dyDescent="0.2">
      <c r="B317" s="274" t="s">
        <v>1090</v>
      </c>
      <c r="C317" s="274" t="s">
        <v>1094</v>
      </c>
      <c r="D317" s="278">
        <f>$P$269</f>
        <v>0</v>
      </c>
      <c r="E317" s="278">
        <f>$P$272</f>
        <v>0</v>
      </c>
      <c r="F317" s="278">
        <f>IF($E$34&lt;8,0,($E$162*$H$79^2/2+($E$163-$E$162)*$H$79^2/6+D317+E317)/$H$79)</f>
        <v>0</v>
      </c>
      <c r="G317" s="278">
        <f>IF($E$34&lt;8,0,$E$162*$H$79+($E$163-$E$162)*$H$79/2-F317)</f>
        <v>0</v>
      </c>
      <c r="H317" s="278">
        <f>IF($E$34&lt;8,0,(-$E$162+SQRT($E$162^2+4*F317*($E$163-$E$162)/2/$H$79))*$H$79/($E$163-$E$162))</f>
        <v>0</v>
      </c>
      <c r="I317" s="278">
        <f>IF($E$34&lt;8,0,$E$162*H317^2/2+($E$163-$E$162)*H317^3/6/$H$79-F317*H317+D317)</f>
        <v>0</v>
      </c>
    </row>
    <row r="318" spans="1:10" x14ac:dyDescent="0.2">
      <c r="A318" s="274" t="s">
        <v>986</v>
      </c>
    </row>
    <row r="319" spans="1:10" ht="13.5" thickBot="1" x14ac:dyDescent="0.25">
      <c r="A319" s="274" t="s">
        <v>950</v>
      </c>
    </row>
    <row r="320" spans="1:10" x14ac:dyDescent="0.2">
      <c r="A320" s="931" t="s">
        <v>1129</v>
      </c>
      <c r="B320" s="890"/>
      <c r="C320" s="890"/>
      <c r="D320" s="890"/>
      <c r="E320" s="890"/>
      <c r="F320" s="890"/>
      <c r="G320" s="890"/>
      <c r="H320" s="890"/>
      <c r="I320" s="890"/>
      <c r="J320" s="892"/>
    </row>
    <row r="321" spans="1:10" x14ac:dyDescent="0.2">
      <c r="A321" s="815"/>
      <c r="B321" s="809"/>
      <c r="C321" s="809"/>
      <c r="D321" s="809"/>
      <c r="E321" s="809"/>
      <c r="F321" s="809"/>
      <c r="G321" s="809"/>
      <c r="H321" s="809"/>
      <c r="I321" s="809"/>
      <c r="J321" s="896"/>
    </row>
    <row r="322" spans="1:10" x14ac:dyDescent="0.2">
      <c r="A322" s="815"/>
      <c r="B322" s="1129" t="s">
        <v>1130</v>
      </c>
      <c r="C322" s="809"/>
      <c r="D322" s="809"/>
      <c r="E322" s="809"/>
      <c r="F322" s="809"/>
      <c r="G322" s="809"/>
      <c r="H322" s="809"/>
      <c r="I322" s="809"/>
      <c r="J322" s="896"/>
    </row>
    <row r="323" spans="1:10" x14ac:dyDescent="0.2">
      <c r="A323" s="815"/>
      <c r="B323" s="1129" t="s">
        <v>1131</v>
      </c>
      <c r="C323" s="809"/>
      <c r="D323" s="809"/>
      <c r="E323" s="809"/>
      <c r="F323" s="809"/>
      <c r="G323" s="809"/>
      <c r="H323" s="809"/>
      <c r="I323" s="809"/>
      <c r="J323" s="896"/>
    </row>
    <row r="324" spans="1:10" x14ac:dyDescent="0.2">
      <c r="A324" s="815"/>
      <c r="B324" s="809"/>
      <c r="C324" s="809"/>
      <c r="D324" s="809"/>
      <c r="E324" s="809"/>
      <c r="F324" s="809"/>
      <c r="G324" s="809"/>
      <c r="H324" s="809"/>
      <c r="I324" s="809"/>
      <c r="J324" s="896"/>
    </row>
    <row r="325" spans="1:10" x14ac:dyDescent="0.2">
      <c r="A325" s="815"/>
      <c r="B325" s="1129" t="s">
        <v>1123</v>
      </c>
      <c r="C325" s="809"/>
      <c r="D325" s="809"/>
      <c r="E325" s="809"/>
      <c r="F325" s="809"/>
      <c r="G325" s="1129" t="s">
        <v>1125</v>
      </c>
      <c r="H325" s="809"/>
      <c r="I325" s="809"/>
      <c r="J325" s="896"/>
    </row>
    <row r="326" spans="1:10" x14ac:dyDescent="0.2">
      <c r="A326" s="815"/>
      <c r="B326" s="1129" t="s">
        <v>1132</v>
      </c>
      <c r="C326" s="809"/>
      <c r="D326" s="809"/>
      <c r="E326" s="908">
        <f>MAX(E291:E295,-MIN(D291:D295))</f>
        <v>134.72615154472098</v>
      </c>
      <c r="F326" s="1129" t="s">
        <v>58</v>
      </c>
      <c r="G326" s="1129" t="s">
        <v>1752</v>
      </c>
      <c r="H326" s="809"/>
      <c r="I326" s="908">
        <f>IF(MIN(I298:I302)&gt;0,0,-MIN(I298:I302))</f>
        <v>0</v>
      </c>
      <c r="J326" s="932" t="s">
        <v>58</v>
      </c>
    </row>
    <row r="327" spans="1:10" x14ac:dyDescent="0.2">
      <c r="A327" s="815"/>
      <c r="B327" s="1129" t="s">
        <v>1133</v>
      </c>
      <c r="C327" s="809"/>
      <c r="D327" s="809"/>
      <c r="E327" s="908">
        <f>IF(MAX(I291:I295)&lt;0,0,MAX(I291:I295))</f>
        <v>0</v>
      </c>
      <c r="F327" s="1129" t="s">
        <v>58</v>
      </c>
      <c r="G327" s="1129" t="s">
        <v>1753</v>
      </c>
      <c r="H327" s="809"/>
      <c r="I327" s="908">
        <f>MAX(D298:D302,-MIN(E298:E302))</f>
        <v>259.75446011666912</v>
      </c>
      <c r="J327" s="932" t="s">
        <v>58</v>
      </c>
    </row>
    <row r="328" spans="1:10" x14ac:dyDescent="0.2">
      <c r="A328" s="815"/>
      <c r="B328" s="809"/>
      <c r="C328" s="809"/>
      <c r="D328" s="809"/>
      <c r="E328" s="809"/>
      <c r="F328" s="809"/>
      <c r="G328" s="809"/>
      <c r="H328" s="809"/>
      <c r="I328" s="809"/>
      <c r="J328" s="896"/>
    </row>
    <row r="329" spans="1:10" x14ac:dyDescent="0.2">
      <c r="A329" s="815"/>
      <c r="B329" s="1129" t="s">
        <v>1134</v>
      </c>
      <c r="C329" s="809"/>
      <c r="D329" s="809"/>
      <c r="E329" s="809"/>
      <c r="F329" s="809"/>
      <c r="G329" s="1129" t="s">
        <v>1135</v>
      </c>
      <c r="H329" s="809"/>
      <c r="I329" s="809"/>
      <c r="J329" s="896"/>
    </row>
    <row r="330" spans="1:10" x14ac:dyDescent="0.2">
      <c r="A330" s="815"/>
      <c r="B330" s="1129" t="s">
        <v>1136</v>
      </c>
      <c r="C330" s="809"/>
      <c r="D330" s="809"/>
      <c r="E330" s="908">
        <f>IF(I305&gt;0,0,-I305)</f>
        <v>202.72302636322095</v>
      </c>
      <c r="F330" s="1129" t="s">
        <v>58</v>
      </c>
      <c r="G330" s="1129" t="s">
        <v>1754</v>
      </c>
      <c r="H330" s="809"/>
      <c r="I330" s="908">
        <f>MAX(I308:I317,-MIN(I308:I317))</f>
        <v>0</v>
      </c>
      <c r="J330" s="932" t="s">
        <v>58</v>
      </c>
    </row>
    <row r="331" spans="1:10" x14ac:dyDescent="0.2">
      <c r="A331" s="815"/>
      <c r="B331" s="1129" t="s">
        <v>1137</v>
      </c>
      <c r="C331" s="809"/>
      <c r="D331" s="809"/>
      <c r="E331" s="908">
        <f>D305</f>
        <v>134.72615154472098</v>
      </c>
      <c r="F331" s="1129" t="s">
        <v>58</v>
      </c>
      <c r="G331" s="809"/>
      <c r="H331" s="809"/>
      <c r="I331" s="809"/>
      <c r="J331" s="896"/>
    </row>
    <row r="332" spans="1:10" x14ac:dyDescent="0.2">
      <c r="A332" s="815"/>
      <c r="B332" s="1129" t="s">
        <v>1138</v>
      </c>
      <c r="C332" s="809"/>
      <c r="D332" s="809"/>
      <c r="E332" s="908">
        <f>-E305</f>
        <v>259.75446011666918</v>
      </c>
      <c r="F332" s="1129" t="s">
        <v>58</v>
      </c>
      <c r="G332" s="809"/>
      <c r="H332" s="809"/>
      <c r="I332" s="809"/>
      <c r="J332" s="896"/>
    </row>
    <row r="333" spans="1:10" x14ac:dyDescent="0.2">
      <c r="A333" s="815"/>
      <c r="B333" s="1129"/>
      <c r="C333" s="809"/>
      <c r="D333" s="809"/>
      <c r="E333" s="908"/>
      <c r="F333" s="1129"/>
      <c r="G333" s="809"/>
      <c r="H333" s="809"/>
      <c r="I333" s="809"/>
      <c r="J333" s="896"/>
    </row>
    <row r="334" spans="1:10" x14ac:dyDescent="0.2">
      <c r="A334" s="815"/>
      <c r="B334" s="809"/>
      <c r="C334" s="809"/>
      <c r="D334" s="809"/>
      <c r="E334" s="809"/>
      <c r="F334" s="809"/>
      <c r="G334" s="809"/>
      <c r="H334" s="809"/>
      <c r="I334" s="809"/>
      <c r="J334" s="896"/>
    </row>
    <row r="335" spans="1:10" x14ac:dyDescent="0.2">
      <c r="A335" s="898" t="s">
        <v>950</v>
      </c>
      <c r="B335" s="809"/>
      <c r="C335" s="809"/>
      <c r="D335" s="809"/>
      <c r="E335" s="809"/>
      <c r="F335" s="809"/>
      <c r="G335" s="809"/>
      <c r="H335" s="809"/>
      <c r="I335" s="809"/>
      <c r="J335" s="896"/>
    </row>
    <row r="336" spans="1:10" x14ac:dyDescent="0.2">
      <c r="A336" s="898" t="s">
        <v>1139</v>
      </c>
      <c r="B336" s="809"/>
      <c r="C336" s="809"/>
      <c r="D336" s="809"/>
      <c r="E336" s="809"/>
      <c r="F336" s="809"/>
      <c r="G336" s="809"/>
      <c r="H336" s="809"/>
      <c r="I336" s="809"/>
      <c r="J336" s="896"/>
    </row>
    <row r="337" spans="1:10" x14ac:dyDescent="0.2">
      <c r="A337" s="815"/>
      <c r="B337" s="809"/>
      <c r="C337" s="809"/>
      <c r="D337" s="809"/>
      <c r="E337" s="809"/>
      <c r="F337" s="809"/>
      <c r="G337" s="809"/>
      <c r="H337" s="809"/>
      <c r="I337" s="809"/>
      <c r="J337" s="896"/>
    </row>
    <row r="338" spans="1:10" x14ac:dyDescent="0.2">
      <c r="A338" s="815"/>
      <c r="B338" s="1129" t="s">
        <v>1140</v>
      </c>
      <c r="C338" s="809"/>
      <c r="D338" s="809"/>
      <c r="E338" s="908">
        <f>MAX(F291:G295)</f>
        <v>61.051682092555346</v>
      </c>
      <c r="F338" s="1129" t="s">
        <v>57</v>
      </c>
      <c r="G338" s="1129" t="s">
        <v>1755</v>
      </c>
      <c r="H338" s="809"/>
      <c r="I338" s="908">
        <f>MAX(F298:G302)</f>
        <v>133.11306140290017</v>
      </c>
      <c r="J338" s="932" t="s">
        <v>57</v>
      </c>
    </row>
    <row r="339" spans="1:10" x14ac:dyDescent="0.2">
      <c r="A339" s="815"/>
      <c r="B339" s="809"/>
      <c r="C339" s="809"/>
      <c r="D339" s="809"/>
      <c r="E339" s="809"/>
      <c r="F339" s="809"/>
      <c r="G339" s="809"/>
      <c r="H339" s="809"/>
      <c r="I339" s="809"/>
      <c r="J339" s="896"/>
    </row>
    <row r="340" spans="1:10" x14ac:dyDescent="0.2">
      <c r="A340" s="815"/>
      <c r="B340" s="1129" t="s">
        <v>1134</v>
      </c>
      <c r="C340" s="809"/>
      <c r="D340" s="809"/>
      <c r="E340" s="809"/>
      <c r="F340" s="809"/>
      <c r="G340" s="1129" t="s">
        <v>1756</v>
      </c>
      <c r="H340" s="809"/>
      <c r="I340" s="908">
        <f>MAX(F308:G317)</f>
        <v>0</v>
      </c>
      <c r="J340" s="932" t="s">
        <v>57</v>
      </c>
    </row>
    <row r="341" spans="1:10" x14ac:dyDescent="0.2">
      <c r="A341" s="815"/>
      <c r="B341" s="1129" t="s">
        <v>1141</v>
      </c>
      <c r="C341" s="809"/>
      <c r="D341" s="809"/>
      <c r="E341" s="908">
        <f>F305</f>
        <v>180.74525617675678</v>
      </c>
      <c r="F341" s="1129" t="s">
        <v>57</v>
      </c>
      <c r="G341" s="809"/>
      <c r="H341" s="809"/>
      <c r="I341" s="809"/>
      <c r="J341" s="896"/>
    </row>
    <row r="342" spans="1:10" x14ac:dyDescent="0.2">
      <c r="A342" s="815"/>
      <c r="B342" s="1129" t="s">
        <v>1142</v>
      </c>
      <c r="C342" s="809"/>
      <c r="D342" s="809"/>
      <c r="E342" s="908">
        <f>G305</f>
        <v>318.98859085331969</v>
      </c>
      <c r="F342" s="1129" t="s">
        <v>57</v>
      </c>
      <c r="G342" s="809"/>
      <c r="H342" s="809"/>
      <c r="I342" s="809"/>
      <c r="J342" s="896"/>
    </row>
    <row r="343" spans="1:10" x14ac:dyDescent="0.2">
      <c r="A343" s="898" t="s">
        <v>986</v>
      </c>
      <c r="B343" s="809"/>
      <c r="C343" s="809"/>
      <c r="D343" s="809"/>
      <c r="E343" s="809"/>
      <c r="F343" s="809"/>
      <c r="G343" s="809"/>
      <c r="H343" s="809"/>
      <c r="I343" s="809"/>
      <c r="J343" s="896"/>
    </row>
    <row r="344" spans="1:10" x14ac:dyDescent="0.2">
      <c r="A344" s="898" t="s">
        <v>950</v>
      </c>
      <c r="B344" s="809"/>
      <c r="C344" s="809"/>
      <c r="D344" s="809"/>
      <c r="E344" s="809"/>
      <c r="F344" s="809"/>
      <c r="G344" s="809"/>
      <c r="H344" s="809"/>
      <c r="I344" s="809"/>
      <c r="J344" s="896"/>
    </row>
    <row r="345" spans="1:10" x14ac:dyDescent="0.2">
      <c r="A345" s="898" t="s">
        <v>1143</v>
      </c>
      <c r="B345" s="809"/>
      <c r="C345" s="809"/>
      <c r="D345" s="809"/>
      <c r="E345" s="809"/>
      <c r="F345" s="809"/>
      <c r="G345" s="809"/>
      <c r="H345" s="809"/>
      <c r="I345" s="809"/>
      <c r="J345" s="896"/>
    </row>
    <row r="346" spans="1:10" x14ac:dyDescent="0.2">
      <c r="A346" s="815"/>
      <c r="B346" s="809"/>
      <c r="C346" s="809"/>
      <c r="D346" s="809"/>
      <c r="E346" s="809"/>
      <c r="F346" s="809"/>
      <c r="G346" s="809"/>
      <c r="H346" s="809"/>
      <c r="I346" s="809"/>
      <c r="J346" s="896"/>
    </row>
    <row r="347" spans="1:10" x14ac:dyDescent="0.2">
      <c r="A347" s="898" t="s">
        <v>950</v>
      </c>
      <c r="B347" s="809"/>
      <c r="C347" s="809"/>
      <c r="D347" s="809"/>
      <c r="E347" s="809"/>
      <c r="F347" s="809"/>
      <c r="G347" s="809"/>
      <c r="H347" s="809"/>
      <c r="I347" s="809"/>
      <c r="J347" s="896"/>
    </row>
    <row r="348" spans="1:10" x14ac:dyDescent="0.2">
      <c r="A348" s="898" t="s">
        <v>1144</v>
      </c>
      <c r="B348" s="809"/>
      <c r="C348" s="809"/>
      <c r="D348" s="809"/>
      <c r="E348" s="809"/>
      <c r="F348" s="809"/>
      <c r="G348" s="809"/>
      <c r="H348" s="809"/>
      <c r="I348" s="809"/>
      <c r="J348" s="896"/>
    </row>
    <row r="349" spans="1:10" x14ac:dyDescent="0.2">
      <c r="A349" s="815"/>
      <c r="B349" s="809"/>
      <c r="C349" s="809"/>
      <c r="D349" s="809"/>
      <c r="E349" s="809"/>
      <c r="F349" s="809"/>
      <c r="G349" s="809"/>
      <c r="H349" s="809"/>
      <c r="I349" s="809"/>
      <c r="J349" s="896"/>
    </row>
    <row r="350" spans="1:10" x14ac:dyDescent="0.2">
      <c r="A350" s="815"/>
      <c r="B350" s="1129" t="s">
        <v>34</v>
      </c>
      <c r="C350" s="809"/>
      <c r="D350" s="809"/>
      <c r="E350" s="809"/>
      <c r="F350" s="809"/>
      <c r="G350" s="818">
        <f>F42</f>
        <v>414000</v>
      </c>
      <c r="H350" s="1129" t="s">
        <v>35</v>
      </c>
      <c r="I350" s="809"/>
      <c r="J350" s="896"/>
    </row>
    <row r="351" spans="1:10" x14ac:dyDescent="0.2">
      <c r="A351" s="815"/>
      <c r="B351" s="1129" t="s">
        <v>36</v>
      </c>
      <c r="C351" s="809"/>
      <c r="D351" s="809"/>
      <c r="E351" s="809"/>
      <c r="F351" s="809"/>
      <c r="G351" s="818">
        <f>F43</f>
        <v>22000</v>
      </c>
      <c r="H351" s="1129" t="s">
        <v>35</v>
      </c>
      <c r="I351" s="809"/>
      <c r="J351" s="896"/>
    </row>
    <row r="352" spans="1:10" x14ac:dyDescent="0.2">
      <c r="A352" s="815"/>
      <c r="B352" s="809"/>
      <c r="C352" s="809"/>
      <c r="D352" s="809"/>
      <c r="E352" s="809"/>
      <c r="F352" s="809"/>
      <c r="G352" s="809"/>
      <c r="H352" s="809"/>
      <c r="I352" s="809"/>
      <c r="J352" s="896"/>
    </row>
    <row r="353" spans="1:10" x14ac:dyDescent="0.2">
      <c r="A353" s="815"/>
      <c r="B353" s="1129" t="s">
        <v>1145</v>
      </c>
      <c r="C353" s="809"/>
      <c r="D353" s="809"/>
      <c r="E353" s="809"/>
      <c r="F353" s="809"/>
      <c r="G353" s="933">
        <f>0.45*G350</f>
        <v>186300</v>
      </c>
      <c r="H353" s="1129" t="s">
        <v>35</v>
      </c>
      <c r="I353" s="809"/>
      <c r="J353" s="896"/>
    </row>
    <row r="354" spans="1:10" x14ac:dyDescent="0.2">
      <c r="A354" s="815"/>
      <c r="B354" s="1129" t="s">
        <v>1146</v>
      </c>
      <c r="C354" s="809"/>
      <c r="D354" s="809"/>
      <c r="E354" s="809"/>
      <c r="F354" s="809"/>
      <c r="G354" s="818">
        <f>0.4*G351</f>
        <v>8800</v>
      </c>
      <c r="H354" s="1129" t="s">
        <v>35</v>
      </c>
      <c r="I354" s="809"/>
      <c r="J354" s="896"/>
    </row>
    <row r="355" spans="1:10" x14ac:dyDescent="0.2">
      <c r="A355" s="815"/>
      <c r="B355" s="809"/>
      <c r="C355" s="809"/>
      <c r="D355" s="809"/>
      <c r="E355" s="809"/>
      <c r="F355" s="809"/>
      <c r="G355" s="809"/>
      <c r="H355" s="809"/>
      <c r="I355" s="809"/>
      <c r="J355" s="896"/>
    </row>
    <row r="356" spans="1:10" ht="15" x14ac:dyDescent="0.2">
      <c r="A356" s="815"/>
      <c r="B356" s="1129" t="s">
        <v>2492</v>
      </c>
      <c r="C356" s="809"/>
      <c r="D356" s="809"/>
      <c r="E356" s="809"/>
      <c r="F356" s="809"/>
      <c r="G356" s="818">
        <f>2.89*SQRT(G351)</f>
        <v>428.65627255412932</v>
      </c>
      <c r="H356" s="1129" t="s">
        <v>35</v>
      </c>
      <c r="I356" s="809"/>
      <c r="J356" s="896"/>
    </row>
    <row r="357" spans="1:10" x14ac:dyDescent="0.2">
      <c r="A357" s="815"/>
      <c r="B357" s="809"/>
      <c r="C357" s="809"/>
      <c r="D357" s="809"/>
      <c r="E357" s="809"/>
      <c r="F357" s="809"/>
      <c r="G357" s="809"/>
      <c r="H357" s="809"/>
      <c r="I357" s="809"/>
      <c r="J357" s="896"/>
    </row>
    <row r="358" spans="1:10" x14ac:dyDescent="0.2">
      <c r="A358" s="815"/>
      <c r="B358" s="1129" t="s">
        <v>40</v>
      </c>
      <c r="C358" s="809"/>
      <c r="D358" s="809"/>
      <c r="E358" s="809"/>
      <c r="F358" s="809"/>
      <c r="G358" s="818">
        <f>F47</f>
        <v>196000000</v>
      </c>
      <c r="H358" s="1129" t="s">
        <v>35</v>
      </c>
      <c r="I358" s="809"/>
      <c r="J358" s="896"/>
    </row>
    <row r="359" spans="1:10" x14ac:dyDescent="0.2">
      <c r="A359" s="815"/>
      <c r="B359" s="1129" t="s">
        <v>41</v>
      </c>
      <c r="C359" s="809"/>
      <c r="D359" s="809"/>
      <c r="E359" s="809"/>
      <c r="F359" s="809"/>
      <c r="G359" s="818">
        <f>F48</f>
        <v>19800000</v>
      </c>
      <c r="H359" s="1129" t="s">
        <v>35</v>
      </c>
      <c r="I359" s="809"/>
      <c r="J359" s="896"/>
    </row>
    <row r="360" spans="1:10" x14ac:dyDescent="0.2">
      <c r="A360" s="815"/>
      <c r="B360" s="809"/>
      <c r="C360" s="809"/>
      <c r="D360" s="809"/>
      <c r="E360" s="809"/>
      <c r="F360" s="809"/>
      <c r="G360" s="809"/>
      <c r="H360" s="809"/>
      <c r="I360" s="809"/>
      <c r="J360" s="896"/>
    </row>
    <row r="361" spans="1:10" x14ac:dyDescent="0.2">
      <c r="A361" s="815"/>
      <c r="B361" s="1129" t="s">
        <v>42</v>
      </c>
      <c r="C361" s="809"/>
      <c r="D361" s="809"/>
      <c r="E361" s="809"/>
      <c r="F361" s="809"/>
      <c r="G361" s="920">
        <f>F50</f>
        <v>75</v>
      </c>
      <c r="H361" s="1129" t="s">
        <v>43</v>
      </c>
      <c r="I361" s="809"/>
      <c r="J361" s="896"/>
    </row>
    <row r="362" spans="1:10" x14ac:dyDescent="0.2">
      <c r="A362" s="815"/>
      <c r="B362" s="809"/>
      <c r="C362" s="809"/>
      <c r="D362" s="809"/>
      <c r="E362" s="809"/>
      <c r="F362" s="809"/>
      <c r="G362" s="809"/>
      <c r="H362" s="809"/>
      <c r="I362" s="984"/>
      <c r="J362" s="1132"/>
    </row>
    <row r="363" spans="1:10" x14ac:dyDescent="0.2">
      <c r="A363" s="499"/>
      <c r="B363" s="708" t="s">
        <v>447</v>
      </c>
      <c r="C363" s="290"/>
      <c r="D363" s="290"/>
      <c r="E363" s="290"/>
      <c r="F363" s="290"/>
      <c r="G363" s="290"/>
      <c r="H363" s="290"/>
      <c r="I363" s="290"/>
      <c r="J363" s="500"/>
    </row>
    <row r="364" spans="1:10" x14ac:dyDescent="0.2">
      <c r="A364" s="499"/>
      <c r="B364" s="708" t="s">
        <v>44</v>
      </c>
      <c r="C364" s="290"/>
      <c r="D364" s="290"/>
      <c r="E364" s="290"/>
      <c r="F364" s="306">
        <f>G358/G359</f>
        <v>9.8989898989898997</v>
      </c>
      <c r="G364" s="290"/>
      <c r="H364" s="290"/>
      <c r="I364" s="290"/>
      <c r="J364" s="500"/>
    </row>
    <row r="365" spans="1:10" x14ac:dyDescent="0.2">
      <c r="A365" s="499"/>
      <c r="B365" s="708" t="s">
        <v>45</v>
      </c>
      <c r="C365" s="290"/>
      <c r="D365" s="306">
        <f>G353/G354</f>
        <v>21.170454545454547</v>
      </c>
      <c r="E365" s="290"/>
      <c r="F365" s="290"/>
      <c r="G365" s="290"/>
      <c r="H365" s="290"/>
      <c r="I365" s="290"/>
      <c r="J365" s="500"/>
    </row>
    <row r="366" spans="1:10" x14ac:dyDescent="0.2">
      <c r="A366" s="499"/>
      <c r="B366" s="708" t="s">
        <v>46</v>
      </c>
      <c r="C366" s="290"/>
      <c r="D366" s="971">
        <f>F364/(F364+D365)</f>
        <v>0.31860852602917872</v>
      </c>
      <c r="E366" s="290"/>
      <c r="F366" s="290"/>
      <c r="G366" s="290"/>
      <c r="H366" s="290"/>
      <c r="I366" s="290"/>
      <c r="J366" s="500"/>
    </row>
    <row r="367" spans="1:10" x14ac:dyDescent="0.2">
      <c r="A367" s="499"/>
      <c r="B367" s="708" t="s">
        <v>47</v>
      </c>
      <c r="C367" s="290"/>
      <c r="D367" s="290"/>
      <c r="E367" s="290"/>
      <c r="F367" s="971">
        <f>1-D366/3</f>
        <v>0.89379715799027371</v>
      </c>
      <c r="G367" s="290"/>
      <c r="H367" s="290"/>
      <c r="I367" s="290"/>
      <c r="J367" s="500"/>
    </row>
    <row r="368" spans="1:10" x14ac:dyDescent="0.2">
      <c r="A368" s="499"/>
      <c r="B368" s="222" t="s">
        <v>1757</v>
      </c>
      <c r="C368" s="290"/>
      <c r="D368" s="290"/>
      <c r="E368" s="290"/>
      <c r="F368" s="972">
        <f>G354*F367*D366/2</f>
        <v>1252.9941383359403</v>
      </c>
      <c r="G368" s="708" t="s">
        <v>35</v>
      </c>
      <c r="H368" s="290"/>
      <c r="I368" s="984" t="s">
        <v>2389</v>
      </c>
      <c r="J368" s="500"/>
    </row>
    <row r="369" spans="1:10" ht="13.5" thickBot="1" x14ac:dyDescent="0.25">
      <c r="A369" s="504"/>
      <c r="B369" s="503"/>
      <c r="C369" s="503"/>
      <c r="D369" s="503"/>
      <c r="E369" s="503"/>
      <c r="F369" s="503"/>
      <c r="G369" s="503"/>
      <c r="H369" s="503"/>
      <c r="I369" s="503"/>
      <c r="J369" s="973"/>
    </row>
    <row r="370" spans="1:10" x14ac:dyDescent="0.2">
      <c r="A370" s="274" t="s">
        <v>950</v>
      </c>
    </row>
    <row r="371" spans="1:10" x14ac:dyDescent="0.2">
      <c r="A371" s="274" t="s">
        <v>1147</v>
      </c>
    </row>
    <row r="373" spans="1:10" x14ac:dyDescent="0.2">
      <c r="A373" s="274" t="s">
        <v>950</v>
      </c>
    </row>
    <row r="374" spans="1:10" x14ac:dyDescent="0.2">
      <c r="B374" s="274" t="s">
        <v>1148</v>
      </c>
    </row>
    <row r="375" spans="1:10" x14ac:dyDescent="0.2">
      <c r="A375" s="277"/>
    </row>
    <row r="376" spans="1:10" x14ac:dyDescent="0.2">
      <c r="B376" s="274" t="s">
        <v>499</v>
      </c>
    </row>
    <row r="377" spans="1:10" x14ac:dyDescent="0.2">
      <c r="B377" s="171" t="s">
        <v>1149</v>
      </c>
    </row>
    <row r="378" spans="1:10" x14ac:dyDescent="0.2">
      <c r="B378" s="274"/>
    </row>
    <row r="379" spans="1:10" x14ac:dyDescent="0.2">
      <c r="B379" s="274" t="s">
        <v>1150</v>
      </c>
    </row>
    <row r="380" spans="1:10" x14ac:dyDescent="0.2">
      <c r="B380" s="274" t="s">
        <v>500</v>
      </c>
      <c r="F380" s="278">
        <f>MAX(E326:E327)</f>
        <v>134.72615154472098</v>
      </c>
      <c r="G380" s="274" t="s">
        <v>58</v>
      </c>
    </row>
    <row r="381" spans="1:10" x14ac:dyDescent="0.2">
      <c r="B381" s="274" t="s">
        <v>1151</v>
      </c>
      <c r="F381" s="281">
        <f>$F$368</f>
        <v>1252.9941383359403</v>
      </c>
      <c r="G381" s="274" t="s">
        <v>35</v>
      </c>
    </row>
    <row r="382" spans="1:10" x14ac:dyDescent="0.2">
      <c r="B382" s="274" t="s">
        <v>1152</v>
      </c>
    </row>
    <row r="383" spans="1:10" x14ac:dyDescent="0.2">
      <c r="B383" s="274" t="s">
        <v>60</v>
      </c>
      <c r="F383" s="283">
        <f>SQRT(F380/F381)*1000</f>
        <v>327.90756222143426</v>
      </c>
      <c r="G383" s="274" t="s">
        <v>43</v>
      </c>
    </row>
    <row r="385" spans="1:9" x14ac:dyDescent="0.2">
      <c r="B385" s="274" t="s">
        <v>1153</v>
      </c>
    </row>
    <row r="386" spans="1:9" x14ac:dyDescent="0.2">
      <c r="B386" s="274" t="s">
        <v>501</v>
      </c>
      <c r="F386" s="278">
        <f>E338</f>
        <v>61.051682092555346</v>
      </c>
      <c r="G386" s="274" t="s">
        <v>57</v>
      </c>
    </row>
    <row r="387" spans="1:9" x14ac:dyDescent="0.2">
      <c r="B387" s="274" t="s">
        <v>1154</v>
      </c>
      <c r="F387" s="281">
        <f>$G$356</f>
        <v>428.65627255412932</v>
      </c>
      <c r="G387" s="274" t="s">
        <v>35</v>
      </c>
    </row>
    <row r="388" spans="1:9" x14ac:dyDescent="0.2">
      <c r="B388" s="274" t="s">
        <v>61</v>
      </c>
      <c r="F388" s="283">
        <f>F386/F387*1000</f>
        <v>142.42572896176605</v>
      </c>
      <c r="G388" s="274" t="s">
        <v>43</v>
      </c>
    </row>
    <row r="390" spans="1:9" x14ac:dyDescent="0.2">
      <c r="B390" s="171" t="s">
        <v>1155</v>
      </c>
    </row>
    <row r="391" spans="1:9" x14ac:dyDescent="0.2">
      <c r="B391" s="274"/>
    </row>
    <row r="392" spans="1:9" x14ac:dyDescent="0.2">
      <c r="B392" s="278" t="str">
        <f>IF(F383&gt;=F388,"dr(Moment)  &gt;  dr(Shear)","dr(Moment)  &lt;  dr(Shear)")</f>
        <v>dr(Moment)  &gt;  dr(Shear)</v>
      </c>
      <c r="E392" s="274" t="s">
        <v>1156</v>
      </c>
      <c r="G392" s="283">
        <f>IF(F383&gt;=F388,F383,F388)</f>
        <v>327.90756222143426</v>
      </c>
      <c r="H392" s="274" t="s">
        <v>62</v>
      </c>
    </row>
    <row r="393" spans="1:9" x14ac:dyDescent="0.2">
      <c r="B393" s="274" t="s">
        <v>63</v>
      </c>
      <c r="D393" s="283"/>
      <c r="E393" s="274"/>
      <c r="F393" s="283"/>
      <c r="G393" s="287">
        <f>G392+G361</f>
        <v>402.90756222143426</v>
      </c>
      <c r="H393" s="274" t="s">
        <v>43</v>
      </c>
    </row>
    <row r="394" spans="1:9" x14ac:dyDescent="0.2">
      <c r="A394" s="274" t="s">
        <v>986</v>
      </c>
      <c r="B394" s="274" t="s">
        <v>574</v>
      </c>
      <c r="G394" s="283">
        <f>E29</f>
        <v>550</v>
      </c>
      <c r="H394" s="274" t="s">
        <v>43</v>
      </c>
      <c r="I394" s="274" t="s">
        <v>64</v>
      </c>
    </row>
    <row r="395" spans="1:9" x14ac:dyDescent="0.2">
      <c r="B395" s="288" t="str">
        <f>IF(G394&gt;=G393,"ta  &gt;  tr     Design is OK.","ta  &lt;  tr     Design is Not OK.")</f>
        <v>ta  &gt;  tr     Design is OK.</v>
      </c>
      <c r="G395" s="283"/>
      <c r="H395" s="274"/>
    </row>
    <row r="396" spans="1:9" x14ac:dyDescent="0.2">
      <c r="B396" s="1174" t="str">
        <f>IF(G394&gt;1.5*G393,"WARNING:  Actual Member Thickness is considerably larger (&gt;50%) than required.","")</f>
        <v/>
      </c>
    </row>
    <row r="397" spans="1:9" x14ac:dyDescent="0.2">
      <c r="A397" s="274" t="s">
        <v>950</v>
      </c>
    </row>
    <row r="398" spans="1:9" x14ac:dyDescent="0.2">
      <c r="B398" s="274" t="s">
        <v>1157</v>
      </c>
    </row>
    <row r="399" spans="1:9" x14ac:dyDescent="0.2">
      <c r="A399" s="277"/>
    </row>
    <row r="400" spans="1:9" x14ac:dyDescent="0.2">
      <c r="B400" s="274" t="s">
        <v>503</v>
      </c>
    </row>
    <row r="401" spans="2:18" x14ac:dyDescent="0.2">
      <c r="B401" s="274" t="s">
        <v>504</v>
      </c>
    </row>
    <row r="402" spans="2:18" x14ac:dyDescent="0.2">
      <c r="B402" s="274" t="s">
        <v>505</v>
      </c>
    </row>
    <row r="404" spans="2:18" x14ac:dyDescent="0.2">
      <c r="B404" s="274" t="s">
        <v>1158</v>
      </c>
      <c r="L404" s="274" t="s">
        <v>66</v>
      </c>
      <c r="N404" s="283">
        <v>12</v>
      </c>
      <c r="O404" s="283">
        <v>16</v>
      </c>
      <c r="P404" s="283">
        <v>20</v>
      </c>
      <c r="Q404" s="283">
        <v>22</v>
      </c>
      <c r="R404" s="283">
        <v>25</v>
      </c>
    </row>
    <row r="405" spans="2:18" x14ac:dyDescent="0.2">
      <c r="B405" s="274" t="s">
        <v>1159</v>
      </c>
      <c r="L405" s="274" t="s">
        <v>67</v>
      </c>
      <c r="N405" s="283">
        <f>IF(H412=0,100000000,TRUNC(785.4*N404^2/H412/25)*25)</f>
        <v>100</v>
      </c>
      <c r="O405" s="283">
        <f>IF(H412=0,100000000,TRUNC(785.4*O404^2/H412/25)*25)</f>
        <v>200</v>
      </c>
      <c r="P405" s="283">
        <f>IF(H412=0,100000000,TRUNC(785.4*P404^2/H412/25)*25)</f>
        <v>325</v>
      </c>
      <c r="Q405" s="283">
        <f>IF(H412=0,100000000,TRUNC(785.4*Q404^2/H412/25)*25)</f>
        <v>400</v>
      </c>
      <c r="R405" s="283">
        <f>IF(H412=0,100000000,TRUNC(785.4*R404^2/H412/25)*25)</f>
        <v>500</v>
      </c>
    </row>
    <row r="406" spans="2:18" x14ac:dyDescent="0.2">
      <c r="L406" s="274" t="s">
        <v>68</v>
      </c>
      <c r="N406" s="283">
        <f>785.4*N404^2/N405</f>
        <v>1130.9759999999999</v>
      </c>
      <c r="O406" s="283">
        <f>785.4*O404^2/O405</f>
        <v>1005.312</v>
      </c>
      <c r="P406" s="283">
        <f>785.4*P404^2/P405</f>
        <v>966.64615384615388</v>
      </c>
      <c r="Q406" s="283">
        <f>785.4*Q404^2/Q405</f>
        <v>950.33399999999995</v>
      </c>
      <c r="R406" s="283">
        <f>785.4*R404^2/R405</f>
        <v>981.75</v>
      </c>
    </row>
    <row r="407" spans="2:18" x14ac:dyDescent="0.2">
      <c r="B407" s="171" t="s">
        <v>508</v>
      </c>
      <c r="C407" s="169" t="s">
        <v>235</v>
      </c>
      <c r="D407" s="169" t="s">
        <v>233</v>
      </c>
      <c r="F407" s="274" t="s">
        <v>978</v>
      </c>
      <c r="H407" s="278">
        <f>$E$38</f>
        <v>9.9</v>
      </c>
      <c r="I407" s="274" t="s">
        <v>24</v>
      </c>
      <c r="L407" s="274" t="s">
        <v>69</v>
      </c>
      <c r="N407" s="283">
        <f>IF(OR(N405&gt;300,N405&lt;100),100000000,N406-H412)</f>
        <v>180.97599999999977</v>
      </c>
      <c r="O407" s="283">
        <f>IF(OR(O405&gt;300,O405&lt;100),100000001,O406-H412)</f>
        <v>55.311999999999898</v>
      </c>
      <c r="P407" s="283">
        <f>IF(OR(P405&gt;300,P405&lt;100),100000001,P406-H412)</f>
        <v>100000001</v>
      </c>
      <c r="Q407" s="283">
        <f>IF(OR(Q405&gt;300,Q405&lt;100),100000001,Q406-H412)</f>
        <v>100000001</v>
      </c>
      <c r="R407" s="283">
        <f>IF(OR(R405&gt;300,R405&lt;100),100000001,R406-H412)</f>
        <v>100000001</v>
      </c>
    </row>
    <row r="408" spans="2:18" x14ac:dyDescent="0.2">
      <c r="B408" s="171" t="s">
        <v>1761</v>
      </c>
      <c r="C408" s="169" t="s">
        <v>232</v>
      </c>
      <c r="D408" s="169" t="s">
        <v>232</v>
      </c>
      <c r="F408" s="274" t="s">
        <v>74</v>
      </c>
      <c r="I408" s="283">
        <f>G394</f>
        <v>550</v>
      </c>
      <c r="J408" s="274" t="s">
        <v>43</v>
      </c>
      <c r="L408" s="274" t="s">
        <v>70</v>
      </c>
      <c r="N408" s="283">
        <f>IF(R405&lt;100,25,IF(MIN(N407:R407)=N407,12,IF(MIN(N407:R407)=O407,16,IF(MIN(N407:R407)=P407,20,IF(MIN(N407:R407)=Q407,22,IF(MIN(N407:R407)=R407,25,0))))))</f>
        <v>16</v>
      </c>
      <c r="O408" s="274" t="s">
        <v>71</v>
      </c>
      <c r="P408" s="283">
        <f>IF(N408=12,N405,IF(N408=16,O405,IF(N408=20,P405,IF(N408=22,Q405,IF(N408=25,R405,0)))))</f>
        <v>200</v>
      </c>
      <c r="Q408" s="274" t="s">
        <v>72</v>
      </c>
    </row>
    <row r="409" spans="2:18" x14ac:dyDescent="0.2">
      <c r="B409" s="274" t="s">
        <v>75</v>
      </c>
      <c r="C409" s="38">
        <v>2E-3</v>
      </c>
      <c r="D409" s="38">
        <v>1E-3</v>
      </c>
      <c r="F409" s="274" t="s">
        <v>511</v>
      </c>
    </row>
    <row r="410" spans="2:18" x14ac:dyDescent="0.2">
      <c r="B410" s="274" t="s">
        <v>76</v>
      </c>
      <c r="C410" s="38">
        <v>2.5000000000000001E-3</v>
      </c>
      <c r="D410" s="38">
        <v>1.5E-3</v>
      </c>
      <c r="L410" s="274" t="s">
        <v>1162</v>
      </c>
      <c r="N410" s="279">
        <v>0</v>
      </c>
      <c r="O410" s="274" t="s">
        <v>71</v>
      </c>
      <c r="P410" s="279">
        <v>0</v>
      </c>
      <c r="Q410" s="274" t="s">
        <v>72</v>
      </c>
    </row>
    <row r="411" spans="2:18" x14ac:dyDescent="0.2">
      <c r="L411" s="274" t="s">
        <v>1163</v>
      </c>
    </row>
    <row r="412" spans="2:18" x14ac:dyDescent="0.2">
      <c r="B412" s="171" t="s">
        <v>141</v>
      </c>
      <c r="E412" s="289"/>
      <c r="F412" s="274"/>
      <c r="G412" s="283"/>
      <c r="H412" s="280">
        <f>IF(H407&lt;=9,C409,C410)*IF(I408&lt;=380,I408,380)*1000</f>
        <v>950.00000000000011</v>
      </c>
      <c r="I412" s="274" t="s">
        <v>78</v>
      </c>
    </row>
    <row r="413" spans="2:18" x14ac:dyDescent="0.2">
      <c r="B413" s="274" t="s">
        <v>79</v>
      </c>
      <c r="C413" s="283">
        <v>16</v>
      </c>
      <c r="D413" s="274" t="s">
        <v>71</v>
      </c>
      <c r="E413" s="283">
        <v>200</v>
      </c>
      <c r="F413" s="274" t="s">
        <v>80</v>
      </c>
      <c r="H413" s="283">
        <f>785.4*C413^2/E413</f>
        <v>1005.312</v>
      </c>
      <c r="I413" s="274" t="s">
        <v>81</v>
      </c>
    </row>
    <row r="414" spans="2:18" x14ac:dyDescent="0.2">
      <c r="B414" s="171" t="s">
        <v>1164</v>
      </c>
      <c r="E414" s="289"/>
      <c r="F414" s="274"/>
      <c r="G414" s="283"/>
      <c r="H414" s="280">
        <f>IF(H407&lt;=9,D409,D410)*IF(I408&lt;=380,I408,380)*1000</f>
        <v>570.00000000000011</v>
      </c>
      <c r="I414" s="274" t="s">
        <v>78</v>
      </c>
      <c r="J414" s="283"/>
    </row>
    <row r="415" spans="2:18" x14ac:dyDescent="0.2">
      <c r="B415" s="274" t="s">
        <v>79</v>
      </c>
      <c r="C415" s="283">
        <v>12</v>
      </c>
      <c r="D415" s="274" t="s">
        <v>71</v>
      </c>
      <c r="E415" s="283">
        <v>150</v>
      </c>
      <c r="F415" s="274" t="s">
        <v>80</v>
      </c>
      <c r="H415" s="283">
        <f>785.4*C415^2/E415</f>
        <v>753.98399999999992</v>
      </c>
      <c r="I415" s="274" t="s">
        <v>81</v>
      </c>
    </row>
    <row r="416" spans="2:18" x14ac:dyDescent="0.2">
      <c r="L416" s="274" t="s">
        <v>66</v>
      </c>
      <c r="N416" s="283">
        <v>12</v>
      </c>
      <c r="O416" s="283">
        <v>16</v>
      </c>
      <c r="P416" s="283">
        <v>20</v>
      </c>
      <c r="Q416" s="283">
        <v>22</v>
      </c>
      <c r="R416" s="283">
        <v>25</v>
      </c>
    </row>
    <row r="417" spans="1:18" x14ac:dyDescent="0.2">
      <c r="A417" s="274" t="s">
        <v>986</v>
      </c>
      <c r="L417" s="274" t="s">
        <v>67</v>
      </c>
      <c r="N417" s="283">
        <f>IF(H414=0,100000000,TRUNC(785.4*N416^2/H414/25)*25)</f>
        <v>175</v>
      </c>
      <c r="O417" s="283">
        <f>IF(H414=0,100000000,TRUNC(785.4*O416^2/H414/25)*25)</f>
        <v>350</v>
      </c>
      <c r="P417" s="283">
        <f>IF(H414=0,100000000,TRUNC(785.4*P416^2/H414/25)*25)</f>
        <v>550</v>
      </c>
      <c r="Q417" s="283">
        <f>IF(H414=0,100000000,TRUNC(785.4*Q416^2/H414/25)*25)</f>
        <v>650</v>
      </c>
      <c r="R417" s="283">
        <f>IF(H414,100000000,TRUNC(785.4*R416^2/H414/25)*25)</f>
        <v>100000000</v>
      </c>
    </row>
    <row r="418" spans="1:18" x14ac:dyDescent="0.2">
      <c r="A418" s="274" t="s">
        <v>950</v>
      </c>
      <c r="L418" s="274" t="s">
        <v>68</v>
      </c>
      <c r="N418" s="283">
        <f>785.4*N416^2/N417</f>
        <v>646.27199999999993</v>
      </c>
      <c r="O418" s="283">
        <f>785.4*O416^2/O417</f>
        <v>574.46399999999994</v>
      </c>
      <c r="P418" s="283">
        <f>785.4*P416^2/P417</f>
        <v>571.20000000000005</v>
      </c>
      <c r="Q418" s="283">
        <f>785.4*Q416^2/Q417</f>
        <v>584.82092307692301</v>
      </c>
      <c r="R418" s="283">
        <f>785.4*R416^2/R417</f>
        <v>4.9087499999999999E-3</v>
      </c>
    </row>
    <row r="419" spans="1:18" x14ac:dyDescent="0.2">
      <c r="B419" s="274" t="s">
        <v>1165</v>
      </c>
      <c r="L419" s="274" t="s">
        <v>69</v>
      </c>
      <c r="N419" s="283">
        <f>IF(OR(N417&gt;300,N417&lt;100),100000000,N418-$H$414)</f>
        <v>76.271999999999821</v>
      </c>
      <c r="O419" s="283">
        <f>IF(OR(O417&gt;300,O417&lt;100),100000001,O418-$H$414)</f>
        <v>100000001</v>
      </c>
      <c r="P419" s="283">
        <f>IF(OR(P417&gt;300,P417&lt;100),100000001,P418-$H$414)</f>
        <v>100000001</v>
      </c>
      <c r="Q419" s="283">
        <f>IF(OR(Q417&gt;300,Q417&lt;100),100000001,Q418-$H$414)</f>
        <v>100000001</v>
      </c>
      <c r="R419" s="283">
        <f>IF(OR(R417&gt;300,R417&lt;100),100000001,R418-$H$414)</f>
        <v>100000001</v>
      </c>
    </row>
    <row r="420" spans="1:18" x14ac:dyDescent="0.2">
      <c r="A420" s="277"/>
      <c r="F420" s="274"/>
      <c r="L420" s="274" t="s">
        <v>70</v>
      </c>
      <c r="N420" s="283">
        <f>IF(R417&lt;100,25,IF(MIN(N419:R419)=N419,12,IF(MIN(N419:R419)=O419,16,IF(MIN(N419:R419)=P419,20,IF(MIN(N419:R419)=Q419,22,IF(MIN(N419:R419)=R419,25,0))))))</f>
        <v>12</v>
      </c>
      <c r="O420" s="274" t="s">
        <v>71</v>
      </c>
      <c r="P420" s="283">
        <f>IF(N420=12,N417,IF(N420=16,O417,IF(N420=20,P417,IF(N420=22,Q417,IF(N420=25,R417,0)))))</f>
        <v>175</v>
      </c>
      <c r="Q420" s="274" t="s">
        <v>72</v>
      </c>
    </row>
    <row r="421" spans="1:18" x14ac:dyDescent="0.2">
      <c r="B421" s="274" t="s">
        <v>1166</v>
      </c>
    </row>
    <row r="422" spans="1:18" x14ac:dyDescent="0.2">
      <c r="F422" s="274"/>
      <c r="L422" s="274" t="s">
        <v>1162</v>
      </c>
      <c r="N422" s="279">
        <v>0</v>
      </c>
      <c r="O422" s="274" t="s">
        <v>71</v>
      </c>
      <c r="P422" s="279">
        <v>0</v>
      </c>
      <c r="Q422" s="274" t="s">
        <v>72</v>
      </c>
    </row>
    <row r="423" spans="1:18" x14ac:dyDescent="0.2">
      <c r="B423" s="274" t="s">
        <v>86</v>
      </c>
      <c r="F423" s="278">
        <f>E326</f>
        <v>134.72615154472098</v>
      </c>
      <c r="G423" s="274" t="s">
        <v>58</v>
      </c>
      <c r="L423" s="274" t="s">
        <v>1163</v>
      </c>
    </row>
    <row r="424" spans="1:18" x14ac:dyDescent="0.2">
      <c r="B424" s="274" t="s">
        <v>1167</v>
      </c>
      <c r="F424" s="280">
        <f>G394-G361</f>
        <v>475</v>
      </c>
      <c r="G424" s="174" t="s">
        <v>43</v>
      </c>
    </row>
    <row r="425" spans="1:18" x14ac:dyDescent="0.2">
      <c r="B425" s="274" t="s">
        <v>1168</v>
      </c>
      <c r="F425" s="280">
        <f>(F423*1000000000)/(G353*F367*F424)</f>
        <v>1703.3601016461678</v>
      </c>
      <c r="G425" s="274" t="s">
        <v>78</v>
      </c>
    </row>
    <row r="427" spans="1:18" x14ac:dyDescent="0.2">
      <c r="B427" s="274" t="s">
        <v>87</v>
      </c>
    </row>
    <row r="429" spans="1:18" x14ac:dyDescent="0.2">
      <c r="B429" s="274" t="s">
        <v>1169</v>
      </c>
      <c r="G429" s="278">
        <f>$E$34*$E$36+$E$31/500+($E$34-1)*$E$33/1000</f>
        <v>2.9</v>
      </c>
      <c r="H429" s="278" t="str">
        <f>IF(G429&lt;=9,"m  &lt;  9 m","m  &gt;  9 m")</f>
        <v>m  &lt;  9 m</v>
      </c>
      <c r="L429" s="274" t="s">
        <v>66</v>
      </c>
      <c r="N429" s="283">
        <v>12</v>
      </c>
      <c r="O429" s="283">
        <v>16</v>
      </c>
      <c r="P429" s="283">
        <v>20</v>
      </c>
      <c r="Q429" s="283">
        <v>22</v>
      </c>
      <c r="R429" s="283">
        <v>25</v>
      </c>
    </row>
    <row r="430" spans="1:18" x14ac:dyDescent="0.2">
      <c r="B430" s="274" t="s">
        <v>1170</v>
      </c>
      <c r="G430" s="283">
        <f>G394</f>
        <v>550</v>
      </c>
      <c r="H430" s="278" t="str">
        <f>IF(G430&lt;=380,"mm  &lt;  380 mm","mm  &gt;  380 mm")</f>
        <v>mm  &gt;  380 mm</v>
      </c>
      <c r="L430" s="274" t="s">
        <v>67</v>
      </c>
      <c r="N430" s="283">
        <f>IF($H$433=0,100000000,TRUNC(785.4*N429^2/$H$433/25)*25)</f>
        <v>50</v>
      </c>
      <c r="O430" s="283">
        <f>IF($H$433=0,100000000,TRUNC(785.4*O429^2/$H$433/25)*25)</f>
        <v>100</v>
      </c>
      <c r="P430" s="283">
        <f>IF($H$433=0,100000000,TRUNC(785.4*P429^2/$H$433/25)*25)</f>
        <v>175</v>
      </c>
      <c r="Q430" s="283">
        <f>IF($H$433=0,100000000,TRUNC(785.4*Q429^2/$H$433/25)*25)</f>
        <v>200</v>
      </c>
      <c r="R430" s="283">
        <f>IF($H$433=0,100000000,TRUNC(785.4*R429^2/$H$433/25)*25)</f>
        <v>275</v>
      </c>
    </row>
    <row r="431" spans="1:18" x14ac:dyDescent="0.2">
      <c r="B431" s="274" t="s">
        <v>1171</v>
      </c>
      <c r="E431" s="289">
        <f>IF(G429&lt;=9,$D$409,$D$410)</f>
        <v>1E-3</v>
      </c>
      <c r="L431" s="274" t="s">
        <v>68</v>
      </c>
      <c r="N431" s="283">
        <f>785.4*N429^2/N430</f>
        <v>2261.9519999999998</v>
      </c>
      <c r="O431" s="283">
        <f>785.4*O429^2/O430</f>
        <v>2010.624</v>
      </c>
      <c r="P431" s="283">
        <f>785.4*P429^2/P430</f>
        <v>1795.2</v>
      </c>
      <c r="Q431" s="283">
        <f>785.4*Q429^2/Q430</f>
        <v>1900.6679999999999</v>
      </c>
      <c r="R431" s="283">
        <f>785.4*R429^2/R430</f>
        <v>1785</v>
      </c>
    </row>
    <row r="432" spans="1:18" x14ac:dyDescent="0.2">
      <c r="B432" s="274" t="s">
        <v>84</v>
      </c>
      <c r="C432" s="289"/>
      <c r="D432" s="274"/>
      <c r="E432" s="283"/>
      <c r="F432" s="274"/>
      <c r="G432" s="280">
        <f>E431*IF(G430&lt;=380,G430,380)*1000</f>
        <v>380</v>
      </c>
      <c r="H432" s="274" t="s">
        <v>78</v>
      </c>
      <c r="L432" s="274" t="s">
        <v>69</v>
      </c>
      <c r="N432" s="283">
        <f>IF(OR(N430&gt;300,N430&lt;100),100000000,N431-$H$433)</f>
        <v>100000000</v>
      </c>
      <c r="O432" s="283">
        <f>IF(OR(O430&gt;300,O430&lt;100),100000001,O431-$H$433)</f>
        <v>307.26389835383225</v>
      </c>
      <c r="P432" s="283">
        <f>IF(OR(P430&gt;300,P430&lt;100),100000001,P431-$H$433)</f>
        <v>91.839898353832268</v>
      </c>
      <c r="Q432" s="283">
        <f>IF(OR(Q430&gt;300,Q430&lt;100),100000001,Q431-$H$433)</f>
        <v>197.30789835383212</v>
      </c>
      <c r="R432" s="283">
        <f>IF(OR(R430&gt;300,R430&lt;100),100000001,R431-$H$433)</f>
        <v>81.639898353832223</v>
      </c>
    </row>
    <row r="433" spans="1:18" x14ac:dyDescent="0.2">
      <c r="B433" s="278" t="str">
        <f>IF(F425&gt;G432,"Ast(Moment)  &gt;  Ast(Shrinkage)","Ast(Moment)  &lt;  Ast(Shrinkage)")</f>
        <v>Ast(Moment)  &gt;  Ast(Shrinkage)</v>
      </c>
      <c r="F433" s="274" t="s">
        <v>88</v>
      </c>
      <c r="H433" s="283">
        <f>IF(F425&gt;G432,F425,G432)</f>
        <v>1703.3601016461678</v>
      </c>
      <c r="I433" s="274" t="s">
        <v>89</v>
      </c>
      <c r="L433" s="274" t="s">
        <v>70</v>
      </c>
      <c r="N433" s="283">
        <f>IF(R430&lt;100,25,IF(MIN(N432:R432)=N432,12,IF(MIN(N432:R432)=O432,16,IF(MIN(N432:R432)=P432,20,IF(MIN(N432:R432)=Q432,22,IF(MIN(N432:R432)=R432,25,0))))))</f>
        <v>25</v>
      </c>
      <c r="O433" s="274" t="s">
        <v>71</v>
      </c>
      <c r="P433" s="283">
        <f>IF(N433=12,N430,IF(N433=16,O430,IF(N433=20,P430,IF(N433=22,Q430,IF(N433=25,R430,0)))))</f>
        <v>275</v>
      </c>
      <c r="Q433" s="274" t="s">
        <v>72</v>
      </c>
    </row>
    <row r="434" spans="1:18" x14ac:dyDescent="0.2">
      <c r="B434" s="614" t="s">
        <v>79</v>
      </c>
      <c r="C434" s="510">
        <v>20</v>
      </c>
      <c r="D434" s="614" t="s">
        <v>71</v>
      </c>
      <c r="E434" s="510">
        <v>125</v>
      </c>
      <c r="F434" s="614" t="s">
        <v>80</v>
      </c>
      <c r="G434" s="615"/>
      <c r="H434" s="510">
        <f>785.4*C434^2/E434</f>
        <v>2513.2800000000002</v>
      </c>
      <c r="I434" s="614" t="s">
        <v>81</v>
      </c>
      <c r="J434" s="615"/>
    </row>
    <row r="435" spans="1:18" x14ac:dyDescent="0.2">
      <c r="L435" s="274" t="s">
        <v>1162</v>
      </c>
      <c r="N435" s="279">
        <v>0</v>
      </c>
      <c r="O435" s="274" t="s">
        <v>71</v>
      </c>
      <c r="P435" s="279">
        <v>0</v>
      </c>
      <c r="Q435" s="274" t="s">
        <v>72</v>
      </c>
    </row>
    <row r="436" spans="1:18" x14ac:dyDescent="0.2">
      <c r="A436" s="274" t="s">
        <v>950</v>
      </c>
      <c r="L436" s="274" t="s">
        <v>1163</v>
      </c>
    </row>
    <row r="437" spans="1:18" x14ac:dyDescent="0.2">
      <c r="B437" s="274" t="s">
        <v>1172</v>
      </c>
    </row>
    <row r="438" spans="1:18" x14ac:dyDescent="0.2">
      <c r="F438" s="274"/>
    </row>
    <row r="439" spans="1:18" x14ac:dyDescent="0.2">
      <c r="B439" s="274" t="s">
        <v>1173</v>
      </c>
      <c r="G439" s="280">
        <f>(E327*1000000000)/(G353*F367*F424)</f>
        <v>0</v>
      </c>
      <c r="H439" s="274" t="s">
        <v>78</v>
      </c>
    </row>
    <row r="440" spans="1:18" x14ac:dyDescent="0.2">
      <c r="F440" s="274"/>
    </row>
    <row r="441" spans="1:18" x14ac:dyDescent="0.2">
      <c r="B441" s="274" t="s">
        <v>87</v>
      </c>
    </row>
    <row r="442" spans="1:18" x14ac:dyDescent="0.2">
      <c r="L442" s="274" t="s">
        <v>66</v>
      </c>
      <c r="N442" s="283">
        <v>12</v>
      </c>
      <c r="O442" s="283">
        <v>16</v>
      </c>
      <c r="P442" s="283">
        <v>20</v>
      </c>
      <c r="Q442" s="283">
        <v>22</v>
      </c>
      <c r="R442" s="283">
        <v>25</v>
      </c>
    </row>
    <row r="443" spans="1:18" x14ac:dyDescent="0.2">
      <c r="B443" s="274" t="s">
        <v>1169</v>
      </c>
      <c r="G443" s="278">
        <f>$E$34*$E$36+$E$31/500+($E$34-1)*$E$33/1000</f>
        <v>2.9</v>
      </c>
      <c r="H443" s="278" t="str">
        <f>IF(G443&lt;=9,"m  &lt;  9 m","m  &gt;  9 m")</f>
        <v>m  &lt;  9 m</v>
      </c>
      <c r="L443" s="274" t="s">
        <v>67</v>
      </c>
      <c r="N443" s="283">
        <f>IF($H$448=0,100000000,TRUNC(785.4*N442^2/$H$448/25)*25)</f>
        <v>125</v>
      </c>
      <c r="O443" s="283">
        <f>IF($H$448=0,100000000,TRUNC(785.4*O442^2/$H$448/25)*25)</f>
        <v>250</v>
      </c>
      <c r="P443" s="283">
        <f>IF($H$448=0,100000000,TRUNC(785.4*P442^2/$H$448/25)*25)</f>
        <v>400</v>
      </c>
      <c r="Q443" s="283">
        <f>IF($H$448=0,100000000,TRUNC(785.4*Q442^2/$H$448/25)*25)</f>
        <v>500</v>
      </c>
      <c r="R443" s="283">
        <f>IF($H$448=0,100000000,TRUNC(785.4*R442^2/$H$448/25)*25)</f>
        <v>625</v>
      </c>
    </row>
    <row r="444" spans="1:18" x14ac:dyDescent="0.2">
      <c r="B444" s="274" t="s">
        <v>1170</v>
      </c>
      <c r="G444" s="283">
        <f>G394</f>
        <v>550</v>
      </c>
      <c r="H444" s="278" t="str">
        <f>IF(G444&lt;=380,"mm  &lt;  380 mm","mm  &gt;  380 mm")</f>
        <v>mm  &gt;  380 mm</v>
      </c>
      <c r="L444" s="274" t="s">
        <v>68</v>
      </c>
      <c r="N444" s="283">
        <f>785.4*N442^2/N443</f>
        <v>904.78079999999989</v>
      </c>
      <c r="O444" s="283">
        <f>785.4*O442^2/O443</f>
        <v>804.24959999999999</v>
      </c>
      <c r="P444" s="283">
        <f>785.4*P442^2/P443</f>
        <v>785.4</v>
      </c>
      <c r="Q444" s="283">
        <f>785.4*Q442^2/Q443</f>
        <v>760.2672</v>
      </c>
      <c r="R444" s="283">
        <f>785.4*R442^2/R443</f>
        <v>785.4</v>
      </c>
    </row>
    <row r="445" spans="1:18" x14ac:dyDescent="0.2">
      <c r="B445" s="274" t="s">
        <v>1174</v>
      </c>
      <c r="E445" s="289">
        <f>IF(G443&lt;=9,$C$409,$C$410)</f>
        <v>2E-3</v>
      </c>
      <c r="L445" s="274" t="s">
        <v>69</v>
      </c>
      <c r="N445" s="283">
        <f>IF(OR(N443&gt;300,N443&lt;100),100000000,N444-$H$448)</f>
        <v>144.78079999999989</v>
      </c>
      <c r="O445" s="283">
        <f>IF(OR(O443&gt;300,O443&lt;100),100000001,O444-$H$448)</f>
        <v>44.249599999999987</v>
      </c>
      <c r="P445" s="283">
        <f>IF(OR(P443&gt;300,P443&lt;100),100000001,P444-$H$448)</f>
        <v>100000001</v>
      </c>
      <c r="Q445" s="283">
        <f>IF(OR(Q443&gt;300,Q443&lt;100),100000001,Q444-$H$448)</f>
        <v>100000001</v>
      </c>
      <c r="R445" s="283">
        <f>IF(OR(R443&gt;300,R443&lt;100),100000001,R444-$H$448)</f>
        <v>100000001</v>
      </c>
    </row>
    <row r="446" spans="1:18" x14ac:dyDescent="0.2">
      <c r="L446" s="274" t="s">
        <v>70</v>
      </c>
      <c r="N446" s="283">
        <f>IF(R443&lt;100,25,IF(MIN(N445:R445)=N445,12,IF(MIN(N445:R445)=O445,16,IF(MIN(N445:R445)=P445,20,IF(MIN(N445:R445)=Q445,22,IF(MIN(N445:R445)=R445,25,0))))))</f>
        <v>16</v>
      </c>
      <c r="O446" s="274" t="s">
        <v>71</v>
      </c>
      <c r="P446" s="283">
        <f>IF(N446=12,N443,IF(N446=16,O443,IF(N446=20,P443,IF(N446=22,Q443,IF(N446=25,R443,0)))))</f>
        <v>250</v>
      </c>
      <c r="Q446" s="274" t="s">
        <v>72</v>
      </c>
    </row>
    <row r="447" spans="1:18" x14ac:dyDescent="0.2">
      <c r="B447" s="274" t="s">
        <v>84</v>
      </c>
      <c r="C447" s="289">
        <f>E445</f>
        <v>2E-3</v>
      </c>
      <c r="D447" s="274" t="s">
        <v>1012</v>
      </c>
      <c r="E447" s="283">
        <f>IF(G444&lt;380,G444,380)</f>
        <v>380</v>
      </c>
      <c r="F447" s="274" t="s">
        <v>1175</v>
      </c>
      <c r="H447" s="283">
        <f>C447*E447*1000</f>
        <v>760</v>
      </c>
      <c r="I447" s="274" t="s">
        <v>78</v>
      </c>
    </row>
    <row r="448" spans="1:18" x14ac:dyDescent="0.2">
      <c r="B448" s="278" t="str">
        <f>IF(G439&gt;H447,"Ast(Moment)  &gt;  Ast(Shrinkage)","Ast(Moment)  &lt;  Ast(Shrinkage)")</f>
        <v>Ast(Moment)  &lt;  Ast(Shrinkage)</v>
      </c>
      <c r="F448" s="274" t="s">
        <v>88</v>
      </c>
      <c r="H448" s="283">
        <f>IF(G439&gt;H447,G439,H447)</f>
        <v>760</v>
      </c>
      <c r="I448" s="274" t="s">
        <v>1176</v>
      </c>
      <c r="L448" s="274" t="s">
        <v>1162</v>
      </c>
      <c r="N448" s="279"/>
      <c r="O448" s="274" t="s">
        <v>71</v>
      </c>
      <c r="P448" s="279"/>
      <c r="Q448" s="274" t="s">
        <v>72</v>
      </c>
    </row>
    <row r="449" spans="1:12" x14ac:dyDescent="0.2">
      <c r="B449" s="614" t="s">
        <v>79</v>
      </c>
      <c r="C449" s="510">
        <v>16</v>
      </c>
      <c r="D449" s="614" t="s">
        <v>71</v>
      </c>
      <c r="E449" s="510">
        <v>200</v>
      </c>
      <c r="F449" s="614" t="s">
        <v>80</v>
      </c>
      <c r="G449" s="615"/>
      <c r="H449" s="510">
        <f>785.4*C449^2/E449</f>
        <v>1005.312</v>
      </c>
      <c r="I449" s="614" t="s">
        <v>81</v>
      </c>
      <c r="J449" s="615"/>
      <c r="L449" s="274" t="s">
        <v>1163</v>
      </c>
    </row>
    <row r="450" spans="1:12" x14ac:dyDescent="0.2">
      <c r="A450" s="274" t="s">
        <v>986</v>
      </c>
    </row>
    <row r="451" spans="1:12" x14ac:dyDescent="0.2">
      <c r="A451" s="274" t="s">
        <v>950</v>
      </c>
    </row>
    <row r="452" spans="1:12" x14ac:dyDescent="0.2">
      <c r="A452" s="274" t="s">
        <v>1177</v>
      </c>
      <c r="B452" s="270"/>
    </row>
    <row r="454" spans="1:12" x14ac:dyDescent="0.2">
      <c r="A454" s="274" t="s">
        <v>950</v>
      </c>
    </row>
    <row r="455" spans="1:12" x14ac:dyDescent="0.2">
      <c r="B455" s="274" t="s">
        <v>1178</v>
      </c>
    </row>
    <row r="456" spans="1:12" x14ac:dyDescent="0.2">
      <c r="B456" s="277"/>
    </row>
    <row r="457" spans="1:12" x14ac:dyDescent="0.2">
      <c r="B457" s="274" t="s">
        <v>499</v>
      </c>
    </row>
    <row r="458" spans="1:12" x14ac:dyDescent="0.2">
      <c r="B458" s="274" t="s">
        <v>1150</v>
      </c>
    </row>
    <row r="459" spans="1:12" x14ac:dyDescent="0.2">
      <c r="B459" s="285" t="s">
        <v>1179</v>
      </c>
      <c r="E459" s="278">
        <f>MAX(I326:I327)</f>
        <v>259.75446011666912</v>
      </c>
      <c r="F459" s="274" t="s">
        <v>58</v>
      </c>
    </row>
    <row r="460" spans="1:12" x14ac:dyDescent="0.2">
      <c r="B460" s="285" t="s">
        <v>1180</v>
      </c>
      <c r="E460" s="283">
        <f>SQRT(E459/F368)*1000</f>
        <v>455.30978840383506</v>
      </c>
      <c r="F460" s="274" t="s">
        <v>43</v>
      </c>
      <c r="G460" s="274"/>
    </row>
    <row r="461" spans="1:12" x14ac:dyDescent="0.2">
      <c r="B461" s="274"/>
    </row>
    <row r="462" spans="1:12" x14ac:dyDescent="0.2">
      <c r="B462" s="274" t="s">
        <v>1153</v>
      </c>
    </row>
    <row r="463" spans="1:12" x14ac:dyDescent="0.2">
      <c r="B463" s="274" t="s">
        <v>501</v>
      </c>
      <c r="E463" s="278">
        <f>I338</f>
        <v>133.11306140290017</v>
      </c>
      <c r="F463" s="274" t="s">
        <v>57</v>
      </c>
    </row>
    <row r="464" spans="1:12" x14ac:dyDescent="0.2">
      <c r="B464" s="274" t="s">
        <v>61</v>
      </c>
      <c r="E464" s="283">
        <f>E463/G356*1000</f>
        <v>310.53566674704638</v>
      </c>
      <c r="F464" s="274" t="s">
        <v>43</v>
      </c>
      <c r="G464" s="281"/>
      <c r="H464" s="274"/>
    </row>
    <row r="466" spans="1:18" x14ac:dyDescent="0.2">
      <c r="B466" s="278" t="str">
        <f>IF(E460&gt;=E464,"dr(Moment)  &gt;  dr(Shear)","dr(Moment)  &lt;  dr(Shear)")</f>
        <v>dr(Moment)  &gt;  dr(Shear)</v>
      </c>
      <c r="E466" s="274" t="s">
        <v>1156</v>
      </c>
      <c r="G466" s="283">
        <f>IF(E460&gt;=E464,E460,E464)</f>
        <v>455.30978840383506</v>
      </c>
      <c r="H466" s="274" t="s">
        <v>62</v>
      </c>
    </row>
    <row r="467" spans="1:18" x14ac:dyDescent="0.2">
      <c r="B467" s="274" t="s">
        <v>63</v>
      </c>
      <c r="D467" s="283"/>
      <c r="E467" s="274"/>
      <c r="F467" s="283"/>
      <c r="G467" s="1133">
        <f>G466+G361</f>
        <v>530.309788403835</v>
      </c>
      <c r="H467" s="461" t="s">
        <v>43</v>
      </c>
    </row>
    <row r="468" spans="1:18" x14ac:dyDescent="0.2">
      <c r="B468" s="274" t="s">
        <v>574</v>
      </c>
      <c r="G468" s="1134">
        <f>E30</f>
        <v>750</v>
      </c>
      <c r="H468" s="461" t="s">
        <v>43</v>
      </c>
    </row>
    <row r="469" spans="1:18" x14ac:dyDescent="0.2">
      <c r="B469" s="288" t="str">
        <f>IF(G468&gt;=G467,"ta  &gt;  tr     Design is OK.","ta  &lt;  tr     Design is Not OK.")</f>
        <v>ta  &gt;  tr     Design is OK.</v>
      </c>
      <c r="F469" s="274" t="s">
        <v>64</v>
      </c>
    </row>
    <row r="470" spans="1:18" x14ac:dyDescent="0.2">
      <c r="B470" s="436" t="str">
        <f>IF(G468&gt;1.5*G467,"WARNING:  Actual Member Thickness is considerably larger (&gt;50%) than required.","")</f>
        <v/>
      </c>
    </row>
    <row r="471" spans="1:18" x14ac:dyDescent="0.2">
      <c r="L471" s="274" t="s">
        <v>66</v>
      </c>
      <c r="N471" s="283">
        <v>12</v>
      </c>
      <c r="O471" s="283">
        <v>16</v>
      </c>
      <c r="P471" s="283">
        <v>20</v>
      </c>
      <c r="Q471" s="283">
        <v>22</v>
      </c>
      <c r="R471" s="283">
        <v>25</v>
      </c>
    </row>
    <row r="472" spans="1:18" x14ac:dyDescent="0.2">
      <c r="A472" s="274" t="s">
        <v>950</v>
      </c>
      <c r="L472" s="274" t="s">
        <v>67</v>
      </c>
      <c r="N472" s="283">
        <f>IF(H484=0,100000000,TRUNC(785.4*N471^2/$H$484/25)*25)</f>
        <v>100</v>
      </c>
      <c r="O472" s="283">
        <f>IF($H$484=0,100000000,TRUNC(785.4*O471^2/$H$484/25)*25)</f>
        <v>200</v>
      </c>
      <c r="P472" s="283">
        <f>IF($H$484=0,100000000,TRUNC(785.4*P471^2/$H$484/25)*25)</f>
        <v>325</v>
      </c>
      <c r="Q472" s="283">
        <f>IF($H$484=0,100000000,TRUNC(785.4*Q471^2/$H$484/25)*25)</f>
        <v>400</v>
      </c>
      <c r="R472" s="283">
        <f>IF($H$484=0,100000000,TRUNC(785.4*R471^2/$H$484/25)*25)</f>
        <v>500</v>
      </c>
    </row>
    <row r="473" spans="1:18" x14ac:dyDescent="0.2">
      <c r="B473" s="274" t="s">
        <v>1181</v>
      </c>
      <c r="L473" s="274" t="s">
        <v>68</v>
      </c>
      <c r="N473" s="283">
        <f>785.4*N471^2/N472</f>
        <v>1130.9759999999999</v>
      </c>
      <c r="O473" s="283">
        <f>785.4*O471^2/O472</f>
        <v>1005.312</v>
      </c>
      <c r="P473" s="283">
        <f>785.4*P471^2/P472</f>
        <v>966.64615384615388</v>
      </c>
      <c r="Q473" s="283">
        <f>785.4*Q471^2/Q472</f>
        <v>950.33399999999995</v>
      </c>
      <c r="R473" s="283">
        <f>785.4*R471^2/R472</f>
        <v>981.75</v>
      </c>
    </row>
    <row r="474" spans="1:18" x14ac:dyDescent="0.2">
      <c r="A474" s="277"/>
      <c r="L474" s="274" t="s">
        <v>69</v>
      </c>
      <c r="N474" s="283">
        <f>IF(OR(N472&gt;300,N472&lt;100),100000000,N473-$H$484)</f>
        <v>180.97599999999977</v>
      </c>
      <c r="O474" s="283">
        <f>IF(OR(O472&gt;300,O472&lt;100),100000001,O473-$H$484)</f>
        <v>55.311999999999898</v>
      </c>
      <c r="P474" s="283">
        <f>IF(OR(P472&gt;300,P472&lt;100),100000001,P473-$H$484)</f>
        <v>100000001</v>
      </c>
      <c r="Q474" s="283">
        <f>IF(OR(Q472&gt;300,Q472&lt;100),100000001,Q473-$H$484)</f>
        <v>100000001</v>
      </c>
      <c r="R474" s="283">
        <f>IF(OR(R472&gt;300,R472&lt;100),100000001,R473-$H$484)</f>
        <v>100000001</v>
      </c>
    </row>
    <row r="475" spans="1:18" x14ac:dyDescent="0.2">
      <c r="B475" s="274" t="s">
        <v>503</v>
      </c>
      <c r="L475" s="274" t="s">
        <v>70</v>
      </c>
      <c r="N475" s="283">
        <f>IF(R472&lt;100,25,IF(MIN(N474:R474)=N474,12,IF(MIN(N474:R474)=O474,16,IF(MIN(N474:R474)=P474,20,IF(MIN(N474:R474)=Q474,22,IF(MIN(N474:R474)=R474,25,0))))))</f>
        <v>16</v>
      </c>
      <c r="O475" s="274" t="s">
        <v>71</v>
      </c>
      <c r="P475" s="283">
        <f>IF(N475=12,N472,IF(N475=16,O472,IF(N475=20,P472,IF(N475=22,Q472,IF(N475=25,R472,0)))))</f>
        <v>200</v>
      </c>
      <c r="Q475" s="274" t="s">
        <v>72</v>
      </c>
    </row>
    <row r="476" spans="1:18" x14ac:dyDescent="0.2">
      <c r="B476" s="274" t="s">
        <v>504</v>
      </c>
    </row>
    <row r="477" spans="1:18" x14ac:dyDescent="0.2">
      <c r="B477" s="274" t="s">
        <v>505</v>
      </c>
      <c r="L477" s="274" t="s">
        <v>1162</v>
      </c>
      <c r="N477" s="279">
        <v>0</v>
      </c>
      <c r="O477" s="274" t="s">
        <v>71</v>
      </c>
      <c r="P477" s="279">
        <v>0</v>
      </c>
      <c r="Q477" s="274" t="s">
        <v>72</v>
      </c>
    </row>
    <row r="478" spans="1:18" x14ac:dyDescent="0.2">
      <c r="L478" s="274" t="s">
        <v>1163</v>
      </c>
    </row>
    <row r="479" spans="1:18" x14ac:dyDescent="0.2">
      <c r="B479" s="274" t="s">
        <v>1160</v>
      </c>
      <c r="F479" s="274" t="s">
        <v>1182</v>
      </c>
      <c r="I479" s="278">
        <f>$H$71</f>
        <v>13.8</v>
      </c>
      <c r="J479" s="274" t="s">
        <v>24</v>
      </c>
    </row>
    <row r="480" spans="1:18" x14ac:dyDescent="0.2">
      <c r="B480" s="274" t="s">
        <v>1161</v>
      </c>
      <c r="F480" s="274" t="s">
        <v>74</v>
      </c>
      <c r="I480" s="283">
        <f>E30</f>
        <v>750</v>
      </c>
      <c r="J480" s="274" t="s">
        <v>43</v>
      </c>
    </row>
    <row r="481" spans="1:18" x14ac:dyDescent="0.2">
      <c r="B481" s="274" t="s">
        <v>75</v>
      </c>
      <c r="C481" s="289">
        <f>C409</f>
        <v>2E-3</v>
      </c>
      <c r="D481" s="289">
        <f>D409</f>
        <v>1E-3</v>
      </c>
      <c r="F481" s="274" t="s">
        <v>511</v>
      </c>
      <c r="L481" s="274" t="s">
        <v>66</v>
      </c>
      <c r="N481" s="283">
        <v>12</v>
      </c>
      <c r="O481" s="283">
        <v>16</v>
      </c>
      <c r="P481" s="283">
        <v>20</v>
      </c>
      <c r="Q481" s="283">
        <v>22</v>
      </c>
      <c r="R481" s="283">
        <v>25</v>
      </c>
    </row>
    <row r="482" spans="1:18" x14ac:dyDescent="0.2">
      <c r="B482" s="274" t="s">
        <v>76</v>
      </c>
      <c r="C482" s="289">
        <f>C410</f>
        <v>2.5000000000000001E-3</v>
      </c>
      <c r="D482" s="289">
        <f>D410</f>
        <v>1.5E-3</v>
      </c>
      <c r="L482" s="274" t="s">
        <v>67</v>
      </c>
      <c r="N482" s="283">
        <f>IF($H$486=0,100000000,TRUNC(785.4*N481^2/$H$486/25)*25)</f>
        <v>175</v>
      </c>
      <c r="O482" s="283">
        <f>IF($H$486=0,100000000,TRUNC(785.4*O481^2/$H$486/25)*25)</f>
        <v>350</v>
      </c>
      <c r="P482" s="283">
        <f>IF($H$486=0,100000000,TRUNC(785.4*P481^2/$H$486/25)*25)</f>
        <v>550</v>
      </c>
      <c r="Q482" s="283">
        <f>IF($H$486=0,100000000,TRUNC(785.4*Q481^2/$H$486/25)*25)</f>
        <v>650</v>
      </c>
      <c r="R482" s="283">
        <f>IF($H$486=0,100000000,TRUNC(785.4*R481^2/$H$486/25)*25)</f>
        <v>850</v>
      </c>
    </row>
    <row r="483" spans="1:18" x14ac:dyDescent="0.2">
      <c r="L483" s="274" t="s">
        <v>68</v>
      </c>
      <c r="N483" s="283">
        <f>785.4*N481^2/N482</f>
        <v>646.27199999999993</v>
      </c>
      <c r="O483" s="283">
        <f>785.4*O481^2/O482</f>
        <v>574.46399999999994</v>
      </c>
      <c r="P483" s="283">
        <f>785.4*P481^2/P482</f>
        <v>571.20000000000005</v>
      </c>
      <c r="Q483" s="283">
        <f>785.4*Q481^2/Q482</f>
        <v>584.82092307692301</v>
      </c>
      <c r="R483" s="283">
        <f>785.4*R481^2/R482</f>
        <v>577.5</v>
      </c>
    </row>
    <row r="484" spans="1:18" x14ac:dyDescent="0.2">
      <c r="B484" s="274" t="s">
        <v>77</v>
      </c>
      <c r="E484" s="289"/>
      <c r="F484" s="274"/>
      <c r="G484" s="283"/>
      <c r="H484" s="280">
        <f>IF(I479&lt;=9,C481,C482)*IF(I480&lt;380,I480,380)*1000</f>
        <v>950.00000000000011</v>
      </c>
      <c r="I484" s="274" t="s">
        <v>78</v>
      </c>
      <c r="J484" s="283"/>
      <c r="L484" s="274" t="s">
        <v>69</v>
      </c>
      <c r="N484" s="283">
        <f>IF(OR(N482&gt;300,N482&lt;100),100000000,N483-$H$486)</f>
        <v>76.271999999999821</v>
      </c>
      <c r="O484" s="283">
        <f>IF(OR(O482&gt;300,O482&lt;100),100000001,O483-$H$486)</f>
        <v>100000001</v>
      </c>
      <c r="P484" s="283">
        <f>IF(OR(P482&gt;300,P482&lt;100),100000001,P483-$H$486)</f>
        <v>100000001</v>
      </c>
      <c r="Q484" s="283">
        <f>IF(OR(Q482&gt;300,Q482&lt;100),100000001,Q483-$H$486)</f>
        <v>100000001</v>
      </c>
      <c r="R484" s="283">
        <f>IF(OR(R482&gt;300,R482&lt;100),100000001,R483-$H$486)</f>
        <v>100000001</v>
      </c>
    </row>
    <row r="485" spans="1:18" x14ac:dyDescent="0.2">
      <c r="B485" s="274" t="s">
        <v>79</v>
      </c>
      <c r="C485" s="283">
        <f>IF(N477=0,N475,N477)</f>
        <v>16</v>
      </c>
      <c r="D485" s="274" t="s">
        <v>71</v>
      </c>
      <c r="E485" s="283">
        <f>IF(N477=0,IF(P475&gt;300,300,P475),P477)</f>
        <v>200</v>
      </c>
      <c r="F485" s="274" t="s">
        <v>80</v>
      </c>
      <c r="H485" s="283">
        <f>785.4*C485^2/E485</f>
        <v>1005.312</v>
      </c>
      <c r="I485" s="274" t="s">
        <v>81</v>
      </c>
      <c r="L485" s="274" t="s">
        <v>70</v>
      </c>
      <c r="N485" s="283">
        <f>IF(R482&lt;100,25,IF(MIN(N484:R484)=N484,12,IF(MIN(N484:R484)=O484,16,IF(MIN(N484:R484)=P484,20,IF(MIN(N484:R484)=Q484,22,IF(MIN(N484:R484)=R484,25,0))))))</f>
        <v>12</v>
      </c>
      <c r="O485" s="274" t="s">
        <v>71</v>
      </c>
      <c r="P485" s="283">
        <f>IF(N485=12,N482,IF(N485=16,O482,IF(N485=20,P482,IF(N485=22,Q482,IF(N485=25,R482,0)))))</f>
        <v>175</v>
      </c>
      <c r="Q485" s="274" t="s">
        <v>72</v>
      </c>
    </row>
    <row r="486" spans="1:18" x14ac:dyDescent="0.2">
      <c r="B486" s="274" t="s">
        <v>238</v>
      </c>
      <c r="E486" s="289"/>
      <c r="F486" s="274"/>
      <c r="G486" s="283"/>
      <c r="H486" s="280">
        <f>IF(I479&lt;=9,D481,D482)*IF(I480&lt;380,I480,380)*1000</f>
        <v>570.00000000000011</v>
      </c>
      <c r="I486" s="274" t="s">
        <v>78</v>
      </c>
      <c r="J486" s="283"/>
    </row>
    <row r="487" spans="1:18" x14ac:dyDescent="0.2">
      <c r="B487" s="274" t="s">
        <v>79</v>
      </c>
      <c r="C487" s="283">
        <v>12</v>
      </c>
      <c r="D487" s="274" t="s">
        <v>71</v>
      </c>
      <c r="E487" s="283">
        <v>175</v>
      </c>
      <c r="F487" s="274" t="s">
        <v>80</v>
      </c>
      <c r="H487" s="283">
        <f>785.4*C487^2/E487</f>
        <v>646.27199999999993</v>
      </c>
      <c r="I487" s="274" t="s">
        <v>81</v>
      </c>
      <c r="L487" s="274" t="s">
        <v>1162</v>
      </c>
      <c r="N487" s="279">
        <v>0</v>
      </c>
      <c r="O487" s="274" t="s">
        <v>71</v>
      </c>
      <c r="P487" s="279">
        <v>0</v>
      </c>
      <c r="Q487" s="274" t="s">
        <v>72</v>
      </c>
    </row>
    <row r="488" spans="1:18" x14ac:dyDescent="0.2">
      <c r="L488" s="274" t="s">
        <v>1163</v>
      </c>
    </row>
    <row r="489" spans="1:18" x14ac:dyDescent="0.2">
      <c r="A489" s="274" t="s">
        <v>986</v>
      </c>
    </row>
    <row r="490" spans="1:18" x14ac:dyDescent="0.2">
      <c r="A490" s="274" t="s">
        <v>950</v>
      </c>
    </row>
    <row r="491" spans="1:18" x14ac:dyDescent="0.2">
      <c r="B491" s="274" t="s">
        <v>1183</v>
      </c>
    </row>
    <row r="492" spans="1:18" x14ac:dyDescent="0.2">
      <c r="A492" s="277"/>
      <c r="F492" s="274"/>
    </row>
    <row r="493" spans="1:18" x14ac:dyDescent="0.2">
      <c r="B493" s="274" t="s">
        <v>603</v>
      </c>
      <c r="H493" s="280">
        <f>(E494*1000000000)/(G353*F367*H495)</f>
        <v>0</v>
      </c>
      <c r="I493" s="274" t="s">
        <v>78</v>
      </c>
    </row>
    <row r="494" spans="1:18" x14ac:dyDescent="0.2">
      <c r="B494" s="274" t="s">
        <v>86</v>
      </c>
      <c r="E494" s="278">
        <f>I326</f>
        <v>0</v>
      </c>
      <c r="F494" s="274" t="s">
        <v>58</v>
      </c>
    </row>
    <row r="495" spans="1:18" x14ac:dyDescent="0.2">
      <c r="B495" s="274" t="s">
        <v>1184</v>
      </c>
      <c r="H495" s="280">
        <f>G468-G361</f>
        <v>675</v>
      </c>
      <c r="I495" s="274" t="s">
        <v>43</v>
      </c>
    </row>
    <row r="496" spans="1:18" x14ac:dyDescent="0.2">
      <c r="L496" s="274" t="s">
        <v>66</v>
      </c>
      <c r="N496" s="283">
        <v>12</v>
      </c>
      <c r="O496" s="283">
        <v>16</v>
      </c>
      <c r="P496" s="283">
        <v>20</v>
      </c>
      <c r="Q496" s="283">
        <v>22</v>
      </c>
      <c r="R496" s="283">
        <v>25</v>
      </c>
    </row>
    <row r="497" spans="1:18" x14ac:dyDescent="0.2">
      <c r="B497" s="274" t="s">
        <v>87</v>
      </c>
      <c r="L497" s="274" t="s">
        <v>67</v>
      </c>
      <c r="N497" s="283">
        <f>IF($H$504=0,100000000,TRUNC(785.4*N496^2/$H$504/25)*25)</f>
        <v>125</v>
      </c>
      <c r="O497" s="283">
        <f>IF($H$504=0,100000000,TRUNC(785.4*O496^2/$H$504/25)*25)</f>
        <v>250</v>
      </c>
      <c r="P497" s="283">
        <f>IF($H$504=0,100000000,TRUNC(785.4*P496^2/$H$504/25)*25)</f>
        <v>400</v>
      </c>
      <c r="Q497" s="283">
        <f>IF($H$504=0,100000000,TRUNC(785.4*Q496^2/$H$504/25)*25)</f>
        <v>500</v>
      </c>
      <c r="R497" s="283">
        <f>IF($H$504=0,100000000,TRUNC(785.4*R496^2/$H$504/25)*25)</f>
        <v>625</v>
      </c>
    </row>
    <row r="498" spans="1:18" x14ac:dyDescent="0.2">
      <c r="L498" s="274" t="s">
        <v>68</v>
      </c>
      <c r="N498" s="283">
        <f>785.4*N496^2/N497</f>
        <v>904.78079999999989</v>
      </c>
      <c r="O498" s="283">
        <f>785.4*O496^2/O497</f>
        <v>804.24959999999999</v>
      </c>
      <c r="P498" s="283">
        <f>785.4*P496^2/P497</f>
        <v>785.4</v>
      </c>
      <c r="Q498" s="283">
        <f>785.4*Q496^2/Q497</f>
        <v>760.2672</v>
      </c>
      <c r="R498" s="283">
        <f>785.4*R496^2/R497</f>
        <v>785.4</v>
      </c>
    </row>
    <row r="499" spans="1:18" x14ac:dyDescent="0.2">
      <c r="B499" s="274" t="s">
        <v>1185</v>
      </c>
      <c r="G499" s="278">
        <f>$E$34*$E$36+$E$32/500+($E$34-1)*$E$33/1000</f>
        <v>2.9</v>
      </c>
      <c r="H499" s="278" t="str">
        <f>IF(G499&lt;=9,"m  &lt;  9 m","m  &gt;  9 m")</f>
        <v>m  &lt;  9 m</v>
      </c>
      <c r="L499" s="274" t="s">
        <v>69</v>
      </c>
      <c r="N499" s="283">
        <f>IF(OR(N497&gt;300,N497&lt;100),100000000,N498-$H$504)</f>
        <v>144.78079999999989</v>
      </c>
      <c r="O499" s="283">
        <f>IF(OR(O497&gt;300,O497&lt;100),100000001,O498-$H$504)</f>
        <v>44.249599999999987</v>
      </c>
      <c r="P499" s="283">
        <f>IF(OR(P497&gt;300,P497&lt;100),100000001,P498-$H$504)</f>
        <v>100000001</v>
      </c>
      <c r="Q499" s="283">
        <f>IF(OR(Q497&gt;300,Q497&lt;100),100000001,Q498-$H$504)</f>
        <v>100000001</v>
      </c>
      <c r="R499" s="283">
        <f>IF(OR(R497&gt;300,R497&lt;100),100000001,R498-$H$504)</f>
        <v>100000001</v>
      </c>
    </row>
    <row r="500" spans="1:18" x14ac:dyDescent="0.2">
      <c r="B500" s="274" t="s">
        <v>1170</v>
      </c>
      <c r="G500" s="283">
        <f>G468</f>
        <v>750</v>
      </c>
      <c r="H500" s="278" t="str">
        <f>IF(G500&lt;=380,"mm  &lt;  380 mm","mm  &gt;  380 mm")</f>
        <v>mm  &gt;  380 mm</v>
      </c>
      <c r="L500" s="274" t="s">
        <v>70</v>
      </c>
      <c r="N500" s="283">
        <f>IF(R497&lt;100,25,IF(MIN(N499:R499)=N499,12,IF(MIN(N499:R499)=O499,16,IF(MIN(N499:R499)=P499,20,IF(MIN(N499:R499)=Q499,22,IF(MIN(N499:R499)=R499,25,0))))))</f>
        <v>16</v>
      </c>
      <c r="O500" s="274" t="s">
        <v>71</v>
      </c>
      <c r="P500" s="283">
        <f>IF(N500=12,N497,IF(N500=16,O497,IF(N500=20,P497,IF(N500=22,Q497,IF(N500=25,R497,0)))))</f>
        <v>250</v>
      </c>
      <c r="Q500" s="274" t="s">
        <v>72</v>
      </c>
    </row>
    <row r="501" spans="1:18" x14ac:dyDescent="0.2">
      <c r="B501" s="274" t="s">
        <v>1186</v>
      </c>
      <c r="E501" s="289">
        <f>IF(G499&lt;=9,$C$409,$C$410)</f>
        <v>2E-3</v>
      </c>
    </row>
    <row r="502" spans="1:18" x14ac:dyDescent="0.2">
      <c r="L502" s="274" t="s">
        <v>1162</v>
      </c>
      <c r="N502" s="279">
        <v>0</v>
      </c>
      <c r="O502" s="274" t="s">
        <v>71</v>
      </c>
      <c r="P502" s="279">
        <v>0</v>
      </c>
      <c r="Q502" s="274" t="s">
        <v>72</v>
      </c>
    </row>
    <row r="503" spans="1:18" x14ac:dyDescent="0.2">
      <c r="B503" s="274" t="s">
        <v>84</v>
      </c>
      <c r="C503" s="289"/>
      <c r="D503" s="274"/>
      <c r="E503" s="283"/>
      <c r="F503" s="274"/>
      <c r="H503" s="280">
        <f>E501*IF(G500&lt;380,G500,380)*1000</f>
        <v>760</v>
      </c>
      <c r="I503" s="274" t="s">
        <v>78</v>
      </c>
      <c r="L503" s="274" t="s">
        <v>1163</v>
      </c>
    </row>
    <row r="504" spans="1:18" x14ac:dyDescent="0.2">
      <c r="B504" s="278" t="str">
        <f>IF(H493&gt;H503,"Ast(Moment)  &gt;  Ast(Shrinkage)","Ast(Moment)  &lt;  Ast(Shrinkage)")</f>
        <v>Ast(Moment)  &lt;  Ast(Shrinkage)</v>
      </c>
      <c r="F504" s="274" t="s">
        <v>88</v>
      </c>
      <c r="H504" s="283">
        <f>IF(H493&gt;H503,H493,H503)</f>
        <v>760</v>
      </c>
      <c r="I504" s="274" t="s">
        <v>89</v>
      </c>
    </row>
    <row r="505" spans="1:18" x14ac:dyDescent="0.2">
      <c r="B505" s="614" t="s">
        <v>79</v>
      </c>
      <c r="C505" s="510">
        <v>16</v>
      </c>
      <c r="D505" s="614" t="s">
        <v>71</v>
      </c>
      <c r="E505" s="510">
        <v>200</v>
      </c>
      <c r="F505" s="614" t="s">
        <v>80</v>
      </c>
      <c r="G505" s="615"/>
      <c r="H505" s="510">
        <f>785.4*C505^2/E505</f>
        <v>1005.312</v>
      </c>
      <c r="I505" s="614" t="s">
        <v>81</v>
      </c>
    </row>
    <row r="507" spans="1:18" x14ac:dyDescent="0.2">
      <c r="A507" s="274" t="s">
        <v>950</v>
      </c>
    </row>
    <row r="508" spans="1:18" x14ac:dyDescent="0.2">
      <c r="B508" s="274" t="s">
        <v>1187</v>
      </c>
    </row>
    <row r="509" spans="1:18" x14ac:dyDescent="0.2">
      <c r="A509" s="277"/>
    </row>
    <row r="510" spans="1:18" x14ac:dyDescent="0.2">
      <c r="B510" s="274" t="s">
        <v>1188</v>
      </c>
      <c r="F510" s="274"/>
      <c r="H510" s="280">
        <f>(E459*1000000000)/(G353*F367*H495)</f>
        <v>2311.0397542286119</v>
      </c>
      <c r="I510" s="274" t="s">
        <v>78</v>
      </c>
    </row>
    <row r="512" spans="1:18" x14ac:dyDescent="0.2">
      <c r="B512" s="274" t="s">
        <v>87</v>
      </c>
      <c r="L512" s="274" t="s">
        <v>66</v>
      </c>
      <c r="N512" s="283">
        <v>12</v>
      </c>
      <c r="O512" s="283">
        <v>16</v>
      </c>
      <c r="P512" s="283">
        <v>20</v>
      </c>
      <c r="Q512" s="283">
        <v>22</v>
      </c>
      <c r="R512" s="283">
        <v>25</v>
      </c>
    </row>
    <row r="513" spans="1:18" x14ac:dyDescent="0.2">
      <c r="L513" s="274" t="s">
        <v>67</v>
      </c>
      <c r="N513" s="283">
        <f>IF($H$518=0,100000000,TRUNC(785.4*N512^2/$H$518/25)*25)</f>
        <v>25</v>
      </c>
      <c r="O513" s="283">
        <f>IF($H$518=0,100000000,TRUNC(785.4*O512^2/$H$518/25)*25)</f>
        <v>75</v>
      </c>
      <c r="P513" s="283">
        <f>IF($H$518=0,100000000,TRUNC(785.4*P512^2/$H$518/25)*25)</f>
        <v>125</v>
      </c>
      <c r="Q513" s="283">
        <f>IF($H$518=0,100000000,TRUNC(785.4*Q512^2/$H$518/25)*25)</f>
        <v>150</v>
      </c>
      <c r="R513" s="283">
        <f>IF($H$518=0,100000000,TRUNC(785.4*R512^2/$H$518/25)*25)</f>
        <v>200</v>
      </c>
    </row>
    <row r="514" spans="1:18" x14ac:dyDescent="0.2">
      <c r="B514" s="274" t="s">
        <v>1185</v>
      </c>
      <c r="G514" s="278">
        <f>$E$34*$E$36+$E$32/500+($E$34-1)*$E$33/1000</f>
        <v>2.9</v>
      </c>
      <c r="H514" s="278" t="str">
        <f>IF(G514&lt;=9,"m  &lt;  9 m","m  &gt;  9 m")</f>
        <v>m  &lt;  9 m</v>
      </c>
      <c r="L514" s="274" t="s">
        <v>68</v>
      </c>
      <c r="N514" s="283">
        <f>785.4*N512^2/N513</f>
        <v>4523.9039999999995</v>
      </c>
      <c r="O514" s="283">
        <f>785.4*O512^2/O513</f>
        <v>2680.8319999999999</v>
      </c>
      <c r="P514" s="283">
        <f>785.4*P512^2/P513</f>
        <v>2513.2800000000002</v>
      </c>
      <c r="Q514" s="283">
        <f>785.4*Q512^2/Q513</f>
        <v>2534.2239999999997</v>
      </c>
      <c r="R514" s="283">
        <f>785.4*R512^2/R513</f>
        <v>2454.375</v>
      </c>
    </row>
    <row r="515" spans="1:18" x14ac:dyDescent="0.2">
      <c r="B515" s="274" t="s">
        <v>1170</v>
      </c>
      <c r="G515" s="283">
        <f>G468</f>
        <v>750</v>
      </c>
      <c r="H515" s="278" t="str">
        <f>IF(G515&lt;=380,"mm  &lt;  380 mm","mm  &gt;  380 mm")</f>
        <v>mm  &gt;  380 mm</v>
      </c>
      <c r="L515" s="274" t="s">
        <v>69</v>
      </c>
      <c r="N515" s="283">
        <f>IF(OR(N513&gt;300,N513&lt;100),100000000,N514-$H$518)</f>
        <v>100000000</v>
      </c>
      <c r="O515" s="283">
        <f>IF(OR(O513&gt;300,O513&lt;100),100000001,O514-$H$518)</f>
        <v>100000001</v>
      </c>
      <c r="P515" s="283">
        <f>IF(OR(P513&gt;300,P513&lt;100),100000001,P514-$H$518)</f>
        <v>202.24024577138835</v>
      </c>
      <c r="Q515" s="283">
        <f>IF(OR(Q513&gt;300,Q513&lt;100),100000001,Q514-$H$518)</f>
        <v>223.18424577138785</v>
      </c>
      <c r="R515" s="283">
        <f>IF(OR(R513&gt;300,R513&lt;100),100000001,R514-$H$518)</f>
        <v>143.33524577138814</v>
      </c>
    </row>
    <row r="516" spans="1:18" x14ac:dyDescent="0.2">
      <c r="B516" s="274"/>
      <c r="E516" s="289"/>
      <c r="L516" s="274" t="s">
        <v>70</v>
      </c>
      <c r="N516" s="283">
        <f>IF(R513&lt;100,25,IF(MIN(N515:R515)=N515,12,IF(MIN(N515:R515)=O515,16,IF(MIN(N515:R515)=P515,20,IF(MIN(N515:R515)=Q515,22,IF(MIN(N515:R515)=R515,25,0))))))</f>
        <v>25</v>
      </c>
      <c r="O516" s="274" t="s">
        <v>71</v>
      </c>
      <c r="P516" s="283">
        <f>IF(N516=12,N513,IF(N516=16,O513,IF(N516=20,P513,IF(N516=22,Q513,IF(N516=25,R513,0)))))</f>
        <v>200</v>
      </c>
      <c r="Q516" s="274" t="s">
        <v>72</v>
      </c>
    </row>
    <row r="517" spans="1:18" x14ac:dyDescent="0.2">
      <c r="B517" s="274" t="s">
        <v>1189</v>
      </c>
      <c r="C517" s="289"/>
      <c r="D517" s="274"/>
      <c r="E517" s="283"/>
      <c r="F517" s="274"/>
      <c r="H517" s="280">
        <f>IF(G514&lt;=9,D409,D410)*IF(G515&lt;380,G515,380)*1000</f>
        <v>380</v>
      </c>
      <c r="I517" s="274" t="s">
        <v>78</v>
      </c>
    </row>
    <row r="518" spans="1:18" x14ac:dyDescent="0.2">
      <c r="B518" s="278" t="str">
        <f>IF(H510&gt;H517,"Ast(Moment)  &gt;  Ast(Shrinkage)","Ast(Moment)  &lt;  Ast(Shrinkage)")</f>
        <v>Ast(Moment)  &gt;  Ast(Shrinkage)</v>
      </c>
      <c r="F518" s="274" t="s">
        <v>88</v>
      </c>
      <c r="H518" s="283">
        <f>IF(H510&gt;H517,H510,H517)</f>
        <v>2311.0397542286119</v>
      </c>
      <c r="I518" s="274" t="s">
        <v>89</v>
      </c>
      <c r="L518" s="274" t="s">
        <v>1162</v>
      </c>
      <c r="N518" s="279">
        <v>0</v>
      </c>
      <c r="O518" s="274" t="s">
        <v>71</v>
      </c>
      <c r="P518" s="279">
        <v>0</v>
      </c>
      <c r="Q518" s="274" t="s">
        <v>72</v>
      </c>
    </row>
    <row r="519" spans="1:18" x14ac:dyDescent="0.2">
      <c r="B519" s="614" t="s">
        <v>79</v>
      </c>
      <c r="C519" s="510">
        <v>20</v>
      </c>
      <c r="D519" s="614" t="s">
        <v>71</v>
      </c>
      <c r="E519" s="510">
        <v>125</v>
      </c>
      <c r="F519" s="614" t="s">
        <v>80</v>
      </c>
      <c r="G519" s="615"/>
      <c r="H519" s="510">
        <f>785.4*C519^2/E519</f>
        <v>2513.2800000000002</v>
      </c>
      <c r="I519" s="614" t="s">
        <v>81</v>
      </c>
      <c r="L519" s="274" t="s">
        <v>1163</v>
      </c>
    </row>
    <row r="521" spans="1:18" x14ac:dyDescent="0.2">
      <c r="A521" s="274" t="s">
        <v>986</v>
      </c>
    </row>
    <row r="522" spans="1:18" x14ac:dyDescent="0.2">
      <c r="A522" s="274" t="s">
        <v>950</v>
      </c>
    </row>
    <row r="523" spans="1:18" x14ac:dyDescent="0.2">
      <c r="A523" s="274" t="s">
        <v>1190</v>
      </c>
    </row>
    <row r="525" spans="1:18" x14ac:dyDescent="0.2">
      <c r="A525" s="274" t="s">
        <v>950</v>
      </c>
    </row>
    <row r="526" spans="1:18" x14ac:dyDescent="0.2">
      <c r="B526" s="171" t="s">
        <v>1191</v>
      </c>
    </row>
    <row r="527" spans="1:18" x14ac:dyDescent="0.2">
      <c r="A527" s="277"/>
    </row>
    <row r="528" spans="1:18" x14ac:dyDescent="0.2">
      <c r="B528" s="171" t="s">
        <v>1758</v>
      </c>
    </row>
    <row r="529" spans="1:8" x14ac:dyDescent="0.2">
      <c r="B529" s="171" t="s">
        <v>1759</v>
      </c>
    </row>
    <row r="530" spans="1:8" x14ac:dyDescent="0.2">
      <c r="B530" s="171" t="s">
        <v>1760</v>
      </c>
    </row>
    <row r="531" spans="1:8" x14ac:dyDescent="0.2">
      <c r="B531" s="274"/>
    </row>
    <row r="532" spans="1:8" x14ac:dyDescent="0.2">
      <c r="C532" s="436" t="str">
        <f>IF(E330&gt;E331,"WARNING:  Mid Span Moment &lt; Top End Moment, check thickness at mid span.","")</f>
        <v>WARNING:  Mid Span Moment &lt; Top End Moment, check thickness at mid span.</v>
      </c>
    </row>
    <row r="533" spans="1:8" x14ac:dyDescent="0.2">
      <c r="A533" s="274" t="s">
        <v>950</v>
      </c>
    </row>
    <row r="534" spans="1:8" x14ac:dyDescent="0.2">
      <c r="B534" s="274" t="s">
        <v>1192</v>
      </c>
    </row>
    <row r="535" spans="1:8" x14ac:dyDescent="0.2">
      <c r="B535" s="277"/>
    </row>
    <row r="536" spans="1:8" x14ac:dyDescent="0.2">
      <c r="B536" s="274" t="s">
        <v>499</v>
      </c>
    </row>
    <row r="538" spans="1:8" x14ac:dyDescent="0.2">
      <c r="B538" s="274" t="s">
        <v>1193</v>
      </c>
    </row>
    <row r="539" spans="1:8" x14ac:dyDescent="0.2">
      <c r="B539" s="274" t="s">
        <v>500</v>
      </c>
      <c r="E539" s="278">
        <f>E331</f>
        <v>134.72615154472098</v>
      </c>
      <c r="F539" s="274" t="s">
        <v>58</v>
      </c>
    </row>
    <row r="540" spans="1:8" x14ac:dyDescent="0.2">
      <c r="B540" s="274" t="s">
        <v>60</v>
      </c>
      <c r="E540" s="283">
        <f>SQRT(E539/F368)*1000</f>
        <v>327.90756222143426</v>
      </c>
      <c r="F540" s="274" t="s">
        <v>43</v>
      </c>
      <c r="G540" s="274"/>
    </row>
    <row r="541" spans="1:8" x14ac:dyDescent="0.2">
      <c r="B541" s="274"/>
    </row>
    <row r="542" spans="1:8" x14ac:dyDescent="0.2">
      <c r="B542" s="274" t="s">
        <v>1153</v>
      </c>
    </row>
    <row r="543" spans="1:8" x14ac:dyDescent="0.2">
      <c r="B543" s="274" t="s">
        <v>501</v>
      </c>
      <c r="E543" s="278">
        <f>E341</f>
        <v>180.74525617675678</v>
      </c>
      <c r="F543" s="274" t="s">
        <v>57</v>
      </c>
    </row>
    <row r="544" spans="1:8" x14ac:dyDescent="0.2">
      <c r="B544" s="274" t="s">
        <v>1194</v>
      </c>
      <c r="E544" s="283">
        <f>E543/G356*1000</f>
        <v>421.65545624654976</v>
      </c>
      <c r="F544" s="274" t="s">
        <v>43</v>
      </c>
      <c r="G544" s="281"/>
      <c r="H544" s="274"/>
    </row>
    <row r="546" spans="1:8" x14ac:dyDescent="0.2">
      <c r="B546" s="278" t="str">
        <f>IF(E540&gt;=E544,"dr(Moment) &gt; dr(Shear)","dr(Moment) &lt; dr(Shear)")</f>
        <v>dr(Moment) &lt; dr(Shear)</v>
      </c>
      <c r="E546" s="274" t="s">
        <v>1156</v>
      </c>
      <c r="G546" s="283">
        <f>IF(E540&gt;=E544,E540,E544)</f>
        <v>421.65545624654976</v>
      </c>
      <c r="H546" s="274" t="s">
        <v>62</v>
      </c>
    </row>
    <row r="548" spans="1:8" x14ac:dyDescent="0.2">
      <c r="B548" s="274" t="s">
        <v>1195</v>
      </c>
      <c r="D548" s="283"/>
      <c r="E548" s="274"/>
      <c r="F548" s="283"/>
      <c r="G548" s="283">
        <f>G546+G361</f>
        <v>496.65545624654976</v>
      </c>
      <c r="H548" s="274" t="s">
        <v>43</v>
      </c>
    </row>
    <row r="549" spans="1:8" x14ac:dyDescent="0.2">
      <c r="B549" s="274" t="s">
        <v>574</v>
      </c>
      <c r="G549" s="283">
        <f>E31</f>
        <v>700</v>
      </c>
      <c r="H549" s="274" t="s">
        <v>43</v>
      </c>
    </row>
    <row r="550" spans="1:8" x14ac:dyDescent="0.2">
      <c r="B550" s="288" t="str">
        <f>IF(G549&gt;=G548,"ta  &gt;  tr     Design is OK.","ta  &lt;  tr     Design is Not OK.")</f>
        <v>ta  &gt;  tr     Design is OK.</v>
      </c>
      <c r="F550" s="274" t="s">
        <v>64</v>
      </c>
    </row>
    <row r="551" spans="1:8" x14ac:dyDescent="0.2">
      <c r="B551" s="278" t="str">
        <f>IF(G549&gt;1.5*G548,"WARNING:  Actual Member Thickness is considerably larger (&gt;50%) than required.","")</f>
        <v/>
      </c>
    </row>
    <row r="552" spans="1:8" x14ac:dyDescent="0.2">
      <c r="A552" s="274" t="s">
        <v>986</v>
      </c>
    </row>
    <row r="553" spans="1:8" x14ac:dyDescent="0.2">
      <c r="A553" s="274" t="s">
        <v>950</v>
      </c>
    </row>
    <row r="554" spans="1:8" x14ac:dyDescent="0.2">
      <c r="B554" s="274" t="s">
        <v>1196</v>
      </c>
    </row>
    <row r="555" spans="1:8" x14ac:dyDescent="0.2">
      <c r="B555" s="277"/>
    </row>
    <row r="556" spans="1:8" x14ac:dyDescent="0.2">
      <c r="B556" s="274" t="s">
        <v>499</v>
      </c>
    </row>
    <row r="557" spans="1:8" x14ac:dyDescent="0.2">
      <c r="B557" s="274" t="s">
        <v>1150</v>
      </c>
    </row>
    <row r="558" spans="1:8" x14ac:dyDescent="0.2">
      <c r="B558" s="274" t="s">
        <v>500</v>
      </c>
      <c r="E558" s="278">
        <f>E332</f>
        <v>259.75446011666918</v>
      </c>
      <c r="F558" s="274" t="s">
        <v>58</v>
      </c>
    </row>
    <row r="559" spans="1:8" x14ac:dyDescent="0.2">
      <c r="B559" s="274" t="s">
        <v>1197</v>
      </c>
      <c r="E559" s="283">
        <f>SQRT(E558/F368)*1000</f>
        <v>455.30978840383511</v>
      </c>
      <c r="F559" s="274" t="s">
        <v>43</v>
      </c>
      <c r="G559" s="274"/>
    </row>
    <row r="560" spans="1:8" x14ac:dyDescent="0.2">
      <c r="B560" s="274"/>
    </row>
    <row r="561" spans="1:18" x14ac:dyDescent="0.2">
      <c r="B561" s="274" t="s">
        <v>1153</v>
      </c>
    </row>
    <row r="562" spans="1:18" x14ac:dyDescent="0.2">
      <c r="B562" s="274" t="s">
        <v>501</v>
      </c>
      <c r="E562" s="278">
        <f>E342</f>
        <v>318.98859085331969</v>
      </c>
      <c r="F562" s="274" t="s">
        <v>57</v>
      </c>
    </row>
    <row r="563" spans="1:18" x14ac:dyDescent="0.2">
      <c r="B563" s="274" t="s">
        <v>1198</v>
      </c>
      <c r="E563" s="283">
        <f>E562/G356*1000</f>
        <v>744.15939128253126</v>
      </c>
      <c r="F563" s="274" t="s">
        <v>43</v>
      </c>
      <c r="G563" s="281"/>
      <c r="H563" s="274"/>
    </row>
    <row r="565" spans="1:18" x14ac:dyDescent="0.2">
      <c r="B565" s="278" t="str">
        <f>IF(E559&gt;=E563,"dr(Moment) &gt; dr(Shear)","dr(Moment) &lt; dr(Shear)")</f>
        <v>dr(Moment) &lt; dr(Shear)</v>
      </c>
      <c r="E565" s="274" t="s">
        <v>1156</v>
      </c>
      <c r="G565" s="283">
        <f>IF(E559&gt;=E563,E559,E563)</f>
        <v>744.15939128253126</v>
      </c>
      <c r="H565" s="274" t="s">
        <v>62</v>
      </c>
    </row>
    <row r="567" spans="1:18" x14ac:dyDescent="0.2">
      <c r="B567" s="274" t="s">
        <v>63</v>
      </c>
      <c r="D567" s="283"/>
      <c r="E567" s="274"/>
      <c r="F567" s="283"/>
      <c r="G567" s="1135">
        <f>G565+G361</f>
        <v>819.15939128253126</v>
      </c>
      <c r="H567" s="708" t="s">
        <v>43</v>
      </c>
    </row>
    <row r="568" spans="1:18" x14ac:dyDescent="0.2">
      <c r="B568" s="274" t="s">
        <v>502</v>
      </c>
      <c r="G568" s="1135">
        <f>E32</f>
        <v>700</v>
      </c>
      <c r="H568" s="708" t="s">
        <v>43</v>
      </c>
    </row>
    <row r="569" spans="1:18" x14ac:dyDescent="0.2">
      <c r="B569" s="288" t="str">
        <f>IF(G568&gt;=G567,"ta  &gt;  tr     Design is OK.","ta  &lt;  tr     Design is Not OK.")</f>
        <v>ta  &lt;  tr     Design is Not OK.</v>
      </c>
      <c r="F569" s="274" t="s">
        <v>64</v>
      </c>
    </row>
    <row r="570" spans="1:18" x14ac:dyDescent="0.2">
      <c r="B570" s="278" t="str">
        <f>IF(G568&gt;1.5*G567,"WARNING:  Actual Member Thickness is considerably larger (&gt;50%) than required.","")</f>
        <v/>
      </c>
      <c r="L570" s="274" t="s">
        <v>66</v>
      </c>
      <c r="N570" s="283">
        <v>12</v>
      </c>
      <c r="O570" s="283">
        <v>16</v>
      </c>
      <c r="P570" s="283">
        <v>20</v>
      </c>
      <c r="Q570" s="283">
        <v>22</v>
      </c>
      <c r="R570" s="283">
        <v>25</v>
      </c>
    </row>
    <row r="571" spans="1:18" x14ac:dyDescent="0.2">
      <c r="L571" s="274" t="s">
        <v>67</v>
      </c>
      <c r="N571" s="283">
        <f>IF($H$584=0,100000000,TRUNC(785.4*N570^2/$H$584/25)*25)</f>
        <v>100</v>
      </c>
      <c r="O571" s="283">
        <f>IF($H$584=0,100000000,TRUNC(785.4*O570^2/$H$584/25)*25)</f>
        <v>200</v>
      </c>
      <c r="P571" s="283">
        <f>IF($H$584=0,100000000,TRUNC(785.4*P570^2/$H$584/25)*25)</f>
        <v>325</v>
      </c>
      <c r="Q571" s="283">
        <f>IF($H$584=0,100000000,TRUNC(785.4*Q570^2/$H$584/25)*25)</f>
        <v>400</v>
      </c>
      <c r="R571" s="283">
        <f>IF($H$584=0,100000000,TRUNC(785.4*R570^2/$H$584/25)*25)</f>
        <v>500</v>
      </c>
    </row>
    <row r="572" spans="1:18" x14ac:dyDescent="0.2">
      <c r="A572" s="274" t="s">
        <v>950</v>
      </c>
      <c r="L572" s="274" t="s">
        <v>68</v>
      </c>
      <c r="N572" s="283">
        <f>785.4*N570^2/N571</f>
        <v>1130.9759999999999</v>
      </c>
      <c r="O572" s="283">
        <f>785.4*O570^2/O571</f>
        <v>1005.312</v>
      </c>
      <c r="P572" s="283">
        <f>785.4*P570^2/P571</f>
        <v>966.64615384615388</v>
      </c>
      <c r="Q572" s="283">
        <f>785.4*Q570^2/Q571</f>
        <v>950.33399999999995</v>
      </c>
      <c r="R572" s="283">
        <f>785.4*R570^2/R571</f>
        <v>981.75</v>
      </c>
    </row>
    <row r="573" spans="1:18" x14ac:dyDescent="0.2">
      <c r="B573" s="274" t="s">
        <v>1199</v>
      </c>
      <c r="L573" s="274" t="s">
        <v>69</v>
      </c>
      <c r="N573" s="283">
        <f>IF(OR(N571&gt;300,N571&lt;100),100000000,N572-$H$584)</f>
        <v>180.97599999999977</v>
      </c>
      <c r="O573" s="283">
        <f>IF(OR(O571&gt;300,O571&lt;100),100000001,O572-$H$584)</f>
        <v>55.311999999999898</v>
      </c>
      <c r="P573" s="283">
        <f>IF(OR(P571&gt;300,P571&lt;100),100000001,P572-$H$584)</f>
        <v>100000001</v>
      </c>
      <c r="Q573" s="283">
        <f>IF(OR(Q571&gt;300,Q571&lt;100),100000001,Q572-$H$584)</f>
        <v>100000001</v>
      </c>
      <c r="R573" s="283">
        <f>IF(OR(R571&gt;300,R571&lt;100),100000001,R572-$H$584)</f>
        <v>100000001</v>
      </c>
    </row>
    <row r="574" spans="1:18" x14ac:dyDescent="0.2">
      <c r="A574" s="277"/>
      <c r="L574" s="274" t="s">
        <v>70</v>
      </c>
      <c r="N574" s="283">
        <f>IF(R571&lt;100,25,IF(MIN(N573:R573)=N573,12,IF(MIN(N573:R573)=O573,16,IF(MIN(N573:R573)=P573,20,IF(MIN(N573:R573)=Q573,22,IF(MIN(N573:R573)=R573,25,0))))))</f>
        <v>16</v>
      </c>
      <c r="O574" s="274" t="s">
        <v>71</v>
      </c>
      <c r="P574" s="283">
        <f>IF(N574=12,N571,IF(N574=16,O571,IF(N574=20,P571,IF(N574=22,Q571,IF(N574=25,R571,0)))))</f>
        <v>200</v>
      </c>
      <c r="Q574" s="274" t="s">
        <v>72</v>
      </c>
    </row>
    <row r="575" spans="1:18" x14ac:dyDescent="0.2">
      <c r="B575" s="274" t="s">
        <v>503</v>
      </c>
    </row>
    <row r="576" spans="1:18" x14ac:dyDescent="0.2">
      <c r="B576" s="274" t="s">
        <v>504</v>
      </c>
      <c r="L576" s="274" t="s">
        <v>1162</v>
      </c>
      <c r="N576" s="279">
        <v>0</v>
      </c>
      <c r="O576" s="274" t="s">
        <v>71</v>
      </c>
      <c r="P576" s="279">
        <v>0</v>
      </c>
      <c r="Q576" s="274" t="s">
        <v>72</v>
      </c>
    </row>
    <row r="577" spans="1:18" x14ac:dyDescent="0.2">
      <c r="B577" s="274" t="s">
        <v>505</v>
      </c>
      <c r="L577" s="274" t="s">
        <v>1163</v>
      </c>
    </row>
    <row r="579" spans="1:18" x14ac:dyDescent="0.2">
      <c r="B579" s="274" t="s">
        <v>1160</v>
      </c>
      <c r="F579" s="274" t="s">
        <v>1182</v>
      </c>
      <c r="I579" s="278">
        <f>$H$71</f>
        <v>13.8</v>
      </c>
      <c r="J579" s="274" t="s">
        <v>24</v>
      </c>
    </row>
    <row r="580" spans="1:18" x14ac:dyDescent="0.2">
      <c r="B580" s="274" t="s">
        <v>1161</v>
      </c>
      <c r="F580" s="274" t="s">
        <v>74</v>
      </c>
      <c r="I580" s="283">
        <f>G568</f>
        <v>700</v>
      </c>
      <c r="J580" s="274" t="s">
        <v>43</v>
      </c>
      <c r="L580" s="274" t="s">
        <v>66</v>
      </c>
      <c r="N580" s="283">
        <v>12</v>
      </c>
      <c r="O580" s="283">
        <v>16</v>
      </c>
      <c r="P580" s="283">
        <v>20</v>
      </c>
      <c r="Q580" s="283">
        <v>22</v>
      </c>
      <c r="R580" s="283">
        <v>25</v>
      </c>
    </row>
    <row r="581" spans="1:18" x14ac:dyDescent="0.2">
      <c r="B581" s="274" t="s">
        <v>75</v>
      </c>
      <c r="C581" s="289">
        <f>C409</f>
        <v>2E-3</v>
      </c>
      <c r="D581" s="289">
        <f>D409</f>
        <v>1E-3</v>
      </c>
      <c r="F581" s="274" t="s">
        <v>511</v>
      </c>
      <c r="L581" s="274" t="s">
        <v>67</v>
      </c>
      <c r="N581" s="283">
        <f>IF($H$586=0,100000000,TRUNC(785.4*N580^2/$H$586/25)*25)</f>
        <v>175</v>
      </c>
      <c r="O581" s="283">
        <f>IF($H$586=0,100000000,TRUNC(785.4*O580^2/$H$586/25)*25)</f>
        <v>350</v>
      </c>
      <c r="P581" s="283">
        <f>IF($H$586=0,100000000,TRUNC(785.4*P580^2/$H$586/25)*25)</f>
        <v>550</v>
      </c>
      <c r="Q581" s="283">
        <f>IF($H$586=0,100000000,TRUNC(785.4*Q580^2/$H$586/25)*25)</f>
        <v>650</v>
      </c>
      <c r="R581" s="283">
        <f>IF($H$586=0,100000000,TRUNC(785.4*R580^2/$H$586/25)*25)</f>
        <v>850</v>
      </c>
    </row>
    <row r="582" spans="1:18" x14ac:dyDescent="0.2">
      <c r="B582" s="274" t="s">
        <v>76</v>
      </c>
      <c r="C582" s="289">
        <f>C410</f>
        <v>2.5000000000000001E-3</v>
      </c>
      <c r="D582" s="289">
        <f>D410</f>
        <v>1.5E-3</v>
      </c>
      <c r="L582" s="274" t="s">
        <v>68</v>
      </c>
      <c r="N582" s="283">
        <f>785.4*N580^2/N581</f>
        <v>646.27199999999993</v>
      </c>
      <c r="O582" s="283">
        <f>785.4*O580^2/O581</f>
        <v>574.46399999999994</v>
      </c>
      <c r="P582" s="283">
        <f>785.4*P580^2/P581</f>
        <v>571.20000000000005</v>
      </c>
      <c r="Q582" s="283">
        <f>785.4*Q580^2/Q581</f>
        <v>584.82092307692301</v>
      </c>
      <c r="R582" s="283">
        <f>785.4*R580^2/R581</f>
        <v>577.5</v>
      </c>
    </row>
    <row r="583" spans="1:18" x14ac:dyDescent="0.2">
      <c r="H583" s="280"/>
      <c r="L583" s="274" t="s">
        <v>69</v>
      </c>
      <c r="N583" s="283">
        <f>IF(OR(N581&gt;300,N581&lt;100),100000000,N582-$H$586)</f>
        <v>76.271999999999821</v>
      </c>
      <c r="O583" s="283">
        <f>IF(OR(O581&gt;300,O581&lt;100),100000001,O582-$H$586)</f>
        <v>100000001</v>
      </c>
      <c r="P583" s="283">
        <f>IF(OR(P581&gt;300,P581&lt;100),100000001,P582-$H$586)</f>
        <v>100000001</v>
      </c>
      <c r="Q583" s="283">
        <f>IF(OR(Q581&gt;300,Q581&lt;100),100000001,Q582-$H$586)</f>
        <v>100000001</v>
      </c>
      <c r="R583" s="283">
        <f>IF(OR(R581&gt;300,R581&lt;100),100000001,R582-$H$586)</f>
        <v>100000001</v>
      </c>
    </row>
    <row r="584" spans="1:18" x14ac:dyDescent="0.2">
      <c r="B584" s="274" t="s">
        <v>237</v>
      </c>
      <c r="E584" s="289"/>
      <c r="F584" s="274"/>
      <c r="G584" s="283"/>
      <c r="H584" s="280">
        <f>IF(I579&lt;=9,C581,C582)*IF(I580&lt;380,I580,380)*1000</f>
        <v>950.00000000000011</v>
      </c>
      <c r="I584" s="274" t="s">
        <v>78</v>
      </c>
      <c r="J584" s="283"/>
      <c r="L584" s="274" t="s">
        <v>70</v>
      </c>
      <c r="N584" s="283">
        <f>IF(R581&lt;100,25,IF(MIN(N583:R583)=N583,12,IF(MIN(N583:R583)=O583,16,IF(MIN(N583:R583)=P583,20,IF(MIN(N583:R583)=Q583,22,IF(MIN(N583:R583)=R583,25,0))))))</f>
        <v>12</v>
      </c>
      <c r="O584" s="274" t="s">
        <v>71</v>
      </c>
      <c r="P584" s="283">
        <f>IF(N584=12,N581,IF(N584=16,O581,IF(N584=20,P581,IF(N584=22,Q581,IF(N584=25,R581,0)))))</f>
        <v>175</v>
      </c>
      <c r="Q584" s="274" t="s">
        <v>72</v>
      </c>
    </row>
    <row r="585" spans="1:18" x14ac:dyDescent="0.2">
      <c r="B585" s="274" t="s">
        <v>79</v>
      </c>
      <c r="C585" s="283">
        <f>IF(N576=0,N574,N576)</f>
        <v>16</v>
      </c>
      <c r="D585" s="274" t="s">
        <v>71</v>
      </c>
      <c r="E585" s="283">
        <f>IF(N576=0,IF(P574&gt;300,300,P574),P576)</f>
        <v>200</v>
      </c>
      <c r="F585" s="274" t="s">
        <v>80</v>
      </c>
      <c r="H585" s="283">
        <f>785.4*C585^2/E585</f>
        <v>1005.312</v>
      </c>
      <c r="I585" s="274" t="s">
        <v>81</v>
      </c>
    </row>
    <row r="586" spans="1:18" x14ac:dyDescent="0.2">
      <c r="B586" s="274" t="s">
        <v>1164</v>
      </c>
      <c r="E586" s="289"/>
      <c r="F586" s="274"/>
      <c r="G586" s="283"/>
      <c r="H586" s="280">
        <f>IF(I579&lt;9,D581,D582)*IF(I580&lt;380,I580,380)*1000</f>
        <v>570.00000000000011</v>
      </c>
      <c r="I586" s="274" t="s">
        <v>78</v>
      </c>
      <c r="J586" s="283"/>
      <c r="L586" s="274" t="s">
        <v>1162</v>
      </c>
      <c r="N586" s="279">
        <v>0</v>
      </c>
      <c r="O586" s="274" t="s">
        <v>71</v>
      </c>
      <c r="P586" s="279">
        <v>0</v>
      </c>
      <c r="Q586" s="274" t="s">
        <v>72</v>
      </c>
    </row>
    <row r="587" spans="1:18" x14ac:dyDescent="0.2">
      <c r="B587" s="274" t="s">
        <v>79</v>
      </c>
      <c r="C587" s="283">
        <v>16</v>
      </c>
      <c r="D587" s="274" t="s">
        <v>71</v>
      </c>
      <c r="E587" s="283">
        <v>250</v>
      </c>
      <c r="F587" s="274" t="s">
        <v>80</v>
      </c>
      <c r="H587" s="283">
        <f>785.4*C587^2/E587</f>
        <v>804.24959999999999</v>
      </c>
      <c r="I587" s="274" t="s">
        <v>81</v>
      </c>
      <c r="L587" s="274" t="s">
        <v>1163</v>
      </c>
    </row>
    <row r="588" spans="1:18" x14ac:dyDescent="0.2">
      <c r="A588" s="274" t="s">
        <v>986</v>
      </c>
    </row>
    <row r="589" spans="1:18" x14ac:dyDescent="0.2">
      <c r="A589" s="274" t="s">
        <v>950</v>
      </c>
    </row>
    <row r="590" spans="1:18" x14ac:dyDescent="0.2">
      <c r="B590" s="274" t="s">
        <v>1200</v>
      </c>
    </row>
    <row r="591" spans="1:18" x14ac:dyDescent="0.2">
      <c r="A591" s="277"/>
    </row>
    <row r="592" spans="1:18" x14ac:dyDescent="0.2">
      <c r="B592" s="274" t="s">
        <v>1201</v>
      </c>
      <c r="F592" s="274"/>
    </row>
    <row r="593" spans="2:18" x14ac:dyDescent="0.2">
      <c r="B593" s="274" t="s">
        <v>86</v>
      </c>
      <c r="E593" s="278">
        <f>E330</f>
        <v>202.72302636322095</v>
      </c>
      <c r="F593" s="274" t="s">
        <v>58</v>
      </c>
    </row>
    <row r="594" spans="2:18" x14ac:dyDescent="0.2">
      <c r="B594" s="274"/>
      <c r="H594" s="281"/>
      <c r="I594" s="274"/>
    </row>
    <row r="595" spans="2:18" x14ac:dyDescent="0.2">
      <c r="B595" s="274" t="s">
        <v>1202</v>
      </c>
      <c r="E595" s="286"/>
    </row>
    <row r="596" spans="2:18" x14ac:dyDescent="0.2">
      <c r="B596" s="274" t="s">
        <v>1203</v>
      </c>
    </row>
    <row r="598" spans="2:18" x14ac:dyDescent="0.2">
      <c r="B598" s="274" t="s">
        <v>1204</v>
      </c>
      <c r="H598" s="283">
        <f>E31</f>
        <v>700</v>
      </c>
      <c r="I598" s="274" t="s">
        <v>43</v>
      </c>
    </row>
    <row r="599" spans="2:18" x14ac:dyDescent="0.2">
      <c r="B599" s="274" t="s">
        <v>1205</v>
      </c>
      <c r="H599" s="283">
        <f>E32</f>
        <v>700</v>
      </c>
      <c r="I599" s="274" t="s">
        <v>43</v>
      </c>
    </row>
    <row r="600" spans="2:18" x14ac:dyDescent="0.2">
      <c r="B600" s="274" t="s">
        <v>1206</v>
      </c>
      <c r="H600" s="278">
        <f>H79</f>
        <v>6.4</v>
      </c>
      <c r="I600" s="274" t="s">
        <v>24</v>
      </c>
    </row>
    <row r="601" spans="2:18" x14ac:dyDescent="0.2">
      <c r="B601" s="274" t="s">
        <v>1207</v>
      </c>
      <c r="H601" s="278">
        <f>H305</f>
        <v>3.2669130864764155</v>
      </c>
      <c r="I601" s="274" t="s">
        <v>24</v>
      </c>
    </row>
    <row r="602" spans="2:18" x14ac:dyDescent="0.2">
      <c r="B602" s="274" t="s">
        <v>1208</v>
      </c>
    </row>
    <row r="603" spans="2:18" x14ac:dyDescent="0.2">
      <c r="B603" s="274" t="s">
        <v>1209</v>
      </c>
      <c r="H603" s="283">
        <f>H598+(H599-H598)/H600*H601</f>
        <v>700</v>
      </c>
      <c r="I603" s="274" t="s">
        <v>43</v>
      </c>
    </row>
    <row r="604" spans="2:18" x14ac:dyDescent="0.2">
      <c r="B604" s="274" t="s">
        <v>1210</v>
      </c>
      <c r="H604" s="280">
        <f>H603-G361</f>
        <v>625</v>
      </c>
      <c r="I604" s="274" t="s">
        <v>43</v>
      </c>
    </row>
    <row r="605" spans="2:18" x14ac:dyDescent="0.2">
      <c r="B605" s="274" t="s">
        <v>1211</v>
      </c>
      <c r="H605" s="280">
        <f>(E593*1000000000)/(G353*F367*H604)</f>
        <v>1947.9205501900194</v>
      </c>
      <c r="I605" s="274" t="s">
        <v>78</v>
      </c>
    </row>
    <row r="606" spans="2:18" x14ac:dyDescent="0.2">
      <c r="B606" s="274"/>
      <c r="E606" s="283"/>
      <c r="F606" s="274"/>
      <c r="G606" s="283"/>
      <c r="H606" s="274"/>
      <c r="I606" s="283"/>
    </row>
    <row r="607" spans="2:18" x14ac:dyDescent="0.2">
      <c r="B607" s="274" t="s">
        <v>87</v>
      </c>
      <c r="L607" s="274" t="s">
        <v>66</v>
      </c>
      <c r="N607" s="283">
        <v>12</v>
      </c>
      <c r="O607" s="283">
        <v>16</v>
      </c>
      <c r="P607" s="283">
        <v>20</v>
      </c>
      <c r="Q607" s="283">
        <v>22</v>
      </c>
      <c r="R607" s="283">
        <v>25</v>
      </c>
    </row>
    <row r="608" spans="2:18" x14ac:dyDescent="0.2">
      <c r="L608" s="274" t="s">
        <v>67</v>
      </c>
      <c r="N608" s="283">
        <f>IF($H$613=0,100000000,TRUNC(785.4*N607^2/$H$613/25)*25)</f>
        <v>50</v>
      </c>
      <c r="O608" s="283">
        <f>IF($H$613=0,100000000,TRUNC(785.4*O607^2/$H$613/25)*25)</f>
        <v>100</v>
      </c>
      <c r="P608" s="283">
        <f>IF($H$613=0,100000000,TRUNC(785.4*P607^2/$H$613/25)*25)</f>
        <v>150</v>
      </c>
      <c r="Q608" s="283">
        <f>IF($H$613=0,100000000,TRUNC(785.4*Q607^2/$H$613/25)*25)</f>
        <v>175</v>
      </c>
      <c r="R608" s="283">
        <f>IF($H$613=0,100000000,TRUNC(785.4*R607^2/$H$613/25)*25)</f>
        <v>250</v>
      </c>
    </row>
    <row r="609" spans="1:18" x14ac:dyDescent="0.2">
      <c r="B609" s="274" t="s">
        <v>1212</v>
      </c>
      <c r="G609" s="278">
        <f>$E$29/1000+$E$35+$E$30/1000</f>
        <v>7.05</v>
      </c>
      <c r="H609" s="278" t="str">
        <f>IF(G609&lt;=9,"m  &lt;  9 m","m  &gt;  9 m")</f>
        <v>m  &lt;  9 m</v>
      </c>
      <c r="L609" s="274" t="s">
        <v>68</v>
      </c>
      <c r="N609" s="283">
        <f>785.4*N607^2/N608</f>
        <v>2261.9519999999998</v>
      </c>
      <c r="O609" s="283">
        <f>785.4*O607^2/O608</f>
        <v>2010.624</v>
      </c>
      <c r="P609" s="283">
        <f>785.4*P607^2/P608</f>
        <v>2094.4</v>
      </c>
      <c r="Q609" s="283">
        <f>785.4*Q607^2/Q608</f>
        <v>2172.192</v>
      </c>
      <c r="R609" s="283">
        <f>785.4*R607^2/R608</f>
        <v>1963.5</v>
      </c>
    </row>
    <row r="610" spans="1:18" x14ac:dyDescent="0.2">
      <c r="B610" s="274" t="s">
        <v>1170</v>
      </c>
      <c r="G610" s="283">
        <f>G568</f>
        <v>700</v>
      </c>
      <c r="H610" s="278" t="str">
        <f>IF(G610&lt;=380,"mm  &lt;  380 mm","mm  &gt;  380 mm")</f>
        <v>mm  &gt;  380 mm</v>
      </c>
      <c r="L610" s="274" t="s">
        <v>69</v>
      </c>
      <c r="N610" s="283">
        <f>IF(OR(N608&gt;300,N608&lt;100),100000000,N609-$H$613)</f>
        <v>100000000</v>
      </c>
      <c r="O610" s="283">
        <f>IF(OR(O608&gt;300,O608&lt;100),100000001,O609-$H$613)</f>
        <v>62.703449809980611</v>
      </c>
      <c r="P610" s="283">
        <f>IF(OR(P608&gt;300,P608&lt;100),100000001,P609-$H$613)</f>
        <v>146.47944980998068</v>
      </c>
      <c r="Q610" s="283">
        <f>IF(OR(Q608&gt;300,Q608&lt;100),100000001,Q609-$H$613)</f>
        <v>224.2714498099806</v>
      </c>
      <c r="R610" s="283">
        <f>IF(OR(R608&gt;300,R608&lt;100),100000001,R609-$H$613)</f>
        <v>15.579449809980588</v>
      </c>
    </row>
    <row r="611" spans="1:18" x14ac:dyDescent="0.2">
      <c r="B611" s="274"/>
      <c r="E611" s="289"/>
      <c r="L611" s="274" t="s">
        <v>70</v>
      </c>
      <c r="N611" s="283">
        <f>IF(R608&lt;100,25,IF(MIN(N610:R610)=N610,12,IF(MIN(N610:R610)=O610,16,IF(MIN(N610:R610)=P610,20,IF(MIN(N610:R610)=Q610,22,IF(MIN(N610:R610)=R610,25,0))))))</f>
        <v>25</v>
      </c>
      <c r="O611" s="274" t="s">
        <v>71</v>
      </c>
      <c r="P611" s="283">
        <f>IF(N611=12,N608,IF(N611=16,O608,IF(N611=20,P608,IF(N611=22,Q608,IF(N611=25,R608,0)))))</f>
        <v>250</v>
      </c>
      <c r="Q611" s="274" t="s">
        <v>72</v>
      </c>
    </row>
    <row r="612" spans="1:18" x14ac:dyDescent="0.2">
      <c r="B612" s="274" t="s">
        <v>84</v>
      </c>
      <c r="C612" s="289"/>
      <c r="D612" s="274"/>
      <c r="E612" s="283"/>
      <c r="F612" s="274"/>
      <c r="H612" s="280">
        <f>IF(G609&lt;=9,C409,C410)*IF(G610&lt;380,G610,380)*1000</f>
        <v>760</v>
      </c>
      <c r="I612" s="274" t="s">
        <v>78</v>
      </c>
    </row>
    <row r="613" spans="1:18" x14ac:dyDescent="0.2">
      <c r="B613" s="278" t="str">
        <f>IF(H605&gt;H612,"Ast(Moment) &gt; Ast(Shrinkage)","Ast(Moment) &lt; Ast(Shrinkage)")</f>
        <v>Ast(Moment) &gt; Ast(Shrinkage)</v>
      </c>
      <c r="F613" s="274" t="s">
        <v>88</v>
      </c>
      <c r="H613" s="283">
        <f>IF(H605&gt;H612,H605,H612)</f>
        <v>1947.9205501900194</v>
      </c>
      <c r="I613" s="274" t="s">
        <v>89</v>
      </c>
      <c r="L613" s="274" t="s">
        <v>1162</v>
      </c>
      <c r="N613" s="279">
        <v>0</v>
      </c>
      <c r="O613" s="274" t="s">
        <v>71</v>
      </c>
      <c r="P613" s="279">
        <v>0</v>
      </c>
      <c r="Q613" s="274" t="s">
        <v>72</v>
      </c>
    </row>
    <row r="614" spans="1:18" x14ac:dyDescent="0.2">
      <c r="B614" s="614" t="s">
        <v>79</v>
      </c>
      <c r="C614" s="510">
        <v>20</v>
      </c>
      <c r="D614" s="614" t="s">
        <v>71</v>
      </c>
      <c r="E614" s="510">
        <v>125</v>
      </c>
      <c r="F614" s="614" t="s">
        <v>80</v>
      </c>
      <c r="G614" s="615"/>
      <c r="H614" s="510">
        <f>785.4*C614^2/E614</f>
        <v>2513.2800000000002</v>
      </c>
      <c r="I614" s="614" t="s">
        <v>81</v>
      </c>
      <c r="L614" s="274" t="s">
        <v>1163</v>
      </c>
    </row>
    <row r="615" spans="1:18" x14ac:dyDescent="0.2">
      <c r="A615" s="274" t="s">
        <v>986</v>
      </c>
    </row>
    <row r="616" spans="1:18" x14ac:dyDescent="0.2">
      <c r="A616" s="274" t="s">
        <v>950</v>
      </c>
    </row>
    <row r="617" spans="1:18" x14ac:dyDescent="0.2">
      <c r="B617" s="274" t="s">
        <v>1213</v>
      </c>
    </row>
    <row r="618" spans="1:18" x14ac:dyDescent="0.2">
      <c r="A618" s="277"/>
    </row>
    <row r="619" spans="1:18" x14ac:dyDescent="0.2">
      <c r="B619" s="274" t="s">
        <v>1214</v>
      </c>
    </row>
    <row r="620" spans="1:18" x14ac:dyDescent="0.2">
      <c r="B620" s="274" t="s">
        <v>1215</v>
      </c>
    </row>
    <row r="622" spans="1:18" x14ac:dyDescent="0.2">
      <c r="B622" s="274" t="s">
        <v>1216</v>
      </c>
      <c r="F622" s="274"/>
    </row>
    <row r="624" spans="1:18" x14ac:dyDescent="0.2">
      <c r="B624" s="274" t="s">
        <v>1217</v>
      </c>
      <c r="G624" s="278">
        <f>E331</f>
        <v>134.72615154472098</v>
      </c>
      <c r="H624" s="274" t="s">
        <v>58</v>
      </c>
    </row>
    <row r="625" spans="2:18" x14ac:dyDescent="0.2">
      <c r="B625" s="274" t="s">
        <v>1218</v>
      </c>
      <c r="G625" s="280">
        <f>G549-G361</f>
        <v>625</v>
      </c>
      <c r="H625" s="274" t="s">
        <v>43</v>
      </c>
    </row>
    <row r="626" spans="2:18" x14ac:dyDescent="0.2">
      <c r="B626" s="274" t="s">
        <v>1219</v>
      </c>
      <c r="F626" s="283"/>
      <c r="G626" s="287">
        <f>(G624*1000000000)/(G353*F367*G625)</f>
        <v>1294.5536772510875</v>
      </c>
      <c r="H626" s="274" t="s">
        <v>78</v>
      </c>
      <c r="I626" s="274"/>
      <c r="J626" s="283"/>
    </row>
    <row r="628" spans="2:18" x14ac:dyDescent="0.2">
      <c r="B628" s="274" t="s">
        <v>1220</v>
      </c>
      <c r="G628" s="278">
        <f>E332</f>
        <v>259.75446011666918</v>
      </c>
      <c r="H628" s="274" t="s">
        <v>58</v>
      </c>
    </row>
    <row r="629" spans="2:18" x14ac:dyDescent="0.2">
      <c r="B629" s="274" t="s">
        <v>1221</v>
      </c>
      <c r="G629" s="280">
        <f>G568-G361</f>
        <v>625</v>
      </c>
      <c r="H629" s="274" t="s">
        <v>43</v>
      </c>
    </row>
    <row r="630" spans="2:18" x14ac:dyDescent="0.2">
      <c r="B630" s="274" t="s">
        <v>1222</v>
      </c>
      <c r="F630" s="283"/>
      <c r="G630" s="287">
        <f>(G628*1000000000)/(G353*F367*G629)</f>
        <v>2495.9229345669014</v>
      </c>
      <c r="H630" s="274" t="s">
        <v>78</v>
      </c>
      <c r="I630" s="274"/>
      <c r="J630" s="283"/>
    </row>
    <row r="631" spans="2:18" x14ac:dyDescent="0.2">
      <c r="D631" s="281"/>
      <c r="E631" s="274"/>
      <c r="F631" s="286"/>
      <c r="G631" s="274"/>
      <c r="H631" s="283"/>
    </row>
    <row r="632" spans="2:18" x14ac:dyDescent="0.2">
      <c r="B632" s="274" t="s">
        <v>1223</v>
      </c>
    </row>
    <row r="633" spans="2:18" x14ac:dyDescent="0.2">
      <c r="B633" s="274" t="s">
        <v>1224</v>
      </c>
    </row>
    <row r="635" spans="2:18" x14ac:dyDescent="0.2">
      <c r="B635" s="278" t="str">
        <f>IF(G626&gt;=G630,"Ast(top)  &gt;  Ast(bottom)","Ast(top)  &lt;  Ast(bottom)")</f>
        <v>Ast(top)  &lt;  Ast(bottom)</v>
      </c>
      <c r="E635" s="274" t="s">
        <v>88</v>
      </c>
      <c r="G635" s="283">
        <f>MAX(G626,G630)</f>
        <v>2495.9229345669014</v>
      </c>
      <c r="H635" s="274" t="s">
        <v>78</v>
      </c>
    </row>
    <row r="637" spans="2:18" x14ac:dyDescent="0.2">
      <c r="B637" s="274" t="s">
        <v>87</v>
      </c>
      <c r="L637" s="274" t="s">
        <v>66</v>
      </c>
      <c r="N637" s="283">
        <v>12</v>
      </c>
      <c r="O637" s="283">
        <v>16</v>
      </c>
      <c r="P637" s="283">
        <v>20</v>
      </c>
      <c r="Q637" s="283">
        <v>22</v>
      </c>
      <c r="R637" s="283">
        <v>25</v>
      </c>
    </row>
    <row r="638" spans="2:18" x14ac:dyDescent="0.2">
      <c r="L638" s="274" t="s">
        <v>67</v>
      </c>
      <c r="N638" s="283">
        <f>IF($H$643=0,100000000,TRUNC(785.4*N637^2/$H$643/25)*25)</f>
        <v>25</v>
      </c>
      <c r="O638" s="283">
        <f>IF($H$643=0,100000000,TRUNC(785.4*O637^2/$H$643/25)*25)</f>
        <v>75</v>
      </c>
      <c r="P638" s="283">
        <f>IF($H$643=0,100000000,TRUNC(785.4*P637^2/$H$643/25)*25)</f>
        <v>125</v>
      </c>
      <c r="Q638" s="283">
        <f>IF($H$643=0,100000000,TRUNC(785.4*Q637^2/$H$643/25)*25)</f>
        <v>150</v>
      </c>
      <c r="R638" s="283">
        <f>IF($H$643=0,100000000,TRUNC(785.4*R637^2/$H$643/25)*25)</f>
        <v>175</v>
      </c>
    </row>
    <row r="639" spans="2:18" x14ac:dyDescent="0.2">
      <c r="B639" s="274" t="s">
        <v>1225</v>
      </c>
      <c r="G639" s="278">
        <f>$E$29/1000+$E$35+$E$30/1000</f>
        <v>7.05</v>
      </c>
      <c r="H639" s="278" t="str">
        <f>IF(G639&lt;=9,"m  &lt;  9 m","m  &gt;  9 m")</f>
        <v>m  &lt;  9 m</v>
      </c>
      <c r="L639" s="274" t="s">
        <v>68</v>
      </c>
      <c r="N639" s="283">
        <f>785.4*N637^2/N638</f>
        <v>4523.9039999999995</v>
      </c>
      <c r="O639" s="283">
        <f>785.4*O637^2/O638</f>
        <v>2680.8319999999999</v>
      </c>
      <c r="P639" s="283">
        <f>785.4*P637^2/P638</f>
        <v>2513.2800000000002</v>
      </c>
      <c r="Q639" s="283">
        <f>785.4*Q637^2/Q638</f>
        <v>2534.2239999999997</v>
      </c>
      <c r="R639" s="283">
        <f>785.4*R637^2/R638</f>
        <v>2805</v>
      </c>
    </row>
    <row r="640" spans="2:18" x14ac:dyDescent="0.2">
      <c r="B640" s="274" t="s">
        <v>1226</v>
      </c>
      <c r="G640" s="283">
        <f>G568</f>
        <v>700</v>
      </c>
      <c r="H640" s="278" t="str">
        <f>IF(G640&lt;=380,"mm  &lt;  380 mm","mm  &gt;  380 mm")</f>
        <v>mm  &gt;  380 mm</v>
      </c>
      <c r="L640" s="274" t="s">
        <v>69</v>
      </c>
      <c r="N640" s="283">
        <f>IF(OR(N638&gt;300,N638&lt;100),100000000,N639-$H$643)</f>
        <v>100000000</v>
      </c>
      <c r="O640" s="283">
        <f>IF(OR(O638&gt;300,O638&lt;100),100000001,O639-$H$643)</f>
        <v>100000001</v>
      </c>
      <c r="P640" s="283">
        <f>IF(OR(P638&gt;300,P638&lt;100),100000001,P639-$H$643)</f>
        <v>17.357065433098796</v>
      </c>
      <c r="Q640" s="283">
        <f>IF(OR(Q638&gt;300,Q638&lt;100),100000001,Q639-$H$643)</f>
        <v>38.301065433098302</v>
      </c>
      <c r="R640" s="283">
        <f>IF(OR(R638&gt;300,R638&lt;100),100000001,R639-$H$643)</f>
        <v>309.0770654330986</v>
      </c>
    </row>
    <row r="641" spans="1:17" x14ac:dyDescent="0.2">
      <c r="B641" s="274"/>
      <c r="E641" s="289"/>
      <c r="L641" s="274" t="s">
        <v>70</v>
      </c>
      <c r="N641" s="283">
        <f>IF(R638&lt;100,25,IF(MIN(N640:R640)=N640,12,IF(MIN(N640:R640)=O640,16,IF(MIN(N640:R640)=P640,20,IF(MIN(N640:R640)=Q640,22,IF(MIN(N640:R640)=R640,25,0))))))</f>
        <v>20</v>
      </c>
      <c r="O641" s="274" t="s">
        <v>71</v>
      </c>
      <c r="P641" s="283">
        <f>IF(N641=12,N638,IF(N641=16,O638,IF(N641=20,P638,IF(N641=22,Q638,IF(N641=25,R638,0)))))</f>
        <v>125</v>
      </c>
      <c r="Q641" s="274" t="s">
        <v>72</v>
      </c>
    </row>
    <row r="642" spans="1:17" x14ac:dyDescent="0.2">
      <c r="B642" s="274" t="s">
        <v>84</v>
      </c>
      <c r="C642" s="289"/>
      <c r="D642" s="274"/>
      <c r="E642" s="283"/>
      <c r="F642" s="274"/>
      <c r="H642" s="280">
        <f>IF(G639&lt;=9,D409,D410)*IF(G640&lt;380,G640,380)*1000</f>
        <v>380</v>
      </c>
      <c r="I642" s="274" t="s">
        <v>78</v>
      </c>
    </row>
    <row r="643" spans="1:17" x14ac:dyDescent="0.2">
      <c r="B643" s="278" t="str">
        <f>IF(G635&gt;H642,"Ast(Moment)  &gt;  Ast(Shrinkage)","Ast(Moment)  &lt;  Ast(Shrinkage)")</f>
        <v>Ast(Moment)  &gt;  Ast(Shrinkage)</v>
      </c>
      <c r="F643" s="274" t="s">
        <v>88</v>
      </c>
      <c r="H643" s="283">
        <f>IF(G635&gt;H642,G635,H642)</f>
        <v>2495.9229345669014</v>
      </c>
      <c r="I643" s="274" t="s">
        <v>89</v>
      </c>
      <c r="L643" s="274" t="s">
        <v>1162</v>
      </c>
      <c r="N643" s="279">
        <v>0</v>
      </c>
      <c r="O643" s="274" t="s">
        <v>71</v>
      </c>
      <c r="P643" s="279">
        <v>0</v>
      </c>
      <c r="Q643" s="274" t="s">
        <v>72</v>
      </c>
    </row>
    <row r="644" spans="1:17" x14ac:dyDescent="0.2">
      <c r="B644" s="614" t="s">
        <v>79</v>
      </c>
      <c r="C644" s="510">
        <v>20</v>
      </c>
      <c r="D644" s="614" t="s">
        <v>71</v>
      </c>
      <c r="E644" s="510">
        <v>100</v>
      </c>
      <c r="F644" s="614" t="s">
        <v>80</v>
      </c>
      <c r="G644" s="615"/>
      <c r="H644" s="510">
        <f>785.4*C644^2/E644</f>
        <v>3141.6</v>
      </c>
      <c r="I644" s="614" t="s">
        <v>81</v>
      </c>
      <c r="L644" s="274" t="s">
        <v>1163</v>
      </c>
    </row>
    <row r="645" spans="1:17" x14ac:dyDescent="0.2">
      <c r="B645" s="274"/>
      <c r="C645" s="283"/>
      <c r="D645" s="274"/>
      <c r="E645" s="343" t="s">
        <v>2599</v>
      </c>
      <c r="F645" s="274"/>
      <c r="H645" s="283"/>
      <c r="I645" s="274"/>
      <c r="L645" s="274"/>
    </row>
    <row r="646" spans="1:17" x14ac:dyDescent="0.2">
      <c r="A646" s="274" t="s">
        <v>986</v>
      </c>
    </row>
    <row r="647" spans="1:17" x14ac:dyDescent="0.2">
      <c r="A647" s="274" t="s">
        <v>950</v>
      </c>
    </row>
    <row r="648" spans="1:17" x14ac:dyDescent="0.2">
      <c r="A648" s="274" t="s">
        <v>1227</v>
      </c>
    </row>
    <row r="649" spans="1:17" x14ac:dyDescent="0.2">
      <c r="A649" s="274" t="s">
        <v>950</v>
      </c>
    </row>
    <row r="650" spans="1:17" x14ac:dyDescent="0.2">
      <c r="B650" s="274" t="s">
        <v>1228</v>
      </c>
    </row>
    <row r="651" spans="1:17" x14ac:dyDescent="0.2">
      <c r="A651" s="277"/>
    </row>
    <row r="652" spans="1:17" x14ac:dyDescent="0.2">
      <c r="B652" s="274" t="s">
        <v>499</v>
      </c>
    </row>
    <row r="654" spans="1:17" x14ac:dyDescent="0.2">
      <c r="B654" s="274" t="s">
        <v>1150</v>
      </c>
    </row>
    <row r="655" spans="1:17" x14ac:dyDescent="0.2">
      <c r="B655" s="274" t="s">
        <v>500</v>
      </c>
      <c r="E655" s="278">
        <f>I330</f>
        <v>0</v>
      </c>
      <c r="F655" s="274" t="s">
        <v>58</v>
      </c>
    </row>
    <row r="656" spans="1:17" x14ac:dyDescent="0.2">
      <c r="B656" s="274" t="s">
        <v>60</v>
      </c>
      <c r="E656" s="283">
        <f>SQRT(E655/F368)*1000</f>
        <v>0</v>
      </c>
      <c r="F656" s="274" t="s">
        <v>43</v>
      </c>
      <c r="G656" s="274"/>
    </row>
    <row r="657" spans="1:8" x14ac:dyDescent="0.2">
      <c r="B657" s="274"/>
    </row>
    <row r="658" spans="1:8" x14ac:dyDescent="0.2">
      <c r="B658" s="274" t="s">
        <v>1153</v>
      </c>
    </row>
    <row r="659" spans="1:8" x14ac:dyDescent="0.2">
      <c r="B659" s="274" t="s">
        <v>501</v>
      </c>
      <c r="E659" s="278">
        <f>I340</f>
        <v>0</v>
      </c>
      <c r="F659" s="274" t="s">
        <v>57</v>
      </c>
    </row>
    <row r="660" spans="1:8" x14ac:dyDescent="0.2">
      <c r="B660" s="274" t="s">
        <v>61</v>
      </c>
      <c r="E660" s="283">
        <f>E659/G356*1000</f>
        <v>0</v>
      </c>
      <c r="F660" s="274" t="s">
        <v>43</v>
      </c>
      <c r="G660" s="281"/>
      <c r="H660" s="274"/>
    </row>
    <row r="662" spans="1:8" x14ac:dyDescent="0.2">
      <c r="B662" s="278" t="str">
        <f>IF(E656&gt;=E660,"dr(Moment) &gt; dr(Shear)","dr(Moment) &lt; dr(Shear)")</f>
        <v>dr(Moment) &gt; dr(Shear)</v>
      </c>
      <c r="E662" s="274" t="s">
        <v>1156</v>
      </c>
      <c r="G662" s="283">
        <f>IF(E656&gt;=E660,E656,E660)</f>
        <v>0</v>
      </c>
      <c r="H662" s="274" t="s">
        <v>62</v>
      </c>
    </row>
    <row r="663" spans="1:8" x14ac:dyDescent="0.2">
      <c r="B663" s="274" t="s">
        <v>281</v>
      </c>
      <c r="D663" s="283"/>
      <c r="E663" s="274"/>
      <c r="F663" s="283"/>
      <c r="G663" s="287">
        <f>G662+G361</f>
        <v>75</v>
      </c>
      <c r="H663" s="274" t="s">
        <v>43</v>
      </c>
    </row>
    <row r="664" spans="1:8" x14ac:dyDescent="0.2">
      <c r="B664" s="274" t="s">
        <v>1229</v>
      </c>
      <c r="G664" s="283">
        <f>E33</f>
        <v>400</v>
      </c>
      <c r="H664" s="274" t="s">
        <v>43</v>
      </c>
    </row>
    <row r="665" spans="1:8" x14ac:dyDescent="0.2">
      <c r="B665" s="278" t="str">
        <f>IF(G664&gt;=G663,"ta  &gt;  tr     Design is OK.","ta  &lt;  tr     Design is Not OK.")</f>
        <v>ta  &gt;  tr     Design is OK.</v>
      </c>
      <c r="F665" s="274" t="s">
        <v>64</v>
      </c>
    </row>
    <row r="666" spans="1:8" x14ac:dyDescent="0.2">
      <c r="B666" s="278"/>
      <c r="F666" s="274"/>
    </row>
    <row r="667" spans="1:8" x14ac:dyDescent="0.2">
      <c r="B667" s="436" t="str">
        <f>IF(G664&gt;1.5*G663,"WARNING:  Actual Member Thickness is considerably larger (&gt;50%) than required.","")</f>
        <v>WARNING:  Actual Member Thickness is considerably larger (&gt;50%) than required.</v>
      </c>
    </row>
    <row r="668" spans="1:8" x14ac:dyDescent="0.2">
      <c r="A668" s="274" t="s">
        <v>950</v>
      </c>
    </row>
    <row r="669" spans="1:8" x14ac:dyDescent="0.2">
      <c r="B669" s="274" t="s">
        <v>1230</v>
      </c>
    </row>
    <row r="670" spans="1:8" x14ac:dyDescent="0.2">
      <c r="A670" s="277"/>
    </row>
    <row r="671" spans="1:8" x14ac:dyDescent="0.2">
      <c r="B671" s="274" t="s">
        <v>503</v>
      </c>
    </row>
    <row r="672" spans="1:8" x14ac:dyDescent="0.2">
      <c r="B672" s="274" t="s">
        <v>504</v>
      </c>
    </row>
    <row r="673" spans="1:18" x14ac:dyDescent="0.2">
      <c r="B673" s="274" t="s">
        <v>505</v>
      </c>
    </row>
    <row r="675" spans="1:18" x14ac:dyDescent="0.2">
      <c r="B675" s="274" t="s">
        <v>1231</v>
      </c>
      <c r="F675" s="274" t="s">
        <v>1182</v>
      </c>
      <c r="I675" s="278">
        <f>$H$71</f>
        <v>13.8</v>
      </c>
      <c r="J675" s="274" t="s">
        <v>24</v>
      </c>
      <c r="L675" s="274" t="s">
        <v>66</v>
      </c>
      <c r="N675" s="283">
        <v>12</v>
      </c>
      <c r="O675" s="283">
        <v>16</v>
      </c>
      <c r="P675" s="283">
        <v>20</v>
      </c>
      <c r="Q675" s="283">
        <v>22</v>
      </c>
      <c r="R675" s="283">
        <v>25</v>
      </c>
    </row>
    <row r="676" spans="1:18" x14ac:dyDescent="0.2">
      <c r="B676" s="274" t="s">
        <v>1232</v>
      </c>
      <c r="F676" s="274" t="s">
        <v>74</v>
      </c>
      <c r="I676" s="283">
        <f>G664</f>
        <v>400</v>
      </c>
      <c r="J676" s="274" t="s">
        <v>43</v>
      </c>
      <c r="L676" s="274" t="s">
        <v>67</v>
      </c>
      <c r="N676" s="283">
        <f>IF($H$680=0,100000000,TRUNC(785.4*N675^2/$H$680/25)*25)</f>
        <v>100</v>
      </c>
      <c r="O676" s="283">
        <f>IF($H$680=0,100000000,TRUNC(785.4*O675^2/$H$680/25)*25)</f>
        <v>200</v>
      </c>
      <c r="P676" s="283">
        <f>IF($H$680=0,100000000,TRUNC(785.4*P675^2/$H$680/25)*25)</f>
        <v>325</v>
      </c>
      <c r="Q676" s="283">
        <f>IF($H$680=0,100000000,TRUNC(785.4*Q675^2/$H$680/25)*25)</f>
        <v>400</v>
      </c>
      <c r="R676" s="283">
        <f>IF($H$680=0,100000000,TRUNC(785.4*R675^2/$H$680/25)*25)</f>
        <v>500</v>
      </c>
    </row>
    <row r="677" spans="1:18" x14ac:dyDescent="0.2">
      <c r="B677" s="274" t="s">
        <v>75</v>
      </c>
      <c r="C677" s="289">
        <f>C409</f>
        <v>2E-3</v>
      </c>
      <c r="F677" s="274" t="s">
        <v>511</v>
      </c>
      <c r="L677" s="274" t="s">
        <v>68</v>
      </c>
      <c r="N677" s="283">
        <f>785.4*N675^2/N676</f>
        <v>1130.9759999999999</v>
      </c>
      <c r="O677" s="283">
        <f>785.4*O675^2/O676</f>
        <v>1005.312</v>
      </c>
      <c r="P677" s="283">
        <f>785.4*P675^2/P676</f>
        <v>966.64615384615388</v>
      </c>
      <c r="Q677" s="283">
        <f>785.4*Q675^2/Q676</f>
        <v>950.33399999999995</v>
      </c>
      <c r="R677" s="283">
        <f>785.4*R675^2/R676</f>
        <v>981.75</v>
      </c>
    </row>
    <row r="678" spans="1:18" x14ac:dyDescent="0.2">
      <c r="B678" s="274" t="s">
        <v>76</v>
      </c>
      <c r="C678" s="289">
        <f>C410</f>
        <v>2.5000000000000001E-3</v>
      </c>
      <c r="L678" s="274" t="s">
        <v>69</v>
      </c>
      <c r="N678" s="283">
        <f>IF(OR(N676&gt;300,N676&lt;100),100000000,N677-$H$680)</f>
        <v>180.97599999999977</v>
      </c>
      <c r="O678" s="283">
        <f>IF(OR(O676&gt;300,O676&lt;100),100000001,O677-$H$680)</f>
        <v>55.311999999999898</v>
      </c>
      <c r="P678" s="283">
        <f>IF(OR(P676&gt;300,P676&lt;100),100000001,P677-$H$680)</f>
        <v>100000001</v>
      </c>
      <c r="Q678" s="283">
        <f>IF(OR(Q676&gt;300,Q676&lt;100),100000001,Q677-$H$680)</f>
        <v>100000001</v>
      </c>
      <c r="R678" s="283">
        <f>IF(OR(R676&gt;300,R676&lt;100),100000001,R677-$H$680)</f>
        <v>100000001</v>
      </c>
    </row>
    <row r="679" spans="1:18" x14ac:dyDescent="0.2">
      <c r="L679" s="274" t="s">
        <v>70</v>
      </c>
      <c r="N679" s="283">
        <f>IF(R676&lt;100,25,IF(MIN(N678:R678)=N678,12,IF(MIN(N678:R678)=O678,16,IF(MIN(N678:R678)=P678,20,IF(MIN(N678:R678)=Q678,22,IF(MIN(N678:R678)=R678,25,0))))))</f>
        <v>16</v>
      </c>
      <c r="O679" s="274" t="s">
        <v>71</v>
      </c>
      <c r="P679" s="283">
        <f>IF(N679=12,N676,IF(N679=16,O676,IF(N679=20,P676,IF(N679=22,Q676,IF(N679=25,R676,0)))))</f>
        <v>200</v>
      </c>
      <c r="Q679" s="274" t="s">
        <v>72</v>
      </c>
    </row>
    <row r="680" spans="1:18" x14ac:dyDescent="0.2">
      <c r="B680" s="274" t="s">
        <v>237</v>
      </c>
      <c r="E680" s="289"/>
      <c r="F680" s="274"/>
      <c r="G680" s="283"/>
      <c r="H680" s="280">
        <f>IF(I675&lt;=9,C677,C678)*IF(I676&lt;380,I676,380)*1000</f>
        <v>950.00000000000011</v>
      </c>
      <c r="I680" s="274" t="s">
        <v>78</v>
      </c>
      <c r="J680" s="283"/>
    </row>
    <row r="681" spans="1:18" x14ac:dyDescent="0.2">
      <c r="A681" s="615"/>
      <c r="B681" s="614" t="s">
        <v>79</v>
      </c>
      <c r="C681" s="510">
        <f>IF(N681=0,N679,N681)</f>
        <v>16</v>
      </c>
      <c r="D681" s="614" t="s">
        <v>71</v>
      </c>
      <c r="E681" s="510">
        <f>IF(N681=0,IF(P679&gt;300,300,P679),P681)</f>
        <v>200</v>
      </c>
      <c r="F681" s="614" t="s">
        <v>80</v>
      </c>
      <c r="G681" s="615"/>
      <c r="H681" s="510">
        <f>785.4*C681^2/E681</f>
        <v>1005.312</v>
      </c>
      <c r="I681" s="614" t="s">
        <v>81</v>
      </c>
      <c r="J681" s="615"/>
      <c r="L681" s="274" t="s">
        <v>1162</v>
      </c>
      <c r="N681" s="279">
        <v>0</v>
      </c>
      <c r="O681" s="274" t="s">
        <v>71</v>
      </c>
      <c r="P681" s="279">
        <v>0</v>
      </c>
      <c r="Q681" s="274" t="s">
        <v>72</v>
      </c>
    </row>
    <row r="682" spans="1:18" x14ac:dyDescent="0.2">
      <c r="A682" s="274" t="s">
        <v>986</v>
      </c>
      <c r="L682" s="274" t="s">
        <v>1163</v>
      </c>
    </row>
    <row r="683" spans="1:18" x14ac:dyDescent="0.2">
      <c r="A683" s="274" t="s">
        <v>950</v>
      </c>
    </row>
    <row r="684" spans="1:18" x14ac:dyDescent="0.2">
      <c r="B684" s="274" t="s">
        <v>1233</v>
      </c>
    </row>
    <row r="685" spans="1:18" x14ac:dyDescent="0.2">
      <c r="A685" s="277"/>
      <c r="F685" s="274"/>
    </row>
    <row r="686" spans="1:18" x14ac:dyDescent="0.2">
      <c r="B686" s="274" t="s">
        <v>1234</v>
      </c>
    </row>
    <row r="687" spans="1:18" x14ac:dyDescent="0.2">
      <c r="F687" s="274"/>
    </row>
    <row r="688" spans="1:18" x14ac:dyDescent="0.2">
      <c r="B688" s="274" t="s">
        <v>86</v>
      </c>
      <c r="E688" s="278">
        <f>I330</f>
        <v>0</v>
      </c>
      <c r="F688" s="274" t="s">
        <v>58</v>
      </c>
    </row>
    <row r="689" spans="2:18" x14ac:dyDescent="0.2">
      <c r="B689" s="174" t="s">
        <v>1235</v>
      </c>
      <c r="E689" s="280">
        <f>ABS(G664-G361)</f>
        <v>325</v>
      </c>
      <c r="F689" s="174" t="s">
        <v>43</v>
      </c>
    </row>
    <row r="690" spans="2:18" x14ac:dyDescent="0.2">
      <c r="B690" s="274" t="s">
        <v>1236</v>
      </c>
      <c r="E690" s="280">
        <f>(E688*1000000000)/(G353*F367*E689)</f>
        <v>0</v>
      </c>
      <c r="F690" s="274" t="s">
        <v>78</v>
      </c>
      <c r="H690" s="281"/>
      <c r="I690" s="274"/>
    </row>
    <row r="691" spans="2:18" x14ac:dyDescent="0.2">
      <c r="B691" s="274"/>
      <c r="E691" s="286"/>
    </row>
    <row r="692" spans="2:18" x14ac:dyDescent="0.2">
      <c r="B692" s="274" t="s">
        <v>87</v>
      </c>
      <c r="L692" s="274" t="s">
        <v>66</v>
      </c>
      <c r="N692" s="283">
        <v>12</v>
      </c>
      <c r="O692" s="283">
        <v>16</v>
      </c>
      <c r="P692" s="283">
        <v>20</v>
      </c>
      <c r="Q692" s="283">
        <v>22</v>
      </c>
      <c r="R692" s="283">
        <v>25</v>
      </c>
    </row>
    <row r="693" spans="2:18" x14ac:dyDescent="0.2">
      <c r="L693" s="274" t="s">
        <v>67</v>
      </c>
      <c r="N693" s="283">
        <f>IF($H$698=0,100000000,TRUNC(785.4*N692^2/$H$698/25)*25)</f>
        <v>125</v>
      </c>
      <c r="O693" s="283">
        <f>IF($H$698=0,100000000,TRUNC(785.4*O692^2/$H$698/25)*25)</f>
        <v>250</v>
      </c>
      <c r="P693" s="283">
        <f>IF($H$698=0,100000000,TRUNC(785.4*P692^2/$H$698/25)*25)</f>
        <v>400</v>
      </c>
      <c r="Q693" s="283">
        <f>IF($H$698=0,100000000,TRUNC(785.4*Q692^2/$H$698/25)*25)</f>
        <v>500</v>
      </c>
      <c r="R693" s="283">
        <f>IF($H$698=0,100000000,TRUNC(785.4*R692^2/$H$698/25)*25)</f>
        <v>625</v>
      </c>
    </row>
    <row r="694" spans="2:18" x14ac:dyDescent="0.2">
      <c r="B694" s="274" t="s">
        <v>1225</v>
      </c>
      <c r="G694" s="278">
        <f>$E$29/1000+$E$35+$E$30/1000</f>
        <v>7.05</v>
      </c>
      <c r="H694" s="278" t="str">
        <f>IF(G694&lt;=9,"m  &lt;  9 m","m  &gt;  9 m")</f>
        <v>m  &lt;  9 m</v>
      </c>
      <c r="L694" s="274" t="s">
        <v>68</v>
      </c>
      <c r="N694" s="283">
        <f>785.4*N692^2/N693</f>
        <v>904.78079999999989</v>
      </c>
      <c r="O694" s="283">
        <f>785.4*O692^2/O693</f>
        <v>804.24959999999999</v>
      </c>
      <c r="P694" s="283">
        <f>785.4*P692^2/P693</f>
        <v>785.4</v>
      </c>
      <c r="Q694" s="283">
        <f>785.4*Q692^2/Q693</f>
        <v>760.2672</v>
      </c>
      <c r="R694" s="283">
        <f>785.4*R692^2/R693</f>
        <v>785.4</v>
      </c>
    </row>
    <row r="695" spans="2:18" x14ac:dyDescent="0.2">
      <c r="B695" s="274" t="s">
        <v>1170</v>
      </c>
      <c r="G695" s="283">
        <f>G664</f>
        <v>400</v>
      </c>
      <c r="H695" s="278" t="str">
        <f>IF(G695&lt;=380,"mm  &lt;  380 mm","mm  &gt;  380 mm")</f>
        <v>mm  &gt;  380 mm</v>
      </c>
      <c r="L695" s="274" t="s">
        <v>69</v>
      </c>
      <c r="N695" s="283">
        <f>IF(OR(N693&gt;300,N693&lt;100),100000000,N694-$H$698)</f>
        <v>144.78079999999989</v>
      </c>
      <c r="O695" s="283">
        <f>IF(OR(O693&gt;300,O693&lt;100),100000001,O694-$H$698)</f>
        <v>44.249599999999987</v>
      </c>
      <c r="P695" s="283">
        <f>IF(OR(P693&gt;300,P693&lt;100),100000001,P694-$H$698)</f>
        <v>100000001</v>
      </c>
      <c r="Q695" s="283">
        <f>IF(OR(Q693&gt;300,Q693&lt;100),100000001,Q694-$H$698)</f>
        <v>100000001</v>
      </c>
      <c r="R695" s="283">
        <f>IF(OR(R693&gt;300,R693&lt;100),100000001,R694-$H$698)</f>
        <v>100000001</v>
      </c>
    </row>
    <row r="696" spans="2:18" x14ac:dyDescent="0.2">
      <c r="B696" s="274"/>
      <c r="E696" s="289"/>
      <c r="L696" s="274" t="s">
        <v>70</v>
      </c>
      <c r="N696" s="283">
        <f>IF(R693&lt;100,25,IF(MIN(N695:R695)=N695,12,IF(MIN(N695:R695)=O695,16,IF(MIN(N695:R695)=P695,20,IF(MIN(N695:R695)=Q695,22,IF(MIN(N695:R695)=R695,25,0))))))</f>
        <v>16</v>
      </c>
      <c r="O696" s="274" t="s">
        <v>71</v>
      </c>
      <c r="P696" s="283">
        <f>IF(N696=12,N693,IF(N696=16,O693,IF(N696=20,P693,IF(N696=22,Q693,IF(N696=25,R693,0)))))</f>
        <v>250</v>
      </c>
      <c r="Q696" s="274" t="s">
        <v>72</v>
      </c>
    </row>
    <row r="697" spans="2:18" x14ac:dyDescent="0.2">
      <c r="B697" s="274" t="s">
        <v>84</v>
      </c>
      <c r="H697" s="174">
        <f>IF(G694&lt;=9,C409,C410)*IF(G695&lt;380,G695,380)*1000</f>
        <v>760</v>
      </c>
      <c r="I697" s="274" t="s">
        <v>78</v>
      </c>
    </row>
    <row r="698" spans="2:18" x14ac:dyDescent="0.2">
      <c r="B698" s="278" t="str">
        <f>IF(E690&gt;H697,"Ast(Moment)  &gt;  Ast(Shrinkage)","Ast(Moment)  &lt;  Ast(Shrinkage)")</f>
        <v>Ast(Moment)  &lt;  Ast(Shrinkage)</v>
      </c>
      <c r="C698" s="289"/>
      <c r="D698" s="274"/>
      <c r="E698" s="283"/>
      <c r="F698" s="274" t="s">
        <v>88</v>
      </c>
      <c r="H698" s="283">
        <f>IF(E690&gt;H697,E690,H697)</f>
        <v>760</v>
      </c>
      <c r="I698" s="274" t="s">
        <v>89</v>
      </c>
      <c r="L698" s="274" t="s">
        <v>1162</v>
      </c>
      <c r="N698" s="279">
        <v>0</v>
      </c>
      <c r="O698" s="274" t="s">
        <v>71</v>
      </c>
      <c r="P698" s="279">
        <v>0</v>
      </c>
      <c r="Q698" s="274" t="s">
        <v>72</v>
      </c>
    </row>
    <row r="699" spans="2:18" x14ac:dyDescent="0.2">
      <c r="B699" s="614" t="s">
        <v>79</v>
      </c>
      <c r="C699" s="510">
        <v>16</v>
      </c>
      <c r="D699" s="614" t="s">
        <v>71</v>
      </c>
      <c r="E699" s="510">
        <v>200</v>
      </c>
      <c r="F699" s="614" t="s">
        <v>80</v>
      </c>
      <c r="G699" s="615"/>
      <c r="H699" s="510">
        <f>785.4*C699^2/E699</f>
        <v>1005.312</v>
      </c>
      <c r="I699" s="614" t="s">
        <v>81</v>
      </c>
      <c r="J699" s="615"/>
      <c r="L699" s="274" t="s">
        <v>1163</v>
      </c>
    </row>
    <row r="706" spans="1:8" x14ac:dyDescent="0.2">
      <c r="A706" s="274" t="s">
        <v>986</v>
      </c>
    </row>
    <row r="707" spans="1:8" x14ac:dyDescent="0.2">
      <c r="A707" s="274" t="s">
        <v>950</v>
      </c>
    </row>
    <row r="708" spans="1:8" x14ac:dyDescent="0.2">
      <c r="A708" s="278" t="str">
        <f>IF(E34=1,"3.5 ","3.6 ")</f>
        <v xml:space="preserve">3.5 </v>
      </c>
      <c r="B708" s="274" t="s">
        <v>1237</v>
      </c>
    </row>
    <row r="710" spans="1:8" x14ac:dyDescent="0.2">
      <c r="A710" s="274" t="s">
        <v>950</v>
      </c>
    </row>
    <row r="711" spans="1:8" x14ac:dyDescent="0.2">
      <c r="A711" s="274" t="s">
        <v>1238</v>
      </c>
    </row>
    <row r="713" spans="1:8" x14ac:dyDescent="0.2">
      <c r="B713" s="300" t="s">
        <v>196</v>
      </c>
      <c r="C713" s="313"/>
      <c r="D713" s="312" t="s">
        <v>1239</v>
      </c>
      <c r="E713" s="312" t="s">
        <v>1240</v>
      </c>
      <c r="F713" s="312" t="s">
        <v>1241</v>
      </c>
      <c r="G713" s="312" t="s">
        <v>1242</v>
      </c>
      <c r="H713" s="312" t="s">
        <v>1243</v>
      </c>
    </row>
    <row r="714" spans="1:8" x14ac:dyDescent="0.2">
      <c r="B714" s="314"/>
      <c r="C714" s="315"/>
      <c r="D714" s="295"/>
      <c r="E714" s="299" t="s">
        <v>1244</v>
      </c>
      <c r="F714" s="299" t="s">
        <v>1245</v>
      </c>
      <c r="G714" s="299" t="s">
        <v>1245</v>
      </c>
      <c r="H714" s="299" t="s">
        <v>1246</v>
      </c>
    </row>
    <row r="716" spans="1:8" x14ac:dyDescent="0.2">
      <c r="B716" s="300" t="s">
        <v>1247</v>
      </c>
      <c r="C716" s="316"/>
      <c r="D716" s="301">
        <v>1</v>
      </c>
      <c r="E716" s="301">
        <f>E29</f>
        <v>550</v>
      </c>
      <c r="F716" s="302">
        <f>$E$38</f>
        <v>9.9</v>
      </c>
      <c r="G716" s="302">
        <f>$E$34*$E$36+$E$31/500+($E$34-1)*$E$33/1000</f>
        <v>2.9</v>
      </c>
      <c r="H716" s="317">
        <f>D716*E716*F716*G716/1000</f>
        <v>15.7905</v>
      </c>
    </row>
    <row r="717" spans="1:8" x14ac:dyDescent="0.2">
      <c r="B717" s="304" t="s">
        <v>470</v>
      </c>
      <c r="C717" s="290"/>
      <c r="D717" s="305">
        <v>1</v>
      </c>
      <c r="E717" s="305">
        <f>E30</f>
        <v>750</v>
      </c>
      <c r="F717" s="306">
        <f>$E$38</f>
        <v>9.9</v>
      </c>
      <c r="G717" s="306">
        <f>$E$34*$E$36+$E$32/500+($E$34-1)*$E$33/1000</f>
        <v>2.9</v>
      </c>
      <c r="H717" s="318">
        <f>D717*E717*F717*G717/1000</f>
        <v>21.532499999999999</v>
      </c>
    </row>
    <row r="718" spans="1:8" x14ac:dyDescent="0.2">
      <c r="B718" s="304" t="s">
        <v>1248</v>
      </c>
      <c r="C718" s="290"/>
      <c r="D718" s="305">
        <v>2</v>
      </c>
      <c r="E718" s="305">
        <f>(E31+E32)/2</f>
        <v>700</v>
      </c>
      <c r="F718" s="306">
        <f>$E$38</f>
        <v>9.9</v>
      </c>
      <c r="G718" s="306">
        <f>$E$35</f>
        <v>5.75</v>
      </c>
      <c r="H718" s="318">
        <f>D718*E718*F718*G718/1000</f>
        <v>79.694999999999993</v>
      </c>
    </row>
    <row r="719" spans="1:8" x14ac:dyDescent="0.2">
      <c r="B719" s="308" t="s">
        <v>1249</v>
      </c>
      <c r="C719" s="319"/>
      <c r="D719" s="309">
        <f>$E$34-1</f>
        <v>0</v>
      </c>
      <c r="E719" s="309">
        <f>E33</f>
        <v>400</v>
      </c>
      <c r="F719" s="310">
        <f>$E$38</f>
        <v>9.9</v>
      </c>
      <c r="G719" s="310">
        <f>$E$35</f>
        <v>5.75</v>
      </c>
      <c r="H719" s="320">
        <f>D719*E719*F719*G719/1000</f>
        <v>0</v>
      </c>
    </row>
    <row r="720" spans="1:8" x14ac:dyDescent="0.2">
      <c r="B720" s="284"/>
      <c r="C720" s="284"/>
      <c r="D720" s="284"/>
      <c r="E720" s="284"/>
      <c r="F720" s="284"/>
      <c r="G720" s="284"/>
      <c r="H720" s="284"/>
    </row>
    <row r="721" spans="1:11" x14ac:dyDescent="0.2">
      <c r="B721" s="274" t="s">
        <v>475</v>
      </c>
      <c r="H721" s="278">
        <f>SUM(H716:H719)</f>
        <v>117.018</v>
      </c>
    </row>
    <row r="723" spans="1:11" x14ac:dyDescent="0.2">
      <c r="A723" s="274" t="s">
        <v>950</v>
      </c>
    </row>
    <row r="724" spans="1:11" x14ac:dyDescent="0.2">
      <c r="A724" s="274" t="s">
        <v>1250</v>
      </c>
    </row>
    <row r="727" spans="1:11" x14ac:dyDescent="0.2">
      <c r="B727" s="297"/>
      <c r="C727" s="297"/>
      <c r="D727" s="297"/>
      <c r="E727" s="297"/>
      <c r="F727" s="1432" t="s">
        <v>1251</v>
      </c>
      <c r="G727" s="1433"/>
      <c r="H727" s="1432" t="s">
        <v>1252</v>
      </c>
      <c r="I727" s="1433"/>
      <c r="J727" s="297"/>
    </row>
    <row r="728" spans="1:11" x14ac:dyDescent="0.2">
      <c r="B728" s="298" t="s">
        <v>196</v>
      </c>
      <c r="C728" s="298" t="s">
        <v>1239</v>
      </c>
      <c r="D728" s="298" t="s">
        <v>1241</v>
      </c>
      <c r="E728" s="298" t="s">
        <v>1242</v>
      </c>
      <c r="F728" s="296" t="s">
        <v>1790</v>
      </c>
      <c r="G728" s="294" t="s">
        <v>1791</v>
      </c>
      <c r="H728" s="296" t="s">
        <v>235</v>
      </c>
      <c r="I728" s="296" t="s">
        <v>233</v>
      </c>
      <c r="J728" s="298" t="s">
        <v>1253</v>
      </c>
    </row>
    <row r="729" spans="1:11" x14ac:dyDescent="0.2">
      <c r="B729" s="295"/>
      <c r="C729" s="295"/>
      <c r="D729" s="299" t="s">
        <v>1245</v>
      </c>
      <c r="E729" s="299" t="s">
        <v>1245</v>
      </c>
      <c r="F729" s="295" t="s">
        <v>651</v>
      </c>
      <c r="G729" s="295" t="s">
        <v>651</v>
      </c>
      <c r="H729" s="295" t="s">
        <v>651</v>
      </c>
      <c r="I729" s="295" t="s">
        <v>651</v>
      </c>
      <c r="J729" s="299" t="s">
        <v>1255</v>
      </c>
    </row>
    <row r="730" spans="1:11" x14ac:dyDescent="0.2">
      <c r="B730" s="300" t="s">
        <v>1247</v>
      </c>
      <c r="C730" s="301">
        <v>1</v>
      </c>
      <c r="D730" s="302">
        <f>$E$38</f>
        <v>9.9</v>
      </c>
      <c r="E730" s="302">
        <f>$E$34*$E$36+$E$31/500+($E$34-1)*$E$33/1000</f>
        <v>2.9</v>
      </c>
      <c r="F730" s="301">
        <f>H434</f>
        <v>2513.2800000000002</v>
      </c>
      <c r="G730" s="301">
        <f>H449</f>
        <v>1005.312</v>
      </c>
      <c r="H730" s="301">
        <f>H413</f>
        <v>1005.312</v>
      </c>
      <c r="I730" s="301">
        <f>H415</f>
        <v>753.98399999999992</v>
      </c>
      <c r="J730" s="303">
        <f>C730*D730*E730*(F730+G730+H730+I730)*$E$21/9810</f>
        <v>1189.3647976513764</v>
      </c>
    </row>
    <row r="731" spans="1:11" x14ac:dyDescent="0.2">
      <c r="B731" s="693" t="s">
        <v>470</v>
      </c>
      <c r="C731" s="305">
        <v>1</v>
      </c>
      <c r="D731" s="306">
        <f>$E$38</f>
        <v>9.9</v>
      </c>
      <c r="E731" s="306">
        <f>$E$34*$E$36+$E$32/500+($E$34-1)*$E$33/1000</f>
        <v>2.9</v>
      </c>
      <c r="F731" s="305">
        <f>H505</f>
        <v>1005.312</v>
      </c>
      <c r="G731" s="305">
        <f>H519</f>
        <v>2513.2800000000002</v>
      </c>
      <c r="H731" s="305">
        <f>H485</f>
        <v>1005.312</v>
      </c>
      <c r="I731" s="305">
        <f>H487</f>
        <v>646.27199999999993</v>
      </c>
      <c r="J731" s="307">
        <f>C731*D731*E731*(F731+G731+H731+I731)*$E$21/9810</f>
        <v>1165.0920466788991</v>
      </c>
    </row>
    <row r="732" spans="1:11" x14ac:dyDescent="0.2">
      <c r="B732" s="693" t="s">
        <v>1248</v>
      </c>
      <c r="C732" s="305">
        <v>2</v>
      </c>
      <c r="D732" s="306">
        <f>$E$38</f>
        <v>9.9</v>
      </c>
      <c r="E732" s="306">
        <f>$E$35+$E$29/1000+$E$30/1000</f>
        <v>7.05</v>
      </c>
      <c r="F732" s="305">
        <f>H614</f>
        <v>2513.2800000000002</v>
      </c>
      <c r="G732" s="305">
        <f>H644</f>
        <v>3141.6</v>
      </c>
      <c r="H732" s="305">
        <f>H585</f>
        <v>1005.312</v>
      </c>
      <c r="I732" s="305">
        <f>H587</f>
        <v>804.24959999999999</v>
      </c>
      <c r="J732" s="307">
        <f>C732*D732*E732*(F732+G732+H732+I732)*$E$21/9810</f>
        <v>8178.4941923229371</v>
      </c>
    </row>
    <row r="733" spans="1:11" x14ac:dyDescent="0.2">
      <c r="B733" s="308" t="s">
        <v>1249</v>
      </c>
      <c r="C733" s="309">
        <f>$E$34-1</f>
        <v>0</v>
      </c>
      <c r="D733" s="310">
        <f>$E$38</f>
        <v>9.9</v>
      </c>
      <c r="E733" s="310">
        <f>$E$35+$E$29/1000+$E$30/1000</f>
        <v>7.05</v>
      </c>
      <c r="F733" s="309">
        <f>H699</f>
        <v>1005.312</v>
      </c>
      <c r="G733" s="309"/>
      <c r="H733" s="309">
        <f>H681</f>
        <v>1005.312</v>
      </c>
      <c r="I733" s="309"/>
      <c r="J733" s="311">
        <f>C733*D733*E733*2*(F733+H733)*$E$21/9810</f>
        <v>0</v>
      </c>
    </row>
    <row r="734" spans="1:11" x14ac:dyDescent="0.2">
      <c r="B734" s="274" t="s">
        <v>475</v>
      </c>
      <c r="J734" s="283">
        <f>SUM(J730:J733)</f>
        <v>10532.951036653212</v>
      </c>
      <c r="K734" s="284"/>
    </row>
    <row r="735" spans="1:11" ht="13.5" thickBot="1" x14ac:dyDescent="0.25">
      <c r="B735" s="491"/>
      <c r="J735" s="283"/>
      <c r="K735" s="284"/>
    </row>
    <row r="736" spans="1:11" x14ac:dyDescent="0.2">
      <c r="A736" s="934"/>
      <c r="B736" s="890"/>
      <c r="C736" s="890"/>
      <c r="D736" s="890"/>
      <c r="E736" s="890"/>
      <c r="F736" s="890"/>
      <c r="G736" s="890"/>
      <c r="H736" s="890"/>
      <c r="I736" s="890"/>
      <c r="J736" s="892"/>
      <c r="K736" s="283"/>
    </row>
    <row r="737" spans="1:14" x14ac:dyDescent="0.2">
      <c r="A737" s="898" t="s">
        <v>950</v>
      </c>
      <c r="B737" s="809"/>
      <c r="C737" s="809" t="s">
        <v>2270</v>
      </c>
      <c r="D737" s="809" t="str">
        <f>D2</f>
        <v>DR-5</v>
      </c>
      <c r="E737" s="809"/>
      <c r="F737" s="921"/>
      <c r="G737" s="921"/>
      <c r="H737" s="897" t="s">
        <v>1966</v>
      </c>
      <c r="I737" s="809" t="str">
        <f>I3</f>
        <v>1.50m x 1.80m</v>
      </c>
      <c r="J737" s="896"/>
      <c r="M737" s="274" t="s">
        <v>1257</v>
      </c>
      <c r="N737" s="274" t="s">
        <v>1258</v>
      </c>
    </row>
    <row r="738" spans="1:14" x14ac:dyDescent="0.2">
      <c r="A738" s="815"/>
      <c r="B738" s="692" t="s">
        <v>1259</v>
      </c>
      <c r="C738" s="809"/>
      <c r="D738" s="809"/>
      <c r="E738" s="809"/>
      <c r="F738" s="809"/>
      <c r="G738" s="809"/>
      <c r="H738" s="809"/>
      <c r="I738" s="809"/>
      <c r="J738" s="896"/>
      <c r="K738" s="283"/>
      <c r="N738" s="274" t="s">
        <v>1260</v>
      </c>
    </row>
    <row r="739" spans="1:14" x14ac:dyDescent="0.2">
      <c r="A739" s="898" t="s">
        <v>950</v>
      </c>
      <c r="B739" s="809"/>
      <c r="C739" s="809"/>
      <c r="D739" s="809"/>
      <c r="E739" s="809"/>
      <c r="F739" s="809"/>
      <c r="G739" s="809"/>
      <c r="H739" s="809"/>
      <c r="I739" s="809"/>
      <c r="J739" s="896"/>
      <c r="N739" s="274" t="s">
        <v>1261</v>
      </c>
    </row>
    <row r="740" spans="1:14" x14ac:dyDescent="0.2">
      <c r="A740" s="815"/>
      <c r="B740" s="692" t="s">
        <v>1262</v>
      </c>
      <c r="C740" s="809"/>
      <c r="D740" s="809"/>
      <c r="E740" s="809"/>
      <c r="F740" s="809"/>
      <c r="G740" s="809"/>
      <c r="H740" s="809"/>
      <c r="I740" s="809"/>
      <c r="J740" s="896"/>
      <c r="N740" s="274" t="s">
        <v>1263</v>
      </c>
    </row>
    <row r="741" spans="1:14" x14ac:dyDescent="0.2">
      <c r="A741" s="898" t="s">
        <v>950</v>
      </c>
      <c r="B741" s="809"/>
      <c r="C741" s="809"/>
      <c r="D741" s="809"/>
      <c r="E741" s="809"/>
      <c r="F741" s="809"/>
      <c r="G741" s="809"/>
      <c r="H741" s="809"/>
      <c r="I741" s="809"/>
      <c r="J741" s="896"/>
      <c r="N741" s="274" t="s">
        <v>1264</v>
      </c>
    </row>
    <row r="742" spans="1:14" x14ac:dyDescent="0.2">
      <c r="A742" s="815"/>
      <c r="B742" s="809"/>
      <c r="C742" s="809"/>
      <c r="D742" s="809"/>
      <c r="E742" s="809"/>
      <c r="F742" s="809"/>
      <c r="G742" s="809"/>
      <c r="H742" s="809"/>
      <c r="I742" s="809"/>
      <c r="J742" s="896"/>
      <c r="N742" s="274" t="s">
        <v>1265</v>
      </c>
    </row>
    <row r="743" spans="1:14" x14ac:dyDescent="0.2">
      <c r="A743" s="815"/>
      <c r="B743" s="917" t="s">
        <v>1123</v>
      </c>
      <c r="C743" s="809"/>
      <c r="D743" s="809"/>
      <c r="E743" s="809"/>
      <c r="F743" s="809"/>
      <c r="G743" s="809"/>
      <c r="H743" s="809"/>
      <c r="I743" s="809"/>
      <c r="J743" s="896"/>
      <c r="N743" s="274" t="s">
        <v>1266</v>
      </c>
    </row>
    <row r="744" spans="1:14" x14ac:dyDescent="0.2">
      <c r="A744" s="815"/>
      <c r="B744" s="692" t="s">
        <v>1267</v>
      </c>
      <c r="C744" s="809"/>
      <c r="D744" s="809"/>
      <c r="E744" s="908">
        <f>F380</f>
        <v>134.72615154472098</v>
      </c>
      <c r="F744" s="692" t="s">
        <v>58</v>
      </c>
      <c r="G744" s="809"/>
      <c r="H744" s="809"/>
      <c r="I744" s="809"/>
      <c r="J744" s="896"/>
      <c r="N744" s="274" t="s">
        <v>1266</v>
      </c>
    </row>
    <row r="745" spans="1:14" x14ac:dyDescent="0.2">
      <c r="A745" s="815"/>
      <c r="B745" s="692" t="s">
        <v>1268</v>
      </c>
      <c r="C745" s="809"/>
      <c r="D745" s="809"/>
      <c r="E745" s="920">
        <f>F383</f>
        <v>327.90756222143426</v>
      </c>
      <c r="F745" s="692" t="s">
        <v>43</v>
      </c>
      <c r="G745" s="809"/>
      <c r="H745" s="809"/>
      <c r="I745" s="809"/>
      <c r="J745" s="896"/>
      <c r="N745" s="274" t="s">
        <v>1266</v>
      </c>
    </row>
    <row r="746" spans="1:14" x14ac:dyDescent="0.2">
      <c r="A746" s="815"/>
      <c r="B746" s="692" t="s">
        <v>1269</v>
      </c>
      <c r="C746" s="809"/>
      <c r="D746" s="809"/>
      <c r="E746" s="908">
        <f>F386</f>
        <v>61.051682092555346</v>
      </c>
      <c r="F746" s="692" t="s">
        <v>57</v>
      </c>
      <c r="G746" s="809"/>
      <c r="H746" s="809"/>
      <c r="I746" s="809"/>
      <c r="J746" s="896"/>
      <c r="N746" s="274" t="s">
        <v>1270</v>
      </c>
    </row>
    <row r="747" spans="1:14" x14ac:dyDescent="0.2">
      <c r="A747" s="815"/>
      <c r="B747" s="692" t="s">
        <v>1271</v>
      </c>
      <c r="C747" s="809"/>
      <c r="D747" s="809"/>
      <c r="E747" s="920">
        <f>F388</f>
        <v>142.42572896176605</v>
      </c>
      <c r="F747" s="692" t="s">
        <v>43</v>
      </c>
      <c r="G747" s="809"/>
      <c r="H747" s="809"/>
      <c r="I747" s="809"/>
      <c r="J747" s="896"/>
      <c r="N747" s="274" t="s">
        <v>1266</v>
      </c>
    </row>
    <row r="748" spans="1:14" x14ac:dyDescent="0.2">
      <c r="A748" s="815"/>
      <c r="B748" s="692" t="s">
        <v>1272</v>
      </c>
      <c r="C748" s="809"/>
      <c r="D748" s="809"/>
      <c r="E748" s="920">
        <f>G393</f>
        <v>402.90756222143426</v>
      </c>
      <c r="F748" s="692" t="s">
        <v>43</v>
      </c>
      <c r="G748" s="809"/>
      <c r="H748" s="809"/>
      <c r="I748" s="809"/>
      <c r="J748" s="896"/>
      <c r="N748" s="274" t="s">
        <v>1273</v>
      </c>
    </row>
    <row r="749" spans="1:14" x14ac:dyDescent="0.2">
      <c r="A749" s="815"/>
      <c r="B749" s="692" t="s">
        <v>1274</v>
      </c>
      <c r="C749" s="809"/>
      <c r="D749" s="809"/>
      <c r="E749" s="920">
        <f>G394</f>
        <v>550</v>
      </c>
      <c r="F749" s="692" t="s">
        <v>43</v>
      </c>
      <c r="G749" s="809"/>
      <c r="H749" s="809"/>
      <c r="I749" s="809"/>
      <c r="J749" s="896"/>
      <c r="N749" s="274" t="s">
        <v>1275</v>
      </c>
    </row>
    <row r="750" spans="1:14" x14ac:dyDescent="0.2">
      <c r="A750" s="815"/>
      <c r="B750" s="809"/>
      <c r="C750" s="809"/>
      <c r="D750" s="809"/>
      <c r="E750" s="809"/>
      <c r="F750" s="809"/>
      <c r="G750" s="809"/>
      <c r="H750" s="809"/>
      <c r="I750" s="809"/>
      <c r="J750" s="896"/>
      <c r="N750" s="274" t="s">
        <v>1276</v>
      </c>
    </row>
    <row r="751" spans="1:14" x14ac:dyDescent="0.2">
      <c r="A751" s="815"/>
      <c r="B751" s="917" t="s">
        <v>1277</v>
      </c>
      <c r="C751" s="809"/>
      <c r="D751" s="809"/>
      <c r="E751" s="809"/>
      <c r="F751" s="809"/>
      <c r="G751" s="809"/>
      <c r="H751" s="809"/>
      <c r="I751" s="809"/>
      <c r="J751" s="896"/>
      <c r="N751" s="274" t="s">
        <v>1266</v>
      </c>
    </row>
    <row r="752" spans="1:14" x14ac:dyDescent="0.2">
      <c r="A752" s="815"/>
      <c r="B752" s="692"/>
      <c r="C752" s="809"/>
      <c r="D752" s="809"/>
      <c r="E752" s="809"/>
      <c r="F752" s="809"/>
      <c r="G752" s="809"/>
      <c r="H752" s="809"/>
      <c r="I752" s="809"/>
      <c r="J752" s="896"/>
      <c r="N752" s="274" t="s">
        <v>1266</v>
      </c>
    </row>
    <row r="753" spans="1:14" x14ac:dyDescent="0.2">
      <c r="A753" s="815"/>
      <c r="B753" s="692" t="s">
        <v>1278</v>
      </c>
      <c r="C753" s="809"/>
      <c r="D753" s="809"/>
      <c r="E753" s="920">
        <f>H412</f>
        <v>950.00000000000011</v>
      </c>
      <c r="F753" s="692" t="s">
        <v>78</v>
      </c>
      <c r="G753" s="809"/>
      <c r="H753" s="809"/>
      <c r="I753" s="809"/>
      <c r="J753" s="896"/>
      <c r="N753" s="274" t="s">
        <v>1266</v>
      </c>
    </row>
    <row r="754" spans="1:14" x14ac:dyDescent="0.2">
      <c r="A754" s="815"/>
      <c r="B754" s="692" t="s">
        <v>1279</v>
      </c>
      <c r="C754" s="809"/>
      <c r="D754" s="809"/>
      <c r="E754" s="809"/>
      <c r="F754" s="809"/>
      <c r="G754" s="809"/>
      <c r="H754" s="809"/>
      <c r="I754" s="809"/>
      <c r="J754" s="896"/>
      <c r="N754" s="274" t="s">
        <v>1280</v>
      </c>
    </row>
    <row r="755" spans="1:14" x14ac:dyDescent="0.2">
      <c r="A755" s="815"/>
      <c r="B755" s="809"/>
      <c r="C755" s="692" t="s">
        <v>1281</v>
      </c>
      <c r="D755" s="809"/>
      <c r="E755" s="920">
        <f>C413</f>
        <v>16</v>
      </c>
      <c r="F755" s="692" t="s">
        <v>43</v>
      </c>
      <c r="G755" s="809"/>
      <c r="H755" s="809"/>
      <c r="I755" s="809"/>
      <c r="J755" s="896"/>
      <c r="N755" s="274" t="s">
        <v>1282</v>
      </c>
    </row>
    <row r="756" spans="1:14" x14ac:dyDescent="0.2">
      <c r="A756" s="815"/>
      <c r="B756" s="809"/>
      <c r="C756" s="692" t="s">
        <v>1283</v>
      </c>
      <c r="D756" s="809"/>
      <c r="E756" s="920">
        <f>E413</f>
        <v>200</v>
      </c>
      <c r="F756" s="692" t="s">
        <v>43</v>
      </c>
      <c r="G756" s="809"/>
      <c r="H756" s="809"/>
      <c r="I756" s="809"/>
      <c r="J756" s="896"/>
      <c r="N756" s="274" t="s">
        <v>1266</v>
      </c>
    </row>
    <row r="757" spans="1:14" x14ac:dyDescent="0.2">
      <c r="A757" s="815"/>
      <c r="B757" s="809"/>
      <c r="C757" s="692" t="s">
        <v>1284</v>
      </c>
      <c r="D757" s="809"/>
      <c r="E757" s="920">
        <f>H413</f>
        <v>1005.312</v>
      </c>
      <c r="F757" s="692" t="s">
        <v>78</v>
      </c>
      <c r="G757" s="809"/>
      <c r="H757" s="809"/>
      <c r="I757" s="809"/>
      <c r="J757" s="896"/>
      <c r="N757" s="274" t="s">
        <v>1285</v>
      </c>
    </row>
    <row r="758" spans="1:14" x14ac:dyDescent="0.2">
      <c r="A758" s="815"/>
      <c r="B758" s="809" t="s">
        <v>1286</v>
      </c>
      <c r="C758" s="809"/>
      <c r="D758" s="809"/>
      <c r="E758" s="912">
        <f>H414</f>
        <v>570.00000000000011</v>
      </c>
      <c r="F758" s="692" t="s">
        <v>78</v>
      </c>
      <c r="G758" s="809"/>
      <c r="H758" s="809"/>
      <c r="I758" s="809"/>
      <c r="J758" s="896"/>
      <c r="N758" s="274" t="s">
        <v>1287</v>
      </c>
    </row>
    <row r="759" spans="1:14" x14ac:dyDescent="0.2">
      <c r="A759" s="815"/>
      <c r="B759" s="809" t="s">
        <v>1288</v>
      </c>
      <c r="C759" s="809"/>
      <c r="D759" s="809"/>
      <c r="E759" s="809"/>
      <c r="F759" s="809"/>
      <c r="G759" s="809"/>
      <c r="H759" s="809"/>
      <c r="I759" s="809"/>
      <c r="J759" s="896"/>
      <c r="N759" s="274" t="s">
        <v>1289</v>
      </c>
    </row>
    <row r="760" spans="1:14" x14ac:dyDescent="0.2">
      <c r="A760" s="815"/>
      <c r="B760" s="809"/>
      <c r="C760" s="692" t="s">
        <v>1281</v>
      </c>
      <c r="D760" s="809"/>
      <c r="E760" s="912">
        <f>C415</f>
        <v>12</v>
      </c>
      <c r="F760" s="692" t="s">
        <v>43</v>
      </c>
      <c r="G760" s="809"/>
      <c r="H760" s="809"/>
      <c r="I760" s="809"/>
      <c r="J760" s="896"/>
      <c r="N760" s="274" t="s">
        <v>1266</v>
      </c>
    </row>
    <row r="761" spans="1:14" x14ac:dyDescent="0.2">
      <c r="A761" s="815"/>
      <c r="B761" s="809"/>
      <c r="C761" s="692" t="s">
        <v>1283</v>
      </c>
      <c r="D761" s="809"/>
      <c r="E761" s="912">
        <f>E415</f>
        <v>150</v>
      </c>
      <c r="F761" s="692" t="s">
        <v>43</v>
      </c>
      <c r="G761" s="809"/>
      <c r="H761" s="809"/>
      <c r="I761" s="809"/>
      <c r="J761" s="896"/>
      <c r="N761" s="274" t="s">
        <v>1266</v>
      </c>
    </row>
    <row r="762" spans="1:14" x14ac:dyDescent="0.2">
      <c r="A762" s="815"/>
      <c r="B762" s="809"/>
      <c r="C762" s="692" t="s">
        <v>1284</v>
      </c>
      <c r="D762" s="809"/>
      <c r="E762" s="912">
        <f>H415</f>
        <v>753.98399999999992</v>
      </c>
      <c r="F762" s="692" t="s">
        <v>78</v>
      </c>
      <c r="G762" s="809"/>
      <c r="H762" s="809"/>
      <c r="I762" s="809"/>
      <c r="J762" s="896"/>
      <c r="N762" s="274" t="s">
        <v>1266</v>
      </c>
    </row>
    <row r="763" spans="1:14" x14ac:dyDescent="0.2">
      <c r="A763" s="815"/>
      <c r="B763" s="809"/>
      <c r="C763" s="809"/>
      <c r="D763" s="809"/>
      <c r="E763" s="809"/>
      <c r="F763" s="809"/>
      <c r="G763" s="809"/>
      <c r="H763" s="809"/>
      <c r="I763" s="809"/>
      <c r="J763" s="896"/>
      <c r="N763" s="274" t="s">
        <v>1290</v>
      </c>
    </row>
    <row r="764" spans="1:14" x14ac:dyDescent="0.2">
      <c r="A764" s="815"/>
      <c r="B764" s="917" t="s">
        <v>1291</v>
      </c>
      <c r="C764" s="809"/>
      <c r="D764" s="809"/>
      <c r="E764" s="809"/>
      <c r="F764" s="809"/>
      <c r="G764" s="809"/>
      <c r="H764" s="809"/>
      <c r="I764" s="809"/>
      <c r="J764" s="896"/>
      <c r="N764" s="274" t="s">
        <v>1292</v>
      </c>
    </row>
    <row r="765" spans="1:14" x14ac:dyDescent="0.2">
      <c r="A765" s="815"/>
      <c r="B765" s="692"/>
      <c r="C765" s="809"/>
      <c r="D765" s="809"/>
      <c r="E765" s="809"/>
      <c r="F765" s="809"/>
      <c r="G765" s="809"/>
      <c r="H765" s="809"/>
      <c r="I765" s="809"/>
      <c r="J765" s="896"/>
      <c r="N765" s="274" t="s">
        <v>1266</v>
      </c>
    </row>
    <row r="766" spans="1:14" x14ac:dyDescent="0.2">
      <c r="A766" s="815"/>
      <c r="B766" s="692" t="s">
        <v>1293</v>
      </c>
      <c r="C766" s="809"/>
      <c r="D766" s="809"/>
      <c r="E766" s="986">
        <f>F425</f>
        <v>1703.3601016461678</v>
      </c>
      <c r="F766" s="692" t="s">
        <v>78</v>
      </c>
      <c r="G766" s="809"/>
      <c r="H766" s="809"/>
      <c r="I766" s="809"/>
      <c r="J766" s="896"/>
      <c r="N766" s="274" t="s">
        <v>1294</v>
      </c>
    </row>
    <row r="767" spans="1:14" x14ac:dyDescent="0.2">
      <c r="A767" s="815"/>
      <c r="B767" s="692" t="s">
        <v>1295</v>
      </c>
      <c r="C767" s="809"/>
      <c r="D767" s="809"/>
      <c r="E767" s="986">
        <f>G432</f>
        <v>380</v>
      </c>
      <c r="F767" s="692" t="s">
        <v>78</v>
      </c>
      <c r="G767" s="809"/>
      <c r="H767" s="809"/>
      <c r="I767" s="809"/>
      <c r="J767" s="896"/>
      <c r="N767" s="274" t="s">
        <v>1296</v>
      </c>
    </row>
    <row r="768" spans="1:14" x14ac:dyDescent="0.2">
      <c r="A768" s="815"/>
      <c r="B768" s="692"/>
      <c r="C768" s="809"/>
      <c r="D768" s="809"/>
      <c r="E768" s="987"/>
      <c r="F768" s="809"/>
      <c r="G768" s="809"/>
      <c r="H768" s="809"/>
      <c r="I768" s="809"/>
      <c r="J768" s="896"/>
      <c r="N768" s="274" t="s">
        <v>1297</v>
      </c>
    </row>
    <row r="769" spans="1:14" x14ac:dyDescent="0.2">
      <c r="A769" s="815"/>
      <c r="B769" s="692" t="s">
        <v>1279</v>
      </c>
      <c r="C769" s="809"/>
      <c r="D769" s="809"/>
      <c r="E769" s="987">
        <f>H433</f>
        <v>1703.3601016461678</v>
      </c>
      <c r="F769" s="692" t="s">
        <v>78</v>
      </c>
      <c r="G769" s="809"/>
      <c r="H769" s="809"/>
      <c r="I769" s="809"/>
      <c r="J769" s="896"/>
      <c r="N769" s="274" t="s">
        <v>1266</v>
      </c>
    </row>
    <row r="770" spans="1:14" x14ac:dyDescent="0.2">
      <c r="A770" s="815"/>
      <c r="B770" s="809"/>
      <c r="C770" s="692" t="s">
        <v>1281</v>
      </c>
      <c r="D770" s="809"/>
      <c r="E770" s="986">
        <f>C434</f>
        <v>20</v>
      </c>
      <c r="F770" s="692" t="s">
        <v>43</v>
      </c>
      <c r="G770" s="809"/>
      <c r="H770" s="809"/>
      <c r="I770" s="809"/>
      <c r="J770" s="896"/>
      <c r="N770" s="274" t="s">
        <v>1266</v>
      </c>
    </row>
    <row r="771" spans="1:14" x14ac:dyDescent="0.2">
      <c r="A771" s="815"/>
      <c r="B771" s="809"/>
      <c r="C771" s="692" t="s">
        <v>1283</v>
      </c>
      <c r="D771" s="809"/>
      <c r="E771" s="986">
        <f>E434</f>
        <v>125</v>
      </c>
      <c r="F771" s="692" t="s">
        <v>43</v>
      </c>
      <c r="G771" s="809"/>
      <c r="H771" s="809"/>
      <c r="I771" s="809"/>
      <c r="J771" s="896"/>
      <c r="N771" s="274" t="s">
        <v>1266</v>
      </c>
    </row>
    <row r="772" spans="1:14" x14ac:dyDescent="0.2">
      <c r="A772" s="815"/>
      <c r="B772" s="809"/>
      <c r="C772" s="692" t="s">
        <v>1284</v>
      </c>
      <c r="D772" s="809"/>
      <c r="E772" s="986">
        <f>H434</f>
        <v>2513.2800000000002</v>
      </c>
      <c r="F772" s="692" t="s">
        <v>78</v>
      </c>
      <c r="G772" s="809"/>
      <c r="H772" s="809"/>
      <c r="I772" s="809"/>
      <c r="J772" s="896"/>
      <c r="N772" s="274" t="s">
        <v>1266</v>
      </c>
    </row>
    <row r="773" spans="1:14" x14ac:dyDescent="0.2">
      <c r="A773" s="815"/>
      <c r="B773" s="809"/>
      <c r="C773" s="809"/>
      <c r="D773" s="809"/>
      <c r="E773" s="809"/>
      <c r="F773" s="809"/>
      <c r="G773" s="809"/>
      <c r="H773" s="809"/>
      <c r="I773" s="809"/>
      <c r="J773" s="896"/>
      <c r="N773" s="274" t="s">
        <v>1266</v>
      </c>
    </row>
    <row r="774" spans="1:14" x14ac:dyDescent="0.2">
      <c r="A774" s="815"/>
      <c r="B774" s="917" t="s">
        <v>1298</v>
      </c>
      <c r="C774" s="809"/>
      <c r="D774" s="809"/>
      <c r="E774" s="809"/>
      <c r="F774" s="809"/>
      <c r="G774" s="809"/>
      <c r="H774" s="809"/>
      <c r="I774" s="809"/>
      <c r="J774" s="896"/>
      <c r="N774" s="274" t="s">
        <v>1266</v>
      </c>
    </row>
    <row r="775" spans="1:14" x14ac:dyDescent="0.2">
      <c r="A775" s="815"/>
      <c r="B775" s="809"/>
      <c r="C775" s="809"/>
      <c r="D775" s="809"/>
      <c r="E775" s="910"/>
      <c r="F775" s="809"/>
      <c r="G775" s="809"/>
      <c r="H775" s="809"/>
      <c r="I775" s="809"/>
      <c r="J775" s="896"/>
      <c r="N775" s="274" t="s">
        <v>1266</v>
      </c>
    </row>
    <row r="776" spans="1:14" x14ac:dyDescent="0.2">
      <c r="A776" s="815"/>
      <c r="B776" s="692" t="s">
        <v>1293</v>
      </c>
      <c r="C776" s="809"/>
      <c r="D776" s="809"/>
      <c r="E776" s="986">
        <f>G439</f>
        <v>0</v>
      </c>
      <c r="F776" s="692" t="s">
        <v>78</v>
      </c>
      <c r="G776" s="809"/>
      <c r="H776" s="809"/>
      <c r="I776" s="809"/>
      <c r="J776" s="896"/>
      <c r="N776" s="274" t="s">
        <v>1299</v>
      </c>
    </row>
    <row r="777" spans="1:14" x14ac:dyDescent="0.2">
      <c r="A777" s="815"/>
      <c r="B777" s="692" t="s">
        <v>1295</v>
      </c>
      <c r="C777" s="809"/>
      <c r="D777" s="809"/>
      <c r="E777" s="986">
        <f>H447</f>
        <v>760</v>
      </c>
      <c r="F777" s="692" t="s">
        <v>78</v>
      </c>
      <c r="G777" s="809"/>
      <c r="H777" s="809"/>
      <c r="I777" s="809"/>
      <c r="J777" s="896"/>
      <c r="N777" s="274" t="s">
        <v>1300</v>
      </c>
    </row>
    <row r="778" spans="1:14" x14ac:dyDescent="0.2">
      <c r="A778" s="815"/>
      <c r="B778" s="692" t="s">
        <v>1279</v>
      </c>
      <c r="C778" s="809"/>
      <c r="D778" s="809"/>
      <c r="E778" s="987">
        <f>H448</f>
        <v>760</v>
      </c>
      <c r="F778" s="692" t="s">
        <v>78</v>
      </c>
      <c r="G778" s="809"/>
      <c r="H778" s="809"/>
      <c r="I778" s="809"/>
      <c r="J778" s="896"/>
      <c r="N778" s="274" t="s">
        <v>1301</v>
      </c>
    </row>
    <row r="779" spans="1:14" x14ac:dyDescent="0.2">
      <c r="A779" s="815"/>
      <c r="B779" s="809"/>
      <c r="C779" s="692" t="s">
        <v>1281</v>
      </c>
      <c r="D779" s="809"/>
      <c r="E779" s="986">
        <f>C449</f>
        <v>16</v>
      </c>
      <c r="F779" s="692" t="s">
        <v>43</v>
      </c>
      <c r="G779" s="809"/>
      <c r="H779" s="809"/>
      <c r="I779" s="809"/>
      <c r="J779" s="896"/>
      <c r="N779" s="274" t="s">
        <v>1302</v>
      </c>
    </row>
    <row r="780" spans="1:14" x14ac:dyDescent="0.2">
      <c r="A780" s="898"/>
      <c r="B780" s="809"/>
      <c r="C780" s="692" t="s">
        <v>1283</v>
      </c>
      <c r="D780" s="809"/>
      <c r="E780" s="986">
        <f>E449</f>
        <v>200</v>
      </c>
      <c r="F780" s="692" t="s">
        <v>43</v>
      </c>
      <c r="G780" s="809"/>
      <c r="H780" s="809"/>
      <c r="I780" s="809"/>
      <c r="J780" s="896"/>
      <c r="N780" s="274" t="s">
        <v>1303</v>
      </c>
    </row>
    <row r="781" spans="1:14" x14ac:dyDescent="0.2">
      <c r="A781" s="815"/>
      <c r="B781" s="809"/>
      <c r="C781" s="692" t="s">
        <v>1284</v>
      </c>
      <c r="D781" s="809"/>
      <c r="E781" s="986">
        <f>H449</f>
        <v>1005.312</v>
      </c>
      <c r="F781" s="692" t="s">
        <v>78</v>
      </c>
      <c r="G781" s="809"/>
      <c r="H781" s="809"/>
      <c r="I781" s="809"/>
      <c r="J781" s="896"/>
      <c r="N781" s="274" t="s">
        <v>1304</v>
      </c>
    </row>
    <row r="782" spans="1:14" x14ac:dyDescent="0.2">
      <c r="A782" s="815"/>
      <c r="B782" s="809"/>
      <c r="C782" s="809"/>
      <c r="D782" s="809"/>
      <c r="E782" s="809"/>
      <c r="F782" s="809"/>
      <c r="G782" s="809"/>
      <c r="H782" s="809"/>
      <c r="I782" s="809"/>
      <c r="J782" s="896"/>
      <c r="N782" s="274" t="s">
        <v>1266</v>
      </c>
    </row>
    <row r="783" spans="1:14" x14ac:dyDescent="0.2">
      <c r="A783" s="815"/>
      <c r="B783" s="917" t="s">
        <v>1125</v>
      </c>
      <c r="C783" s="809"/>
      <c r="D783" s="809"/>
      <c r="E783" s="809"/>
      <c r="F783" s="809"/>
      <c r="G783" s="809"/>
      <c r="H783" s="809"/>
      <c r="I783" s="809"/>
      <c r="J783" s="896"/>
      <c r="N783" s="274" t="s">
        <v>1266</v>
      </c>
    </row>
    <row r="784" spans="1:14" x14ac:dyDescent="0.2">
      <c r="A784" s="815"/>
      <c r="B784" s="692"/>
      <c r="C784" s="809"/>
      <c r="D784" s="809"/>
      <c r="E784" s="809"/>
      <c r="F784" s="809"/>
      <c r="G784" s="809"/>
      <c r="H784" s="809"/>
      <c r="I784" s="809"/>
      <c r="J784" s="896"/>
      <c r="N784" s="274" t="s">
        <v>1266</v>
      </c>
    </row>
    <row r="785" spans="1:14" x14ac:dyDescent="0.2">
      <c r="A785" s="815"/>
      <c r="B785" s="692" t="s">
        <v>1267</v>
      </c>
      <c r="C785" s="809"/>
      <c r="D785" s="809"/>
      <c r="E785" s="908">
        <f>E459</f>
        <v>259.75446011666912</v>
      </c>
      <c r="F785" s="692" t="s">
        <v>58</v>
      </c>
      <c r="G785" s="809"/>
      <c r="H785" s="809"/>
      <c r="I785" s="809"/>
      <c r="J785" s="896"/>
      <c r="N785" s="274" t="s">
        <v>1305</v>
      </c>
    </row>
    <row r="786" spans="1:14" x14ac:dyDescent="0.2">
      <c r="A786" s="815"/>
      <c r="B786" s="692" t="s">
        <v>1268</v>
      </c>
      <c r="C786" s="809"/>
      <c r="D786" s="809"/>
      <c r="E786" s="920">
        <f>E460</f>
        <v>455.30978840383506</v>
      </c>
      <c r="F786" s="692" t="s">
        <v>43</v>
      </c>
      <c r="G786" s="809"/>
      <c r="H786" s="809"/>
      <c r="I786" s="809"/>
      <c r="J786" s="896"/>
      <c r="N786" s="274" t="s">
        <v>1266</v>
      </c>
    </row>
    <row r="787" spans="1:14" x14ac:dyDescent="0.2">
      <c r="A787" s="815"/>
      <c r="B787" s="692" t="s">
        <v>1269</v>
      </c>
      <c r="C787" s="809"/>
      <c r="D787" s="809"/>
      <c r="E787" s="908">
        <f>E463</f>
        <v>133.11306140290017</v>
      </c>
      <c r="F787" s="692" t="s">
        <v>57</v>
      </c>
      <c r="G787" s="809"/>
      <c r="H787" s="809"/>
      <c r="I787" s="809"/>
      <c r="J787" s="896"/>
      <c r="N787" s="274" t="s">
        <v>1306</v>
      </c>
    </row>
    <row r="788" spans="1:14" x14ac:dyDescent="0.2">
      <c r="A788" s="815"/>
      <c r="B788" s="692" t="s">
        <v>1271</v>
      </c>
      <c r="C788" s="809"/>
      <c r="D788" s="809"/>
      <c r="E788" s="920">
        <f>E464</f>
        <v>310.53566674704638</v>
      </c>
      <c r="F788" s="692" t="s">
        <v>43</v>
      </c>
      <c r="G788" s="809"/>
      <c r="H788" s="809"/>
      <c r="I788" s="809"/>
      <c r="J788" s="896"/>
      <c r="N788" s="274" t="s">
        <v>1307</v>
      </c>
    </row>
    <row r="789" spans="1:14" x14ac:dyDescent="0.2">
      <c r="A789" s="815"/>
      <c r="B789" s="692" t="s">
        <v>1272</v>
      </c>
      <c r="C789" s="809"/>
      <c r="D789" s="809"/>
      <c r="E789" s="920">
        <f>G467</f>
        <v>530.309788403835</v>
      </c>
      <c r="F789" s="692" t="s">
        <v>43</v>
      </c>
      <c r="G789" s="809"/>
      <c r="H789" s="809"/>
      <c r="I789" s="809"/>
      <c r="J789" s="896"/>
      <c r="N789" s="274" t="s">
        <v>1308</v>
      </c>
    </row>
    <row r="790" spans="1:14" x14ac:dyDescent="0.2">
      <c r="A790" s="815"/>
      <c r="B790" s="692" t="s">
        <v>1274</v>
      </c>
      <c r="C790" s="809"/>
      <c r="D790" s="809"/>
      <c r="E790" s="920">
        <f>G468</f>
        <v>750</v>
      </c>
      <c r="F790" s="692" t="s">
        <v>43</v>
      </c>
      <c r="G790" s="809"/>
      <c r="H790" s="809"/>
      <c r="I790" s="809"/>
      <c r="J790" s="896"/>
      <c r="N790" s="274" t="s">
        <v>1266</v>
      </c>
    </row>
    <row r="791" spans="1:14" x14ac:dyDescent="0.2">
      <c r="A791" s="815"/>
      <c r="B791" s="809"/>
      <c r="C791" s="809"/>
      <c r="D791" s="809"/>
      <c r="E791" s="809"/>
      <c r="F791" s="809"/>
      <c r="G791" s="809"/>
      <c r="H791" s="809"/>
      <c r="I791" s="809"/>
      <c r="J791" s="896"/>
      <c r="N791" s="274" t="s">
        <v>1309</v>
      </c>
    </row>
    <row r="792" spans="1:14" x14ac:dyDescent="0.2">
      <c r="A792" s="815"/>
      <c r="B792" s="917" t="s">
        <v>1310</v>
      </c>
      <c r="C792" s="809"/>
      <c r="D792" s="809"/>
      <c r="E792" s="809"/>
      <c r="F792" s="809"/>
      <c r="G792" s="809"/>
      <c r="H792" s="809"/>
      <c r="I792" s="809"/>
      <c r="J792" s="896"/>
      <c r="N792" s="274" t="s">
        <v>1266</v>
      </c>
    </row>
    <row r="793" spans="1:14" x14ac:dyDescent="0.2">
      <c r="A793" s="815"/>
      <c r="B793" s="692"/>
      <c r="C793" s="809"/>
      <c r="D793" s="809"/>
      <c r="E793" s="809"/>
      <c r="F793" s="809"/>
      <c r="G793" s="809"/>
      <c r="H793" s="809"/>
      <c r="I793" s="809"/>
      <c r="J793" s="896"/>
      <c r="N793" s="274" t="s">
        <v>1311</v>
      </c>
    </row>
    <row r="794" spans="1:14" x14ac:dyDescent="0.2">
      <c r="A794" s="815"/>
      <c r="B794" s="692" t="s">
        <v>1278</v>
      </c>
      <c r="C794" s="809"/>
      <c r="D794" s="809"/>
      <c r="E794" s="920">
        <f>H484</f>
        <v>950.00000000000011</v>
      </c>
      <c r="F794" s="692" t="s">
        <v>78</v>
      </c>
      <c r="G794" s="809"/>
      <c r="H794" s="809"/>
      <c r="I794" s="809"/>
      <c r="J794" s="896"/>
      <c r="N794" s="274" t="s">
        <v>1312</v>
      </c>
    </row>
    <row r="795" spans="1:14" x14ac:dyDescent="0.2">
      <c r="A795" s="815"/>
      <c r="B795" s="692" t="s">
        <v>1279</v>
      </c>
      <c r="C795" s="809"/>
      <c r="D795" s="809"/>
      <c r="E795" s="809"/>
      <c r="F795" s="809"/>
      <c r="G795" s="809"/>
      <c r="H795" s="809"/>
      <c r="I795" s="809"/>
      <c r="J795" s="896"/>
      <c r="N795" s="274" t="s">
        <v>1313</v>
      </c>
    </row>
    <row r="796" spans="1:14" x14ac:dyDescent="0.2">
      <c r="A796" s="815"/>
      <c r="B796" s="809"/>
      <c r="C796" s="692" t="s">
        <v>1281</v>
      </c>
      <c r="D796" s="809"/>
      <c r="E796" s="920">
        <f>C485</f>
        <v>16</v>
      </c>
      <c r="F796" s="692" t="s">
        <v>43</v>
      </c>
      <c r="G796" s="809"/>
      <c r="H796" s="809"/>
      <c r="I796" s="809"/>
      <c r="J796" s="896"/>
      <c r="N796" s="274" t="s">
        <v>1266</v>
      </c>
    </row>
    <row r="797" spans="1:14" x14ac:dyDescent="0.2">
      <c r="A797" s="815"/>
      <c r="B797" s="809"/>
      <c r="C797" s="692" t="s">
        <v>1283</v>
      </c>
      <c r="D797" s="809"/>
      <c r="E797" s="920">
        <f>E485</f>
        <v>200</v>
      </c>
      <c r="F797" s="692" t="s">
        <v>43</v>
      </c>
      <c r="G797" s="809"/>
      <c r="H797" s="809"/>
      <c r="I797" s="809"/>
      <c r="J797" s="896"/>
      <c r="N797" s="274" t="s">
        <v>1266</v>
      </c>
    </row>
    <row r="798" spans="1:14" x14ac:dyDescent="0.2">
      <c r="A798" s="815"/>
      <c r="B798" s="809"/>
      <c r="C798" s="692" t="s">
        <v>1284</v>
      </c>
      <c r="D798" s="809"/>
      <c r="E798" s="920">
        <f>H485</f>
        <v>1005.312</v>
      </c>
      <c r="F798" s="692" t="s">
        <v>78</v>
      </c>
      <c r="G798" s="809"/>
      <c r="H798" s="809"/>
      <c r="I798" s="809"/>
      <c r="J798" s="896"/>
      <c r="N798" s="274" t="s">
        <v>1266</v>
      </c>
    </row>
    <row r="799" spans="1:14" x14ac:dyDescent="0.2">
      <c r="A799" s="815"/>
      <c r="B799" s="692" t="s">
        <v>1314</v>
      </c>
      <c r="C799" s="809"/>
      <c r="D799" s="809"/>
      <c r="E799" s="920">
        <f>H486</f>
        <v>570.00000000000011</v>
      </c>
      <c r="F799" s="692" t="s">
        <v>78</v>
      </c>
      <c r="G799" s="809"/>
      <c r="H799" s="809"/>
      <c r="I799" s="809"/>
      <c r="J799" s="896"/>
      <c r="N799" s="274" t="s">
        <v>1315</v>
      </c>
    </row>
    <row r="800" spans="1:14" x14ac:dyDescent="0.2">
      <c r="A800" s="815"/>
      <c r="B800" s="692" t="s">
        <v>1279</v>
      </c>
      <c r="C800" s="809"/>
      <c r="D800" s="809"/>
      <c r="E800" s="809"/>
      <c r="F800" s="809"/>
      <c r="G800" s="809"/>
      <c r="H800" s="809"/>
      <c r="I800" s="809"/>
      <c r="J800" s="896"/>
      <c r="N800" s="274" t="s">
        <v>1316</v>
      </c>
    </row>
    <row r="801" spans="1:14" x14ac:dyDescent="0.2">
      <c r="A801" s="815"/>
      <c r="B801" s="809"/>
      <c r="C801" s="692" t="s">
        <v>1281</v>
      </c>
      <c r="D801" s="809"/>
      <c r="E801" s="920">
        <f>C487</f>
        <v>12</v>
      </c>
      <c r="F801" s="692" t="s">
        <v>43</v>
      </c>
      <c r="G801" s="809"/>
      <c r="H801" s="809"/>
      <c r="I801" s="809"/>
      <c r="J801" s="896"/>
      <c r="N801" s="274" t="s">
        <v>1266</v>
      </c>
    </row>
    <row r="802" spans="1:14" x14ac:dyDescent="0.2">
      <c r="A802" s="815"/>
      <c r="B802" s="809"/>
      <c r="C802" s="692" t="s">
        <v>1283</v>
      </c>
      <c r="D802" s="809"/>
      <c r="E802" s="920">
        <f>E487</f>
        <v>175</v>
      </c>
      <c r="F802" s="692" t="s">
        <v>43</v>
      </c>
      <c r="G802" s="809"/>
      <c r="H802" s="809"/>
      <c r="I802" s="809"/>
      <c r="J802" s="896"/>
      <c r="N802" s="274" t="s">
        <v>1317</v>
      </c>
    </row>
    <row r="803" spans="1:14" x14ac:dyDescent="0.2">
      <c r="A803" s="815"/>
      <c r="B803" s="809"/>
      <c r="C803" s="692" t="s">
        <v>1284</v>
      </c>
      <c r="D803" s="809"/>
      <c r="E803" s="920">
        <f>H487</f>
        <v>646.27199999999993</v>
      </c>
      <c r="F803" s="692" t="s">
        <v>78</v>
      </c>
      <c r="G803" s="809"/>
      <c r="H803" s="809"/>
      <c r="I803" s="809"/>
      <c r="J803" s="896"/>
      <c r="N803" s="274" t="s">
        <v>1318</v>
      </c>
    </row>
    <row r="804" spans="1:14" ht="13.5" thickBot="1" x14ac:dyDescent="0.25">
      <c r="A804" s="819"/>
      <c r="B804" s="821"/>
      <c r="C804" s="821"/>
      <c r="D804" s="821"/>
      <c r="E804" s="821"/>
      <c r="F804" s="821"/>
      <c r="G804" s="821"/>
      <c r="H804" s="821"/>
      <c r="I804" s="927"/>
      <c r="J804" s="928" t="s">
        <v>2390</v>
      </c>
      <c r="N804" s="274" t="s">
        <v>1319</v>
      </c>
    </row>
    <row r="805" spans="1:14" x14ac:dyDescent="0.2">
      <c r="A805" s="934"/>
      <c r="B805" s="935" t="s">
        <v>1320</v>
      </c>
      <c r="C805" s="890"/>
      <c r="D805" s="890"/>
      <c r="E805" s="890"/>
      <c r="F805" s="890"/>
      <c r="G805" s="890"/>
      <c r="H805" s="890"/>
      <c r="I805" s="890"/>
      <c r="J805" s="892"/>
      <c r="N805" s="274" t="s">
        <v>1266</v>
      </c>
    </row>
    <row r="806" spans="1:14" x14ac:dyDescent="0.2">
      <c r="A806" s="815"/>
      <c r="B806" s="692"/>
      <c r="C806" s="809"/>
      <c r="D806" s="809"/>
      <c r="E806" s="809"/>
      <c r="F806" s="809"/>
      <c r="G806" s="809"/>
      <c r="H806" s="809"/>
      <c r="I806" s="809"/>
      <c r="J806" s="896"/>
      <c r="N806" s="274" t="s">
        <v>1266</v>
      </c>
    </row>
    <row r="807" spans="1:14" x14ac:dyDescent="0.2">
      <c r="A807" s="815"/>
      <c r="B807" s="692" t="s">
        <v>1293</v>
      </c>
      <c r="C807" s="809"/>
      <c r="D807" s="809"/>
      <c r="E807" s="986">
        <f>H493</f>
        <v>0</v>
      </c>
      <c r="F807" s="692" t="s">
        <v>78</v>
      </c>
      <c r="G807" s="809"/>
      <c r="H807" s="809"/>
      <c r="I807" s="809"/>
      <c r="J807" s="896"/>
      <c r="N807" s="274" t="s">
        <v>1266</v>
      </c>
    </row>
    <row r="808" spans="1:14" x14ac:dyDescent="0.2">
      <c r="A808" s="815"/>
      <c r="B808" s="692" t="s">
        <v>1295</v>
      </c>
      <c r="C808" s="809"/>
      <c r="D808" s="809"/>
      <c r="E808" s="986">
        <f>H503</f>
        <v>760</v>
      </c>
      <c r="F808" s="936" t="s">
        <v>78</v>
      </c>
      <c r="G808" s="809"/>
      <c r="H808" s="809"/>
      <c r="I808" s="809"/>
      <c r="J808" s="896"/>
      <c r="N808" s="274" t="s">
        <v>1321</v>
      </c>
    </row>
    <row r="809" spans="1:14" x14ac:dyDescent="0.2">
      <c r="A809" s="815"/>
      <c r="B809" s="692" t="s">
        <v>1322</v>
      </c>
      <c r="C809" s="809"/>
      <c r="D809" s="809"/>
      <c r="E809" s="987">
        <f>H504</f>
        <v>760</v>
      </c>
      <c r="F809" s="936" t="s">
        <v>78</v>
      </c>
      <c r="G809" s="809"/>
      <c r="H809" s="809"/>
      <c r="I809" s="809"/>
      <c r="J809" s="896"/>
      <c r="N809" s="274" t="s">
        <v>1323</v>
      </c>
    </row>
    <row r="810" spans="1:14" x14ac:dyDescent="0.2">
      <c r="A810" s="815"/>
      <c r="B810" s="809"/>
      <c r="C810" s="692" t="s">
        <v>1281</v>
      </c>
      <c r="D810" s="809"/>
      <c r="E810" s="986">
        <f>C505</f>
        <v>16</v>
      </c>
      <c r="F810" s="692" t="s">
        <v>43</v>
      </c>
      <c r="G810" s="809"/>
      <c r="H810" s="809"/>
      <c r="I810" s="809"/>
      <c r="J810" s="896"/>
      <c r="N810" s="274" t="s">
        <v>1266</v>
      </c>
    </row>
    <row r="811" spans="1:14" x14ac:dyDescent="0.2">
      <c r="A811" s="815"/>
      <c r="B811" s="809"/>
      <c r="C811" s="692" t="s">
        <v>1283</v>
      </c>
      <c r="D811" s="809"/>
      <c r="E811" s="986">
        <f>E505</f>
        <v>200</v>
      </c>
      <c r="F811" s="692" t="s">
        <v>43</v>
      </c>
      <c r="G811" s="809"/>
      <c r="H811" s="809"/>
      <c r="I811" s="809"/>
      <c r="J811" s="896"/>
      <c r="N811" s="274" t="s">
        <v>1324</v>
      </c>
    </row>
    <row r="812" spans="1:14" x14ac:dyDescent="0.2">
      <c r="A812" s="815"/>
      <c r="B812" s="809"/>
      <c r="C812" s="692" t="s">
        <v>1284</v>
      </c>
      <c r="D812" s="809"/>
      <c r="E812" s="986">
        <f>H505</f>
        <v>1005.312</v>
      </c>
      <c r="F812" s="692" t="s">
        <v>78</v>
      </c>
      <c r="G812" s="809"/>
      <c r="H812" s="809"/>
      <c r="I812" s="809"/>
      <c r="J812" s="896"/>
      <c r="N812" s="274" t="s">
        <v>1325</v>
      </c>
    </row>
    <row r="813" spans="1:14" x14ac:dyDescent="0.2">
      <c r="A813" s="815"/>
      <c r="B813" s="809"/>
      <c r="C813" s="809"/>
      <c r="D813" s="809"/>
      <c r="E813" s="910"/>
      <c r="F813" s="809"/>
      <c r="G813" s="809"/>
      <c r="H813" s="809"/>
      <c r="I813" s="809"/>
      <c r="J813" s="896"/>
      <c r="N813" s="274" t="s">
        <v>1326</v>
      </c>
    </row>
    <row r="814" spans="1:14" x14ac:dyDescent="0.2">
      <c r="A814" s="815"/>
      <c r="B814" s="917" t="s">
        <v>1327</v>
      </c>
      <c r="C814" s="809"/>
      <c r="D814" s="809"/>
      <c r="E814" s="910"/>
      <c r="F814" s="809"/>
      <c r="G814" s="809"/>
      <c r="H814" s="809"/>
      <c r="I814" s="809"/>
      <c r="J814" s="896"/>
      <c r="N814" s="274" t="s">
        <v>1266</v>
      </c>
    </row>
    <row r="815" spans="1:14" x14ac:dyDescent="0.2">
      <c r="A815" s="815"/>
      <c r="B815" s="692"/>
      <c r="C815" s="809"/>
      <c r="D815" s="809"/>
      <c r="E815" s="910"/>
      <c r="F815" s="809"/>
      <c r="G815" s="809"/>
      <c r="H815" s="809"/>
      <c r="I815" s="809"/>
      <c r="J815" s="896"/>
      <c r="N815" s="274" t="s">
        <v>1266</v>
      </c>
    </row>
    <row r="816" spans="1:14" x14ac:dyDescent="0.2">
      <c r="A816" s="815"/>
      <c r="B816" s="692" t="s">
        <v>1293</v>
      </c>
      <c r="C816" s="809"/>
      <c r="D816" s="809"/>
      <c r="E816" s="986">
        <f>H510</f>
        <v>2311.0397542286119</v>
      </c>
      <c r="F816" s="692" t="s">
        <v>78</v>
      </c>
      <c r="G816" s="809"/>
      <c r="H816" s="809"/>
      <c r="I816" s="809"/>
      <c r="J816" s="896"/>
      <c r="N816" s="274" t="s">
        <v>1266</v>
      </c>
    </row>
    <row r="817" spans="1:14" x14ac:dyDescent="0.2">
      <c r="A817" s="815"/>
      <c r="B817" s="692" t="s">
        <v>1295</v>
      </c>
      <c r="C817" s="809"/>
      <c r="D817" s="809"/>
      <c r="E817" s="986">
        <f>H517</f>
        <v>380</v>
      </c>
      <c r="F817" s="692" t="s">
        <v>78</v>
      </c>
      <c r="G817" s="809"/>
      <c r="H817" s="809"/>
      <c r="I817" s="809"/>
      <c r="J817" s="896"/>
      <c r="N817" s="274" t="s">
        <v>1266</v>
      </c>
    </row>
    <row r="818" spans="1:14" x14ac:dyDescent="0.2">
      <c r="A818" s="815"/>
      <c r="B818" s="692" t="s">
        <v>1279</v>
      </c>
      <c r="C818" s="809"/>
      <c r="D818" s="809"/>
      <c r="E818" s="987">
        <f>H518</f>
        <v>2311.0397542286119</v>
      </c>
      <c r="F818" s="692" t="s">
        <v>78</v>
      </c>
      <c r="G818" s="809"/>
      <c r="H818" s="809"/>
      <c r="I818" s="809"/>
      <c r="J818" s="896"/>
      <c r="N818" s="274" t="s">
        <v>1266</v>
      </c>
    </row>
    <row r="819" spans="1:14" x14ac:dyDescent="0.2">
      <c r="A819" s="815"/>
      <c r="B819" s="809"/>
      <c r="C819" s="692" t="s">
        <v>1281</v>
      </c>
      <c r="D819" s="809"/>
      <c r="E819" s="986">
        <f>C519</f>
        <v>20</v>
      </c>
      <c r="F819" s="692" t="s">
        <v>43</v>
      </c>
      <c r="G819" s="809"/>
      <c r="H819" s="809"/>
      <c r="I819" s="809"/>
      <c r="J819" s="896"/>
      <c r="N819" s="274" t="s">
        <v>1266</v>
      </c>
    </row>
    <row r="820" spans="1:14" x14ac:dyDescent="0.2">
      <c r="A820" s="815"/>
      <c r="B820" s="809"/>
      <c r="C820" s="692" t="s">
        <v>1283</v>
      </c>
      <c r="D820" s="809"/>
      <c r="E820" s="986">
        <f>E519</f>
        <v>125</v>
      </c>
      <c r="F820" s="692" t="s">
        <v>43</v>
      </c>
      <c r="G820" s="809"/>
      <c r="H820" s="809"/>
      <c r="I820" s="809"/>
      <c r="J820" s="896"/>
      <c r="N820" s="274" t="s">
        <v>1328</v>
      </c>
    </row>
    <row r="821" spans="1:14" x14ac:dyDescent="0.2">
      <c r="A821" s="815"/>
      <c r="B821" s="809"/>
      <c r="C821" s="692" t="s">
        <v>1284</v>
      </c>
      <c r="D821" s="809"/>
      <c r="E821" s="986">
        <f>H519</f>
        <v>2513.2800000000002</v>
      </c>
      <c r="F821" s="692" t="s">
        <v>78</v>
      </c>
      <c r="G821" s="809"/>
      <c r="H821" s="809"/>
      <c r="I821" s="809"/>
      <c r="J821" s="896"/>
      <c r="N821" s="274" t="s">
        <v>1329</v>
      </c>
    </row>
    <row r="822" spans="1:14" x14ac:dyDescent="0.2">
      <c r="A822" s="815"/>
      <c r="B822" s="809"/>
      <c r="C822" s="809"/>
      <c r="D822" s="809"/>
      <c r="E822" s="809"/>
      <c r="F822" s="809"/>
      <c r="G822" s="809"/>
      <c r="H822" s="809"/>
      <c r="I822" s="809"/>
      <c r="J822" s="896"/>
      <c r="N822" s="274" t="s">
        <v>1330</v>
      </c>
    </row>
    <row r="823" spans="1:14" x14ac:dyDescent="0.2">
      <c r="A823" s="815"/>
      <c r="B823" s="809"/>
      <c r="C823" s="809"/>
      <c r="D823" s="809"/>
      <c r="E823" s="809"/>
      <c r="F823" s="809"/>
      <c r="G823" s="809"/>
      <c r="H823" s="809"/>
      <c r="I823" s="809"/>
      <c r="J823" s="896"/>
      <c r="N823" s="274" t="s">
        <v>1331</v>
      </c>
    </row>
    <row r="824" spans="1:14" x14ac:dyDescent="0.2">
      <c r="A824" s="898" t="s">
        <v>950</v>
      </c>
      <c r="B824" s="809"/>
      <c r="C824" s="809"/>
      <c r="D824" s="809"/>
      <c r="E824" s="809"/>
      <c r="F824" s="809"/>
      <c r="G824" s="809"/>
      <c r="H824" s="809"/>
      <c r="I824" s="809"/>
      <c r="J824" s="896"/>
      <c r="N824" s="274" t="s">
        <v>1332</v>
      </c>
    </row>
    <row r="825" spans="1:14" x14ac:dyDescent="0.2">
      <c r="A825" s="815"/>
      <c r="B825" s="917" t="s">
        <v>1333</v>
      </c>
      <c r="C825" s="809"/>
      <c r="D825" s="809"/>
      <c r="E825" s="809"/>
      <c r="F825" s="809"/>
      <c r="G825" s="809"/>
      <c r="H825" s="809"/>
      <c r="I825" s="809"/>
      <c r="J825" s="896"/>
      <c r="N825" s="274" t="s">
        <v>1334</v>
      </c>
    </row>
    <row r="826" spans="1:14" x14ac:dyDescent="0.2">
      <c r="A826" s="815"/>
      <c r="B826" s="809"/>
      <c r="C826" s="809"/>
      <c r="D826" s="809"/>
      <c r="E826" s="809"/>
      <c r="F826" s="809"/>
      <c r="G826" s="809"/>
      <c r="H826" s="809"/>
      <c r="I826" s="809"/>
      <c r="J826" s="896"/>
      <c r="N826" s="274" t="s">
        <v>1266</v>
      </c>
    </row>
    <row r="827" spans="1:14" x14ac:dyDescent="0.2">
      <c r="A827" s="815"/>
      <c r="B827" s="692" t="s">
        <v>1335</v>
      </c>
      <c r="C827" s="809"/>
      <c r="D827" s="809"/>
      <c r="E827" s="908">
        <f>E539</f>
        <v>134.72615154472098</v>
      </c>
      <c r="F827" s="692" t="s">
        <v>58</v>
      </c>
      <c r="G827" s="809"/>
      <c r="H827" s="809"/>
      <c r="I827" s="809"/>
      <c r="J827" s="896"/>
      <c r="N827" s="274" t="s">
        <v>1336</v>
      </c>
    </row>
    <row r="828" spans="1:14" x14ac:dyDescent="0.2">
      <c r="A828" s="815"/>
      <c r="B828" s="692" t="s">
        <v>1268</v>
      </c>
      <c r="C828" s="809"/>
      <c r="D828" s="809"/>
      <c r="E828" s="920">
        <f>E540</f>
        <v>327.90756222143426</v>
      </c>
      <c r="F828" s="692" t="s">
        <v>43</v>
      </c>
      <c r="G828" s="809"/>
      <c r="H828" s="809"/>
      <c r="I828" s="809"/>
      <c r="J828" s="896"/>
      <c r="N828" s="274" t="s">
        <v>1337</v>
      </c>
    </row>
    <row r="829" spans="1:14" x14ac:dyDescent="0.2">
      <c r="A829" s="815"/>
      <c r="B829" s="692" t="s">
        <v>1338</v>
      </c>
      <c r="C829" s="809"/>
      <c r="D829" s="809"/>
      <c r="E829" s="908">
        <f>E543</f>
        <v>180.74525617675678</v>
      </c>
      <c r="F829" s="692" t="s">
        <v>57</v>
      </c>
      <c r="G829" s="809"/>
      <c r="H829" s="809"/>
      <c r="I829" s="809"/>
      <c r="J829" s="896"/>
      <c r="N829" s="274" t="s">
        <v>1339</v>
      </c>
    </row>
    <row r="830" spans="1:14" x14ac:dyDescent="0.2">
      <c r="A830" s="815"/>
      <c r="B830" s="692" t="s">
        <v>1271</v>
      </c>
      <c r="C830" s="809"/>
      <c r="D830" s="809"/>
      <c r="E830" s="920">
        <f>E544</f>
        <v>421.65545624654976</v>
      </c>
      <c r="F830" s="692" t="s">
        <v>43</v>
      </c>
      <c r="G830" s="809"/>
      <c r="H830" s="809"/>
      <c r="I830" s="809"/>
      <c r="J830" s="896"/>
      <c r="N830" s="274" t="s">
        <v>1340</v>
      </c>
    </row>
    <row r="831" spans="1:14" x14ac:dyDescent="0.2">
      <c r="A831" s="815"/>
      <c r="B831" s="692" t="s">
        <v>1272</v>
      </c>
      <c r="C831" s="809"/>
      <c r="D831" s="809"/>
      <c r="E831" s="920">
        <f>G548</f>
        <v>496.65545624654976</v>
      </c>
      <c r="F831" s="692" t="s">
        <v>43</v>
      </c>
      <c r="G831" s="809"/>
      <c r="H831" s="809"/>
      <c r="I831" s="809"/>
      <c r="J831" s="896"/>
      <c r="N831" s="274" t="s">
        <v>1341</v>
      </c>
    </row>
    <row r="832" spans="1:14" x14ac:dyDescent="0.2">
      <c r="A832" s="815"/>
      <c r="B832" s="692" t="s">
        <v>1274</v>
      </c>
      <c r="C832" s="809"/>
      <c r="D832" s="809"/>
      <c r="E832" s="920">
        <f>G549</f>
        <v>700</v>
      </c>
      <c r="F832" s="692" t="s">
        <v>43</v>
      </c>
      <c r="G832" s="809"/>
      <c r="H832" s="809"/>
      <c r="I832" s="809"/>
      <c r="J832" s="896"/>
      <c r="N832" s="274" t="s">
        <v>1342</v>
      </c>
    </row>
    <row r="833" spans="1:14" x14ac:dyDescent="0.2">
      <c r="A833" s="815"/>
      <c r="B833" s="809"/>
      <c r="C833" s="809"/>
      <c r="D833" s="809"/>
      <c r="E833" s="809"/>
      <c r="F833" s="809"/>
      <c r="G833" s="809"/>
      <c r="H833" s="809"/>
      <c r="I833" s="809"/>
      <c r="J833" s="896"/>
      <c r="N833" s="274" t="s">
        <v>1266</v>
      </c>
    </row>
    <row r="834" spans="1:14" x14ac:dyDescent="0.2">
      <c r="A834" s="815"/>
      <c r="B834" s="692" t="s">
        <v>1343</v>
      </c>
      <c r="C834" s="809"/>
      <c r="D834" s="809"/>
      <c r="E834" s="908">
        <f>E558</f>
        <v>259.75446011666918</v>
      </c>
      <c r="F834" s="692" t="s">
        <v>58</v>
      </c>
      <c r="G834" s="809"/>
      <c r="H834" s="809"/>
      <c r="I834" s="809"/>
      <c r="J834" s="896"/>
      <c r="N834" s="274" t="s">
        <v>1266</v>
      </c>
    </row>
    <row r="835" spans="1:14" x14ac:dyDescent="0.2">
      <c r="A835" s="815"/>
      <c r="B835" s="692" t="s">
        <v>1268</v>
      </c>
      <c r="C835" s="809"/>
      <c r="D835" s="809"/>
      <c r="E835" s="920">
        <f>E559</f>
        <v>455.30978840383511</v>
      </c>
      <c r="F835" s="692" t="s">
        <v>43</v>
      </c>
      <c r="G835" s="809"/>
      <c r="H835" s="809"/>
      <c r="I835" s="809"/>
      <c r="J835" s="896"/>
      <c r="N835" s="274" t="s">
        <v>1266</v>
      </c>
    </row>
    <row r="836" spans="1:14" x14ac:dyDescent="0.2">
      <c r="A836" s="815"/>
      <c r="B836" s="692" t="s">
        <v>1344</v>
      </c>
      <c r="C836" s="809"/>
      <c r="D836" s="809"/>
      <c r="E836" s="908">
        <f>E562</f>
        <v>318.98859085331969</v>
      </c>
      <c r="F836" s="692" t="s">
        <v>57</v>
      </c>
      <c r="G836" s="809"/>
      <c r="H836" s="809"/>
      <c r="I836" s="809"/>
      <c r="J836" s="896"/>
      <c r="N836" s="274" t="s">
        <v>1345</v>
      </c>
    </row>
    <row r="837" spans="1:14" x14ac:dyDescent="0.2">
      <c r="A837" s="815"/>
      <c r="B837" s="692" t="s">
        <v>1271</v>
      </c>
      <c r="C837" s="809"/>
      <c r="D837" s="809"/>
      <c r="E837" s="920">
        <f>E563</f>
        <v>744.15939128253126</v>
      </c>
      <c r="F837" s="692" t="s">
        <v>43</v>
      </c>
      <c r="G837" s="809"/>
      <c r="H837" s="809"/>
      <c r="I837" s="809"/>
      <c r="J837" s="896"/>
      <c r="N837" s="274" t="s">
        <v>1266</v>
      </c>
    </row>
    <row r="838" spans="1:14" x14ac:dyDescent="0.2">
      <c r="A838" s="815"/>
      <c r="B838" s="692" t="s">
        <v>1272</v>
      </c>
      <c r="C838" s="809"/>
      <c r="D838" s="809"/>
      <c r="E838" s="920">
        <f>G567</f>
        <v>819.15939128253126</v>
      </c>
      <c r="F838" s="692" t="s">
        <v>43</v>
      </c>
      <c r="G838" s="809"/>
      <c r="H838" s="809"/>
      <c r="I838" s="809"/>
      <c r="J838" s="896"/>
      <c r="N838" s="274" t="s">
        <v>1346</v>
      </c>
    </row>
    <row r="839" spans="1:14" x14ac:dyDescent="0.2">
      <c r="A839" s="815"/>
      <c r="B839" s="692" t="s">
        <v>1274</v>
      </c>
      <c r="C839" s="809"/>
      <c r="D839" s="809"/>
      <c r="E839" s="920">
        <f>G568</f>
        <v>700</v>
      </c>
      <c r="F839" s="692" t="s">
        <v>43</v>
      </c>
      <c r="G839" s="809"/>
      <c r="H839" s="809"/>
      <c r="I839" s="809"/>
      <c r="J839" s="896"/>
      <c r="N839" s="274" t="s">
        <v>1347</v>
      </c>
    </row>
    <row r="840" spans="1:14" x14ac:dyDescent="0.2">
      <c r="A840" s="815"/>
      <c r="B840" s="809"/>
      <c r="C840" s="809"/>
      <c r="D840" s="809"/>
      <c r="E840" s="809"/>
      <c r="F840" s="809"/>
      <c r="G840" s="809"/>
      <c r="H840" s="809"/>
      <c r="I840" s="809"/>
      <c r="J840" s="896"/>
      <c r="N840" s="274" t="s">
        <v>1348</v>
      </c>
    </row>
    <row r="841" spans="1:14" x14ac:dyDescent="0.2">
      <c r="A841" s="815"/>
      <c r="B841" s="809"/>
      <c r="C841" s="809"/>
      <c r="D841" s="809"/>
      <c r="E841" s="809"/>
      <c r="F841" s="809"/>
      <c r="G841" s="809"/>
      <c r="H841" s="809"/>
      <c r="I841" s="809"/>
      <c r="J841" s="896"/>
      <c r="N841" s="274" t="s">
        <v>1266</v>
      </c>
    </row>
    <row r="842" spans="1:14" x14ac:dyDescent="0.2">
      <c r="A842" s="815"/>
      <c r="B842" s="917" t="s">
        <v>1349</v>
      </c>
      <c r="C842" s="809"/>
      <c r="D842" s="809"/>
      <c r="E842" s="809"/>
      <c r="F842" s="809"/>
      <c r="G842" s="809"/>
      <c r="H842" s="809"/>
      <c r="I842" s="809"/>
      <c r="J842" s="896"/>
      <c r="N842" s="274" t="s">
        <v>1350</v>
      </c>
    </row>
    <row r="843" spans="1:14" x14ac:dyDescent="0.2">
      <c r="A843" s="815"/>
      <c r="B843" s="692"/>
      <c r="C843" s="809"/>
      <c r="D843" s="809"/>
      <c r="E843" s="809"/>
      <c r="F843" s="809"/>
      <c r="G843" s="809"/>
      <c r="H843" s="809"/>
      <c r="I843" s="809"/>
      <c r="J843" s="896"/>
      <c r="N843" s="274" t="s">
        <v>1266</v>
      </c>
    </row>
    <row r="844" spans="1:14" x14ac:dyDescent="0.2">
      <c r="A844" s="815"/>
      <c r="B844" s="692" t="s">
        <v>1351</v>
      </c>
      <c r="C844" s="809"/>
      <c r="D844" s="809"/>
      <c r="E844" s="920">
        <f>H584</f>
        <v>950.00000000000011</v>
      </c>
      <c r="F844" s="692" t="s">
        <v>78</v>
      </c>
      <c r="G844" s="809"/>
      <c r="H844" s="809"/>
      <c r="I844" s="809"/>
      <c r="J844" s="896"/>
      <c r="N844" s="274" t="s">
        <v>1352</v>
      </c>
    </row>
    <row r="845" spans="1:14" x14ac:dyDescent="0.2">
      <c r="A845" s="815"/>
      <c r="B845" s="692" t="s">
        <v>1279</v>
      </c>
      <c r="C845" s="809"/>
      <c r="D845" s="809"/>
      <c r="E845" s="809"/>
      <c r="F845" s="809"/>
      <c r="G845" s="809"/>
      <c r="H845" s="809"/>
      <c r="I845" s="809"/>
      <c r="J845" s="896"/>
      <c r="N845" s="274" t="s">
        <v>1353</v>
      </c>
    </row>
    <row r="846" spans="1:14" x14ac:dyDescent="0.2">
      <c r="A846" s="815"/>
      <c r="B846" s="809"/>
      <c r="C846" s="692" t="s">
        <v>1281</v>
      </c>
      <c r="D846" s="809"/>
      <c r="E846" s="920">
        <f>C585</f>
        <v>16</v>
      </c>
      <c r="F846" s="692" t="s">
        <v>43</v>
      </c>
      <c r="G846" s="809"/>
      <c r="H846" s="809"/>
      <c r="I846" s="809"/>
      <c r="J846" s="896"/>
      <c r="N846" s="274" t="s">
        <v>1354</v>
      </c>
    </row>
    <row r="847" spans="1:14" x14ac:dyDescent="0.2">
      <c r="A847" s="815"/>
      <c r="B847" s="809"/>
      <c r="C847" s="692" t="s">
        <v>1283</v>
      </c>
      <c r="D847" s="809"/>
      <c r="E847" s="920">
        <f>E585</f>
        <v>200</v>
      </c>
      <c r="F847" s="692" t="s">
        <v>43</v>
      </c>
      <c r="G847" s="809"/>
      <c r="H847" s="809"/>
      <c r="I847" s="809"/>
      <c r="J847" s="896"/>
      <c r="N847" s="274" t="s">
        <v>1266</v>
      </c>
    </row>
    <row r="848" spans="1:14" x14ac:dyDescent="0.2">
      <c r="A848" s="815"/>
      <c r="B848" s="809"/>
      <c r="C848" s="692" t="s">
        <v>1284</v>
      </c>
      <c r="D848" s="809"/>
      <c r="E848" s="920">
        <f>H585</f>
        <v>1005.312</v>
      </c>
      <c r="F848" s="692" t="s">
        <v>78</v>
      </c>
      <c r="G848" s="809"/>
      <c r="H848" s="809"/>
      <c r="I848" s="809"/>
      <c r="J848" s="896"/>
      <c r="N848" s="274" t="s">
        <v>1266</v>
      </c>
    </row>
    <row r="849" spans="1:14" x14ac:dyDescent="0.2">
      <c r="A849" s="815"/>
      <c r="B849" s="809"/>
      <c r="C849" s="809"/>
      <c r="D849" s="809"/>
      <c r="E849" s="809"/>
      <c r="F849" s="809"/>
      <c r="G849" s="809"/>
      <c r="H849" s="809"/>
      <c r="I849" s="809"/>
      <c r="J849" s="896"/>
      <c r="N849" s="274" t="s">
        <v>1266</v>
      </c>
    </row>
    <row r="850" spans="1:14" x14ac:dyDescent="0.2">
      <c r="A850" s="815"/>
      <c r="B850" s="692" t="s">
        <v>1355</v>
      </c>
      <c r="C850" s="809"/>
      <c r="D850" s="809"/>
      <c r="E850" s="920">
        <f>H586</f>
        <v>570.00000000000011</v>
      </c>
      <c r="F850" s="692" t="s">
        <v>78</v>
      </c>
      <c r="G850" s="809"/>
      <c r="H850" s="809"/>
      <c r="I850" s="809"/>
      <c r="J850" s="896"/>
      <c r="N850" s="274" t="s">
        <v>1356</v>
      </c>
    </row>
    <row r="851" spans="1:14" x14ac:dyDescent="0.2">
      <c r="A851" s="815"/>
      <c r="B851" s="692" t="s">
        <v>1279</v>
      </c>
      <c r="C851" s="809"/>
      <c r="D851" s="809"/>
      <c r="E851" s="809"/>
      <c r="F851" s="809"/>
      <c r="G851" s="809"/>
      <c r="H851" s="809"/>
      <c r="I851" s="809"/>
      <c r="J851" s="896"/>
      <c r="N851" s="274" t="s">
        <v>1357</v>
      </c>
    </row>
    <row r="852" spans="1:14" x14ac:dyDescent="0.2">
      <c r="A852" s="815"/>
      <c r="B852" s="809"/>
      <c r="C852" s="692" t="s">
        <v>1281</v>
      </c>
      <c r="D852" s="809"/>
      <c r="E852" s="920">
        <f>C587</f>
        <v>16</v>
      </c>
      <c r="F852" s="692" t="s">
        <v>43</v>
      </c>
      <c r="G852" s="809"/>
      <c r="H852" s="809"/>
      <c r="I852" s="809"/>
      <c r="J852" s="896"/>
      <c r="N852" s="274" t="s">
        <v>1358</v>
      </c>
    </row>
    <row r="853" spans="1:14" x14ac:dyDescent="0.2">
      <c r="A853" s="815"/>
      <c r="B853" s="809"/>
      <c r="C853" s="692" t="s">
        <v>1283</v>
      </c>
      <c r="D853" s="809"/>
      <c r="E853" s="920">
        <f>E587</f>
        <v>250</v>
      </c>
      <c r="F853" s="692" t="s">
        <v>43</v>
      </c>
      <c r="G853" s="809"/>
      <c r="H853" s="809"/>
      <c r="I853" s="809"/>
      <c r="J853" s="896"/>
      <c r="N853" s="274" t="s">
        <v>1359</v>
      </c>
    </row>
    <row r="854" spans="1:14" x14ac:dyDescent="0.2">
      <c r="A854" s="815"/>
      <c r="B854" s="809"/>
      <c r="C854" s="692" t="s">
        <v>1284</v>
      </c>
      <c r="D854" s="809"/>
      <c r="E854" s="920">
        <f>H587</f>
        <v>804.24959999999999</v>
      </c>
      <c r="F854" s="692" t="s">
        <v>78</v>
      </c>
      <c r="G854" s="809"/>
      <c r="H854" s="809"/>
      <c r="I854" s="809"/>
      <c r="J854" s="896"/>
      <c r="N854" s="274" t="s">
        <v>1360</v>
      </c>
    </row>
    <row r="855" spans="1:14" x14ac:dyDescent="0.2">
      <c r="A855" s="815"/>
      <c r="B855" s="809"/>
      <c r="C855" s="809"/>
      <c r="D855" s="809"/>
      <c r="E855" s="809"/>
      <c r="F855" s="809"/>
      <c r="G855" s="809"/>
      <c r="H855" s="809"/>
      <c r="I855" s="809"/>
      <c r="J855" s="896"/>
      <c r="N855" s="274" t="s">
        <v>1361</v>
      </c>
    </row>
    <row r="856" spans="1:14" x14ac:dyDescent="0.2">
      <c r="A856" s="815"/>
      <c r="B856" s="917" t="s">
        <v>1362</v>
      </c>
      <c r="C856" s="809"/>
      <c r="D856" s="809"/>
      <c r="E856" s="809"/>
      <c r="F856" s="809"/>
      <c r="G856" s="809"/>
      <c r="H856" s="809"/>
      <c r="I856" s="809"/>
      <c r="J856" s="896"/>
      <c r="N856" s="274" t="s">
        <v>1266</v>
      </c>
    </row>
    <row r="857" spans="1:14" x14ac:dyDescent="0.2">
      <c r="A857" s="815"/>
      <c r="B857" s="692"/>
      <c r="C857" s="809"/>
      <c r="D857" s="809"/>
      <c r="E857" s="809"/>
      <c r="F857" s="809"/>
      <c r="G857" s="809"/>
      <c r="H857" s="809"/>
      <c r="I857" s="809"/>
      <c r="J857" s="896"/>
      <c r="N857" s="274" t="s">
        <v>1363</v>
      </c>
    </row>
    <row r="858" spans="1:14" x14ac:dyDescent="0.2">
      <c r="A858" s="815"/>
      <c r="B858" s="692" t="s">
        <v>1364</v>
      </c>
      <c r="C858" s="809"/>
      <c r="D858" s="809"/>
      <c r="E858" s="908">
        <f>E593</f>
        <v>202.72302636322095</v>
      </c>
      <c r="F858" s="692" t="s">
        <v>58</v>
      </c>
      <c r="G858" s="809"/>
      <c r="H858" s="809"/>
      <c r="I858" s="809"/>
      <c r="J858" s="896"/>
      <c r="N858" s="274" t="s">
        <v>1365</v>
      </c>
    </row>
    <row r="859" spans="1:14" x14ac:dyDescent="0.2">
      <c r="A859" s="815"/>
      <c r="B859" s="692" t="s">
        <v>1366</v>
      </c>
      <c r="C859" s="809"/>
      <c r="D859" s="809"/>
      <c r="E859" s="920">
        <f>H598</f>
        <v>700</v>
      </c>
      <c r="F859" s="692" t="s">
        <v>43</v>
      </c>
      <c r="G859" s="809"/>
      <c r="H859" s="809"/>
      <c r="I859" s="809"/>
      <c r="J859" s="896"/>
      <c r="N859" s="274" t="s">
        <v>1266</v>
      </c>
    </row>
    <row r="860" spans="1:14" x14ac:dyDescent="0.2">
      <c r="A860" s="815"/>
      <c r="B860" s="692" t="s">
        <v>1367</v>
      </c>
      <c r="C860" s="809"/>
      <c r="D860" s="809"/>
      <c r="E860" s="920">
        <f>H599</f>
        <v>700</v>
      </c>
      <c r="F860" s="692" t="s">
        <v>43</v>
      </c>
      <c r="G860" s="809"/>
      <c r="H860" s="809"/>
      <c r="I860" s="809"/>
      <c r="J860" s="896"/>
      <c r="N860" s="274" t="s">
        <v>1368</v>
      </c>
    </row>
    <row r="861" spans="1:14" x14ac:dyDescent="0.2">
      <c r="A861" s="815"/>
      <c r="B861" s="692" t="s">
        <v>1369</v>
      </c>
      <c r="C861" s="809"/>
      <c r="D861" s="809"/>
      <c r="E861" s="908">
        <f>H600</f>
        <v>6.4</v>
      </c>
      <c r="F861" s="692" t="s">
        <v>24</v>
      </c>
      <c r="G861" s="809"/>
      <c r="H861" s="809"/>
      <c r="I861" s="809"/>
      <c r="J861" s="896"/>
      <c r="N861" s="274" t="s">
        <v>1370</v>
      </c>
    </row>
    <row r="862" spans="1:14" x14ac:dyDescent="0.2">
      <c r="A862" s="815"/>
      <c r="B862" s="692" t="s">
        <v>1371</v>
      </c>
      <c r="C862" s="809"/>
      <c r="D862" s="809"/>
      <c r="E862" s="908">
        <f>H601</f>
        <v>3.2669130864764155</v>
      </c>
      <c r="F862" s="692" t="s">
        <v>24</v>
      </c>
      <c r="G862" s="937"/>
      <c r="H862" s="809"/>
      <c r="I862" s="809"/>
      <c r="J862" s="896"/>
      <c r="N862" s="274" t="s">
        <v>1372</v>
      </c>
    </row>
    <row r="863" spans="1:14" x14ac:dyDescent="0.2">
      <c r="A863" s="815"/>
      <c r="B863" s="692" t="s">
        <v>1373</v>
      </c>
      <c r="C863" s="809"/>
      <c r="D863" s="809"/>
      <c r="E863" s="920">
        <f>H603</f>
        <v>700</v>
      </c>
      <c r="F863" s="692" t="s">
        <v>43</v>
      </c>
      <c r="G863" s="809"/>
      <c r="H863" s="809"/>
      <c r="I863" s="809"/>
      <c r="J863" s="896"/>
      <c r="N863" s="274" t="s">
        <v>1266</v>
      </c>
    </row>
    <row r="864" spans="1:14" x14ac:dyDescent="0.2">
      <c r="A864" s="815"/>
      <c r="B864" s="809"/>
      <c r="C864" s="809"/>
      <c r="D864" s="809"/>
      <c r="E864" s="809"/>
      <c r="F864" s="809"/>
      <c r="G864" s="809"/>
      <c r="H864" s="809"/>
      <c r="I864" s="809"/>
      <c r="J864" s="896"/>
      <c r="N864" s="274" t="s">
        <v>1266</v>
      </c>
    </row>
    <row r="865" spans="1:14" x14ac:dyDescent="0.2">
      <c r="A865" s="815"/>
      <c r="B865" s="692" t="s">
        <v>1374</v>
      </c>
      <c r="C865" s="809"/>
      <c r="D865" s="809"/>
      <c r="E865" s="986">
        <f>H605</f>
        <v>1947.9205501900194</v>
      </c>
      <c r="F865" s="692" t="s">
        <v>78</v>
      </c>
      <c r="G865" s="809"/>
      <c r="H865" s="809"/>
      <c r="I865" s="809"/>
      <c r="J865" s="896"/>
      <c r="N865" s="274" t="s">
        <v>1266</v>
      </c>
    </row>
    <row r="866" spans="1:14" x14ac:dyDescent="0.2">
      <c r="A866" s="815"/>
      <c r="B866" s="692" t="s">
        <v>1295</v>
      </c>
      <c r="C866" s="809"/>
      <c r="D866" s="809"/>
      <c r="E866" s="986">
        <f>H612</f>
        <v>760</v>
      </c>
      <c r="F866" s="692" t="s">
        <v>78</v>
      </c>
      <c r="G866" s="809"/>
      <c r="H866" s="809"/>
      <c r="I866" s="809"/>
      <c r="J866" s="896"/>
      <c r="N866" s="274" t="s">
        <v>1266</v>
      </c>
    </row>
    <row r="867" spans="1:14" x14ac:dyDescent="0.2">
      <c r="A867" s="815"/>
      <c r="B867" s="692" t="s">
        <v>1279</v>
      </c>
      <c r="C867" s="809"/>
      <c r="D867" s="809"/>
      <c r="E867" s="987">
        <f>H613</f>
        <v>1947.9205501900194</v>
      </c>
      <c r="F867" s="692" t="s">
        <v>78</v>
      </c>
      <c r="G867" s="809"/>
      <c r="H867" s="809"/>
      <c r="I867" s="809"/>
      <c r="J867" s="896"/>
      <c r="N867" s="274" t="s">
        <v>1266</v>
      </c>
    </row>
    <row r="868" spans="1:14" x14ac:dyDescent="0.2">
      <c r="A868" s="815"/>
      <c r="B868" s="809"/>
      <c r="C868" s="692" t="s">
        <v>1281</v>
      </c>
      <c r="D868" s="809"/>
      <c r="E868" s="986">
        <f>C614</f>
        <v>20</v>
      </c>
      <c r="F868" s="692" t="s">
        <v>43</v>
      </c>
      <c r="G868" s="809"/>
      <c r="H868" s="809"/>
      <c r="I868" s="809"/>
      <c r="J868" s="896"/>
      <c r="N868" s="274" t="s">
        <v>1375</v>
      </c>
    </row>
    <row r="869" spans="1:14" x14ac:dyDescent="0.2">
      <c r="A869" s="815"/>
      <c r="B869" s="809"/>
      <c r="C869" s="692" t="s">
        <v>1283</v>
      </c>
      <c r="D869" s="809"/>
      <c r="E869" s="986">
        <f>E614</f>
        <v>125</v>
      </c>
      <c r="F869" s="692" t="s">
        <v>43</v>
      </c>
      <c r="G869" s="809"/>
      <c r="H869" s="809"/>
      <c r="I869" s="809"/>
      <c r="J869" s="896"/>
      <c r="N869" s="274" t="s">
        <v>1376</v>
      </c>
    </row>
    <row r="870" spans="1:14" x14ac:dyDescent="0.2">
      <c r="A870" s="815"/>
      <c r="B870" s="809"/>
      <c r="C870" s="692" t="s">
        <v>1284</v>
      </c>
      <c r="D870" s="809"/>
      <c r="E870" s="986">
        <f>H614</f>
        <v>2513.2800000000002</v>
      </c>
      <c r="F870" s="692" t="s">
        <v>78</v>
      </c>
      <c r="G870" s="809"/>
      <c r="H870" s="809"/>
      <c r="I870" s="809"/>
      <c r="J870" s="896"/>
      <c r="N870" s="274" t="s">
        <v>1377</v>
      </c>
    </row>
    <row r="871" spans="1:14" x14ac:dyDescent="0.2">
      <c r="A871" s="815"/>
      <c r="B871" s="809"/>
      <c r="C871" s="809"/>
      <c r="D871" s="809"/>
      <c r="E871" s="910"/>
      <c r="F871" s="809"/>
      <c r="G871" s="809"/>
      <c r="H871" s="809"/>
      <c r="I871" s="809"/>
      <c r="J871" s="896"/>
      <c r="N871" s="274" t="s">
        <v>1378</v>
      </c>
    </row>
    <row r="872" spans="1:14" ht="13.5" thickBot="1" x14ac:dyDescent="0.25">
      <c r="A872" s="819"/>
      <c r="B872" s="821"/>
      <c r="C872" s="821"/>
      <c r="D872" s="821"/>
      <c r="E872" s="821"/>
      <c r="F872" s="821"/>
      <c r="G872" s="821"/>
      <c r="H872" s="821"/>
      <c r="I872" s="927"/>
      <c r="J872" s="928" t="s">
        <v>2391</v>
      </c>
      <c r="N872" s="274" t="s">
        <v>1379</v>
      </c>
    </row>
    <row r="873" spans="1:14" x14ac:dyDescent="0.2">
      <c r="A873" s="934"/>
      <c r="B873" s="935" t="s">
        <v>1380</v>
      </c>
      <c r="C873" s="890"/>
      <c r="D873" s="890"/>
      <c r="E873" s="890"/>
      <c r="F873" s="890"/>
      <c r="G873" s="890"/>
      <c r="H873" s="890"/>
      <c r="I873" s="890"/>
      <c r="J873" s="892"/>
      <c r="N873" s="274" t="s">
        <v>1266</v>
      </c>
    </row>
    <row r="874" spans="1:14" x14ac:dyDescent="0.2">
      <c r="A874" s="815"/>
      <c r="B874" s="692"/>
      <c r="C874" s="809"/>
      <c r="D874" s="809"/>
      <c r="E874" s="809"/>
      <c r="F874" s="809"/>
      <c r="G874" s="809"/>
      <c r="H874" s="809"/>
      <c r="I874" s="809"/>
      <c r="J874" s="896"/>
      <c r="N874" s="274" t="s">
        <v>1381</v>
      </c>
    </row>
    <row r="875" spans="1:14" x14ac:dyDescent="0.2">
      <c r="A875" s="815"/>
      <c r="B875" s="692" t="s">
        <v>1382</v>
      </c>
      <c r="C875" s="809"/>
      <c r="D875" s="809"/>
      <c r="E875" s="908">
        <f>G624</f>
        <v>134.72615154472098</v>
      </c>
      <c r="F875" s="692" t="s">
        <v>58</v>
      </c>
      <c r="G875" s="809"/>
      <c r="H875" s="809"/>
      <c r="I875" s="809"/>
      <c r="J875" s="896"/>
      <c r="N875" s="274" t="s">
        <v>1383</v>
      </c>
    </row>
    <row r="876" spans="1:14" x14ac:dyDescent="0.2">
      <c r="A876" s="815"/>
      <c r="B876" s="692" t="s">
        <v>1384</v>
      </c>
      <c r="C876" s="809"/>
      <c r="D876" s="809"/>
      <c r="E876" s="920">
        <f>G626</f>
        <v>1294.5536772510875</v>
      </c>
      <c r="F876" s="692" t="s">
        <v>78</v>
      </c>
      <c r="G876" s="809"/>
      <c r="H876" s="809"/>
      <c r="I876" s="809"/>
      <c r="J876" s="896"/>
      <c r="N876" s="274" t="s">
        <v>1385</v>
      </c>
    </row>
    <row r="877" spans="1:14" x14ac:dyDescent="0.2">
      <c r="A877" s="815"/>
      <c r="B877" s="692" t="s">
        <v>1386</v>
      </c>
      <c r="C877" s="809"/>
      <c r="D877" s="809"/>
      <c r="E877" s="908">
        <f>G628</f>
        <v>259.75446011666918</v>
      </c>
      <c r="F877" s="692" t="s">
        <v>58</v>
      </c>
      <c r="G877" s="809"/>
      <c r="H877" s="809"/>
      <c r="I877" s="809"/>
      <c r="J877" s="896"/>
      <c r="N877" s="274" t="s">
        <v>1266</v>
      </c>
    </row>
    <row r="878" spans="1:14" x14ac:dyDescent="0.2">
      <c r="A878" s="815"/>
      <c r="B878" s="692" t="s">
        <v>1387</v>
      </c>
      <c r="C878" s="809"/>
      <c r="D878" s="809"/>
      <c r="E878" s="986">
        <f>G630</f>
        <v>2495.9229345669014</v>
      </c>
      <c r="F878" s="692" t="s">
        <v>78</v>
      </c>
      <c r="G878" s="809"/>
      <c r="H878" s="809"/>
      <c r="I878" s="809"/>
      <c r="J878" s="896"/>
      <c r="N878" s="274" t="s">
        <v>1266</v>
      </c>
    </row>
    <row r="879" spans="1:14" x14ac:dyDescent="0.2">
      <c r="A879" s="815"/>
      <c r="B879" s="692" t="s">
        <v>1388</v>
      </c>
      <c r="C879" s="809"/>
      <c r="D879" s="809"/>
      <c r="E879" s="986">
        <f>H642</f>
        <v>380</v>
      </c>
      <c r="F879" s="692" t="s">
        <v>78</v>
      </c>
      <c r="G879" s="809"/>
      <c r="H879" s="809"/>
      <c r="I879" s="809"/>
      <c r="J879" s="896"/>
      <c r="N879" s="274" t="s">
        <v>1266</v>
      </c>
    </row>
    <row r="880" spans="1:14" x14ac:dyDescent="0.2">
      <c r="A880" s="815"/>
      <c r="B880" s="692" t="s">
        <v>1279</v>
      </c>
      <c r="C880" s="809"/>
      <c r="D880" s="809"/>
      <c r="E880" s="987">
        <f>H643</f>
        <v>2495.9229345669014</v>
      </c>
      <c r="F880" s="692" t="s">
        <v>78</v>
      </c>
      <c r="G880" s="809"/>
      <c r="H880" s="809"/>
      <c r="I880" s="809"/>
      <c r="J880" s="896"/>
      <c r="N880" s="274" t="s">
        <v>1266</v>
      </c>
    </row>
    <row r="881" spans="1:14" x14ac:dyDescent="0.2">
      <c r="A881" s="815"/>
      <c r="B881" s="809"/>
      <c r="C881" s="692" t="s">
        <v>1281</v>
      </c>
      <c r="D881" s="809"/>
      <c r="E881" s="1418">
        <f>C644</f>
        <v>20</v>
      </c>
      <c r="F881" s="692" t="s">
        <v>43</v>
      </c>
      <c r="G881" s="809"/>
      <c r="H881" s="809"/>
      <c r="I881" s="809"/>
      <c r="J881" s="896"/>
      <c r="N881" s="274" t="s">
        <v>1266</v>
      </c>
    </row>
    <row r="882" spans="1:14" x14ac:dyDescent="0.2">
      <c r="A882" s="815"/>
      <c r="B882" s="809"/>
      <c r="C882" s="692" t="s">
        <v>1283</v>
      </c>
      <c r="D882" s="809"/>
      <c r="E882" s="1418">
        <f>E644</f>
        <v>100</v>
      </c>
      <c r="F882" s="692" t="s">
        <v>43</v>
      </c>
      <c r="G882" s="809"/>
      <c r="H882" s="809"/>
      <c r="I882" s="809"/>
      <c r="J882" s="896"/>
      <c r="N882" s="274" t="s">
        <v>1389</v>
      </c>
    </row>
    <row r="883" spans="1:14" x14ac:dyDescent="0.2">
      <c r="A883" s="815"/>
      <c r="B883" s="809"/>
      <c r="C883" s="692" t="s">
        <v>1284</v>
      </c>
      <c r="D883" s="809"/>
      <c r="E883" s="1418">
        <f>H644</f>
        <v>3141.6</v>
      </c>
      <c r="F883" s="692" t="s">
        <v>78</v>
      </c>
      <c r="G883" s="809"/>
      <c r="H883" s="809"/>
      <c r="I883" s="809"/>
      <c r="J883" s="896"/>
      <c r="N883" s="274" t="s">
        <v>1390</v>
      </c>
    </row>
    <row r="884" spans="1:14" x14ac:dyDescent="0.2">
      <c r="A884" s="815"/>
      <c r="B884" s="809"/>
      <c r="C884" s="809"/>
      <c r="D884" s="809"/>
      <c r="E884" s="910"/>
      <c r="F884" s="809"/>
      <c r="G884" s="809"/>
      <c r="H884" s="809"/>
      <c r="I884" s="809"/>
      <c r="J884" s="896"/>
      <c r="N884" s="274" t="s">
        <v>1391</v>
      </c>
    </row>
    <row r="885" spans="1:14" x14ac:dyDescent="0.2">
      <c r="A885" s="815"/>
      <c r="B885" s="809" t="str">
        <f>D737</f>
        <v>DR-5</v>
      </c>
      <c r="C885" s="809"/>
      <c r="D885" s="809"/>
      <c r="E885" s="910"/>
      <c r="F885" s="809"/>
      <c r="G885" s="809"/>
      <c r="H885" s="809"/>
      <c r="I885" s="809"/>
      <c r="J885" s="896"/>
      <c r="N885" s="274" t="s">
        <v>1392</v>
      </c>
    </row>
    <row r="886" spans="1:14" x14ac:dyDescent="0.2">
      <c r="A886" s="898" t="s">
        <v>950</v>
      </c>
      <c r="B886" s="809"/>
      <c r="C886" s="809"/>
      <c r="D886" s="809"/>
      <c r="E886" s="809"/>
      <c r="F886" s="809"/>
      <c r="G886" s="809"/>
      <c r="H886" s="809"/>
      <c r="I886" s="809"/>
      <c r="J886" s="896"/>
      <c r="N886" s="274" t="s">
        <v>1393</v>
      </c>
    </row>
    <row r="887" spans="1:14" x14ac:dyDescent="0.2">
      <c r="A887" s="815"/>
      <c r="B887" s="917" t="s">
        <v>1135</v>
      </c>
      <c r="C887" s="809"/>
      <c r="D887" s="809"/>
      <c r="E887" s="809"/>
      <c r="F887" s="809"/>
      <c r="G887" s="809"/>
      <c r="H887" s="809"/>
      <c r="I887" s="809"/>
      <c r="J887" s="896"/>
      <c r="N887" s="274" t="s">
        <v>1394</v>
      </c>
    </row>
    <row r="888" spans="1:14" x14ac:dyDescent="0.2">
      <c r="A888" s="815"/>
      <c r="B888" s="809"/>
      <c r="C888" s="809"/>
      <c r="D888" s="809"/>
      <c r="E888" s="809"/>
      <c r="F888" s="809"/>
      <c r="G888" s="809"/>
      <c r="H888" s="809"/>
      <c r="I888" s="809"/>
      <c r="J888" s="896"/>
      <c r="N888" s="274" t="s">
        <v>1266</v>
      </c>
    </row>
    <row r="889" spans="1:14" x14ac:dyDescent="0.2">
      <c r="A889" s="815"/>
      <c r="B889" s="692" t="s">
        <v>1267</v>
      </c>
      <c r="C889" s="809"/>
      <c r="D889" s="809"/>
      <c r="E889" s="908">
        <f>E655</f>
        <v>0</v>
      </c>
      <c r="F889" s="692" t="s">
        <v>58</v>
      </c>
      <c r="G889" s="809"/>
      <c r="H889" s="809"/>
      <c r="I889" s="809"/>
      <c r="J889" s="896"/>
      <c r="N889" s="274" t="s">
        <v>1266</v>
      </c>
    </row>
    <row r="890" spans="1:14" x14ac:dyDescent="0.2">
      <c r="A890" s="815"/>
      <c r="B890" s="692" t="s">
        <v>1268</v>
      </c>
      <c r="C890" s="809"/>
      <c r="D890" s="809"/>
      <c r="E890" s="920">
        <f>E656</f>
        <v>0</v>
      </c>
      <c r="F890" s="692" t="s">
        <v>43</v>
      </c>
      <c r="G890" s="809"/>
      <c r="H890" s="809"/>
      <c r="I890" s="809"/>
      <c r="J890" s="896"/>
      <c r="N890" s="274" t="s">
        <v>1266</v>
      </c>
    </row>
    <row r="891" spans="1:14" x14ac:dyDescent="0.2">
      <c r="A891" s="815"/>
      <c r="B891" s="692" t="s">
        <v>1269</v>
      </c>
      <c r="C891" s="809"/>
      <c r="D891" s="809"/>
      <c r="E891" s="908">
        <f>E659</f>
        <v>0</v>
      </c>
      <c r="F891" s="692" t="s">
        <v>57</v>
      </c>
      <c r="G891" s="809"/>
      <c r="H891" s="809"/>
      <c r="I891" s="809"/>
      <c r="J891" s="896"/>
      <c r="N891" s="274" t="s">
        <v>1395</v>
      </c>
    </row>
    <row r="892" spans="1:14" x14ac:dyDescent="0.2">
      <c r="A892" s="815"/>
      <c r="B892" s="692" t="s">
        <v>1271</v>
      </c>
      <c r="C892" s="809"/>
      <c r="D892" s="809"/>
      <c r="E892" s="920">
        <f>E660</f>
        <v>0</v>
      </c>
      <c r="F892" s="692" t="s">
        <v>43</v>
      </c>
      <c r="G892" s="809"/>
      <c r="H892" s="809"/>
      <c r="I892" s="809"/>
      <c r="J892" s="896"/>
      <c r="N892" s="274" t="s">
        <v>1396</v>
      </c>
    </row>
    <row r="893" spans="1:14" x14ac:dyDescent="0.2">
      <c r="A893" s="815"/>
      <c r="B893" s="692" t="s">
        <v>1272</v>
      </c>
      <c r="C893" s="809"/>
      <c r="D893" s="809"/>
      <c r="E893" s="920">
        <f>G663</f>
        <v>75</v>
      </c>
      <c r="F893" s="692" t="s">
        <v>43</v>
      </c>
      <c r="G893" s="809"/>
      <c r="H893" s="809"/>
      <c r="I893" s="809"/>
      <c r="J893" s="896"/>
      <c r="N893" s="274" t="s">
        <v>1266</v>
      </c>
    </row>
    <row r="894" spans="1:14" x14ac:dyDescent="0.2">
      <c r="A894" s="815"/>
      <c r="B894" s="692" t="s">
        <v>1274</v>
      </c>
      <c r="C894" s="809"/>
      <c r="D894" s="809"/>
      <c r="E894" s="920">
        <f>G664</f>
        <v>400</v>
      </c>
      <c r="F894" s="692" t="s">
        <v>43</v>
      </c>
      <c r="G894" s="809"/>
      <c r="H894" s="809"/>
      <c r="I894" s="809"/>
      <c r="J894" s="896"/>
      <c r="N894" s="274" t="s">
        <v>1397</v>
      </c>
    </row>
    <row r="895" spans="1:14" x14ac:dyDescent="0.2">
      <c r="A895" s="815"/>
      <c r="B895" s="692"/>
      <c r="C895" s="809"/>
      <c r="D895" s="809"/>
      <c r="E895" s="809"/>
      <c r="F895" s="809"/>
      <c r="G895" s="809"/>
      <c r="H895" s="809"/>
      <c r="I895" s="809"/>
      <c r="J895" s="896"/>
      <c r="N895" s="274" t="s">
        <v>1398</v>
      </c>
    </row>
    <row r="896" spans="1:14" x14ac:dyDescent="0.2">
      <c r="A896" s="815"/>
      <c r="B896" s="809"/>
      <c r="C896" s="809"/>
      <c r="D896" s="809"/>
      <c r="E896" s="809"/>
      <c r="F896" s="809"/>
      <c r="G896" s="809"/>
      <c r="H896" s="809"/>
      <c r="I896" s="809"/>
      <c r="J896" s="896"/>
      <c r="N896" s="274" t="s">
        <v>1399</v>
      </c>
    </row>
    <row r="897" spans="1:14" x14ac:dyDescent="0.2">
      <c r="A897" s="815"/>
      <c r="B897" s="917" t="s">
        <v>1400</v>
      </c>
      <c r="C897" s="809"/>
      <c r="D897" s="809"/>
      <c r="E897" s="809"/>
      <c r="F897" s="809"/>
      <c r="G897" s="809"/>
      <c r="H897" s="809"/>
      <c r="I897" s="809"/>
      <c r="J897" s="896"/>
      <c r="N897" s="274" t="s">
        <v>1401</v>
      </c>
    </row>
    <row r="898" spans="1:14" x14ac:dyDescent="0.2">
      <c r="A898" s="815"/>
      <c r="B898" s="692"/>
      <c r="C898" s="809"/>
      <c r="D898" s="809"/>
      <c r="E898" s="809"/>
      <c r="F898" s="809"/>
      <c r="G898" s="809"/>
      <c r="H898" s="809"/>
      <c r="I898" s="809"/>
      <c r="J898" s="896"/>
    </row>
    <row r="899" spans="1:14" x14ac:dyDescent="0.2">
      <c r="A899" s="815"/>
      <c r="B899" s="692" t="s">
        <v>1293</v>
      </c>
      <c r="C899" s="809"/>
      <c r="D899" s="809"/>
      <c r="E899" s="920">
        <f>E690</f>
        <v>0</v>
      </c>
      <c r="F899" s="692" t="s">
        <v>78</v>
      </c>
      <c r="G899" s="809"/>
      <c r="H899" s="809"/>
      <c r="I899" s="809"/>
      <c r="J899" s="896"/>
    </row>
    <row r="900" spans="1:14" x14ac:dyDescent="0.2">
      <c r="A900" s="815"/>
      <c r="B900" s="692" t="s">
        <v>1295</v>
      </c>
      <c r="C900" s="809"/>
      <c r="D900" s="809"/>
      <c r="E900" s="920">
        <f>H697</f>
        <v>760</v>
      </c>
      <c r="F900" s="692" t="s">
        <v>78</v>
      </c>
      <c r="G900" s="809"/>
      <c r="H900" s="809"/>
      <c r="I900" s="809"/>
      <c r="J900" s="896"/>
    </row>
    <row r="901" spans="1:14" x14ac:dyDescent="0.2">
      <c r="A901" s="815"/>
      <c r="B901" s="692" t="s">
        <v>1279</v>
      </c>
      <c r="C901" s="809"/>
      <c r="D901" s="809"/>
      <c r="E901" s="912">
        <f>H698</f>
        <v>760</v>
      </c>
      <c r="F901" s="692" t="s">
        <v>78</v>
      </c>
      <c r="G901" s="809"/>
      <c r="H901" s="809"/>
      <c r="I901" s="809"/>
      <c r="J901" s="896"/>
      <c r="M901" s="274" t="s">
        <v>1402</v>
      </c>
      <c r="N901" s="274" t="s">
        <v>1403</v>
      </c>
    </row>
    <row r="902" spans="1:14" x14ac:dyDescent="0.2">
      <c r="A902" s="815"/>
      <c r="B902" s="809"/>
      <c r="C902" s="692" t="s">
        <v>1281</v>
      </c>
      <c r="D902" s="809"/>
      <c r="E902" s="920">
        <f>C699</f>
        <v>16</v>
      </c>
      <c r="F902" s="692" t="s">
        <v>43</v>
      </c>
      <c r="G902" s="809"/>
      <c r="H902" s="809"/>
      <c r="I902" s="809"/>
      <c r="J902" s="896"/>
      <c r="N902" s="274" t="s">
        <v>1404</v>
      </c>
    </row>
    <row r="903" spans="1:14" x14ac:dyDescent="0.2">
      <c r="A903" s="815"/>
      <c r="B903" s="809"/>
      <c r="C903" s="692" t="s">
        <v>1283</v>
      </c>
      <c r="D903" s="809"/>
      <c r="E903" s="920">
        <f>E699</f>
        <v>200</v>
      </c>
      <c r="F903" s="692" t="s">
        <v>43</v>
      </c>
      <c r="G903" s="809"/>
      <c r="H903" s="809"/>
      <c r="I903" s="809"/>
      <c r="J903" s="896"/>
      <c r="N903" s="274" t="s">
        <v>1405</v>
      </c>
    </row>
    <row r="904" spans="1:14" x14ac:dyDescent="0.2">
      <c r="A904" s="815"/>
      <c r="B904" s="809"/>
      <c r="C904" s="692" t="s">
        <v>1284</v>
      </c>
      <c r="D904" s="809"/>
      <c r="E904" s="920">
        <f>H699</f>
        <v>1005.312</v>
      </c>
      <c r="F904" s="692" t="s">
        <v>78</v>
      </c>
      <c r="G904" s="809"/>
      <c r="H904" s="809"/>
      <c r="I904" s="809"/>
      <c r="J904" s="896"/>
      <c r="N904" s="274" t="s">
        <v>1406</v>
      </c>
    </row>
    <row r="905" spans="1:14" x14ac:dyDescent="0.2">
      <c r="A905" s="815"/>
      <c r="B905" s="809"/>
      <c r="C905" s="809"/>
      <c r="D905" s="809"/>
      <c r="E905" s="809"/>
      <c r="F905" s="809"/>
      <c r="G905" s="809"/>
      <c r="H905" s="809"/>
      <c r="I905" s="809"/>
      <c r="J905" s="896"/>
      <c r="N905" s="274" t="s">
        <v>1407</v>
      </c>
    </row>
    <row r="906" spans="1:14" x14ac:dyDescent="0.2">
      <c r="A906" s="815"/>
      <c r="B906" s="809"/>
      <c r="C906" s="809"/>
      <c r="D906" s="809"/>
      <c r="E906" s="809"/>
      <c r="F906" s="809"/>
      <c r="G906" s="809"/>
      <c r="H906" s="809"/>
      <c r="I906" s="809"/>
      <c r="J906" s="896"/>
      <c r="N906" s="274" t="s">
        <v>1408</v>
      </c>
    </row>
    <row r="907" spans="1:14" x14ac:dyDescent="0.2">
      <c r="A907" s="815"/>
      <c r="B907" s="809" t="s">
        <v>2024</v>
      </c>
      <c r="C907" s="809"/>
      <c r="D907" s="809"/>
      <c r="E907" s="809"/>
      <c r="F907" s="809">
        <f>H73</f>
        <v>2.9</v>
      </c>
      <c r="G907" s="809" t="s">
        <v>24</v>
      </c>
      <c r="H907" s="809"/>
      <c r="I907" s="809"/>
      <c r="J907" s="896"/>
    </row>
    <row r="908" spans="1:14" x14ac:dyDescent="0.2">
      <c r="A908" s="815"/>
      <c r="B908" s="809"/>
      <c r="C908" s="809"/>
      <c r="D908" s="809"/>
      <c r="E908" s="809"/>
      <c r="F908" s="809"/>
      <c r="G908" s="809"/>
      <c r="H908" s="809"/>
      <c r="I908" s="809"/>
      <c r="J908" s="896"/>
    </row>
    <row r="909" spans="1:14" x14ac:dyDescent="0.2">
      <c r="A909" s="815"/>
      <c r="B909" s="809" t="s">
        <v>2025</v>
      </c>
      <c r="C909" s="809"/>
      <c r="D909" s="809"/>
      <c r="E909" s="809"/>
      <c r="F909" s="809">
        <f>H71</f>
        <v>13.8</v>
      </c>
      <c r="G909" s="809" t="s">
        <v>24</v>
      </c>
      <c r="H909" s="809"/>
      <c r="I909" s="809"/>
      <c r="J909" s="896"/>
    </row>
    <row r="910" spans="1:14" x14ac:dyDescent="0.2">
      <c r="A910" s="815"/>
      <c r="B910" s="809" t="s">
        <v>2026</v>
      </c>
      <c r="C910" s="809"/>
      <c r="D910" s="809"/>
      <c r="E910" s="809"/>
      <c r="F910" s="809">
        <f>'Struct4 wing(RS)'!D1016</f>
        <v>16.2</v>
      </c>
      <c r="G910" s="809" t="s">
        <v>24</v>
      </c>
      <c r="H910" s="809"/>
      <c r="I910" s="809"/>
      <c r="J910" s="896"/>
    </row>
    <row r="911" spans="1:14" x14ac:dyDescent="0.2">
      <c r="A911" s="815"/>
      <c r="B911" s="809" t="s">
        <v>2027</v>
      </c>
      <c r="C911" s="809"/>
      <c r="D911" s="809"/>
      <c r="E911" s="809"/>
      <c r="F911" s="809">
        <f>'Struct4 wing(CS)'!D1058</f>
        <v>16.2</v>
      </c>
      <c r="G911" s="809" t="s">
        <v>24</v>
      </c>
      <c r="H911" s="809"/>
      <c r="I911" s="809"/>
      <c r="J911" s="896"/>
    </row>
    <row r="912" spans="1:14" x14ac:dyDescent="0.2">
      <c r="A912" s="815"/>
      <c r="B912" s="809" t="s">
        <v>2028</v>
      </c>
      <c r="C912" s="809"/>
      <c r="D912" s="809"/>
      <c r="E912" s="809"/>
      <c r="F912" s="809">
        <f>'Struct5-Retwall (RS)'!F29</f>
        <v>2</v>
      </c>
      <c r="G912" s="809" t="s">
        <v>24</v>
      </c>
      <c r="H912" s="809"/>
      <c r="I912" s="809"/>
      <c r="J912" s="896"/>
    </row>
    <row r="913" spans="1:10" x14ac:dyDescent="0.2">
      <c r="A913" s="815"/>
      <c r="B913" s="809" t="s">
        <v>2029</v>
      </c>
      <c r="C913" s="809"/>
      <c r="D913" s="809"/>
      <c r="E913" s="809"/>
      <c r="F913" s="809">
        <f>'Struct5-Retwall(CS)'!F29</f>
        <v>2</v>
      </c>
      <c r="G913" s="809" t="s">
        <v>24</v>
      </c>
      <c r="H913" s="809"/>
      <c r="I913" s="809"/>
      <c r="J913" s="896"/>
    </row>
    <row r="914" spans="1:10" x14ac:dyDescent="0.2">
      <c r="A914" s="815"/>
      <c r="B914" s="809" t="s">
        <v>2030</v>
      </c>
      <c r="C914" s="809"/>
      <c r="D914" s="809"/>
      <c r="E914" s="809"/>
      <c r="F914" s="809">
        <f>SUM(F909:F913)</f>
        <v>50.2</v>
      </c>
      <c r="G914" s="809" t="s">
        <v>24</v>
      </c>
      <c r="H914" s="809"/>
      <c r="I914" s="809"/>
      <c r="J914" s="896"/>
    </row>
    <row r="915" spans="1:10" x14ac:dyDescent="0.2">
      <c r="A915" s="815"/>
      <c r="B915" s="809"/>
      <c r="C915" s="809"/>
      <c r="D915" s="809"/>
      <c r="E915" s="809"/>
      <c r="F915" s="809"/>
      <c r="G915" s="809"/>
      <c r="H915" s="809"/>
      <c r="I915" s="809"/>
      <c r="J915" s="896"/>
    </row>
    <row r="916" spans="1:10" ht="13.5" thickBot="1" x14ac:dyDescent="0.25">
      <c r="A916" s="819"/>
      <c r="B916" s="821"/>
      <c r="C916" s="821"/>
      <c r="D916" s="821"/>
      <c r="E916" s="821"/>
      <c r="F916" s="821"/>
      <c r="G916" s="821"/>
      <c r="H916" s="821"/>
      <c r="I916" s="821"/>
      <c r="J916" s="928" t="s">
        <v>2393</v>
      </c>
    </row>
  </sheetData>
  <mergeCells count="3">
    <mergeCell ref="F727:G727"/>
    <mergeCell ref="H727:I727"/>
    <mergeCell ref="F16:G16"/>
  </mergeCells>
  <pageMargins left="1" right="0.25" top="0.75" bottom="0.75" header="0.3" footer="0.3"/>
  <pageSetup paperSize="9" scale="85" orientation="portrait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1533"/>
  <sheetViews>
    <sheetView topLeftCell="A79" zoomScaleNormal="100" workbookViewId="0">
      <selection activeCell="G450" sqref="G450"/>
    </sheetView>
  </sheetViews>
  <sheetFormatPr defaultColWidth="11" defaultRowHeight="12.75" x14ac:dyDescent="0.2"/>
  <cols>
    <col min="1" max="1" width="5.28515625" style="174" customWidth="1"/>
    <col min="2" max="4" width="11" style="174"/>
    <col min="5" max="5" width="10.42578125" style="174" customWidth="1"/>
    <col min="6" max="6" width="12.85546875" style="174" customWidth="1"/>
    <col min="7" max="7" width="10.140625" style="174" customWidth="1"/>
    <col min="8" max="8" width="8.5703125" style="174" customWidth="1"/>
    <col min="9" max="9" width="10.28515625" style="174" customWidth="1"/>
    <col min="10" max="10" width="7.7109375" style="174" customWidth="1"/>
    <col min="11" max="11" width="2.5703125" style="174" hidden="1" customWidth="1"/>
    <col min="12" max="12" width="9.85546875" style="174" customWidth="1"/>
    <col min="13" max="16384" width="11" style="174"/>
  </cols>
  <sheetData>
    <row r="1" spans="1:20" x14ac:dyDescent="0.2">
      <c r="A1" s="934" t="s">
        <v>2031</v>
      </c>
      <c r="B1" s="890"/>
      <c r="C1" s="890"/>
      <c r="D1" s="890" t="str">
        <f>'Design Data'!C2</f>
        <v>Coastal Embankment Improvement Project Phase-1, CEIP-1.</v>
      </c>
      <c r="E1" s="890"/>
      <c r="F1" s="890"/>
      <c r="G1" s="890"/>
      <c r="H1" s="890"/>
      <c r="I1" s="890"/>
      <c r="J1" s="89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1:20" x14ac:dyDescent="0.2">
      <c r="A2" s="815" t="s">
        <v>2033</v>
      </c>
      <c r="B2" s="809"/>
      <c r="C2" s="809"/>
      <c r="D2" s="988" t="str">
        <f>'Basin (RS)'!D2</f>
        <v>DR-5</v>
      </c>
      <c r="E2" s="809"/>
      <c r="F2" s="809"/>
      <c r="G2" s="809"/>
      <c r="H2" s="809"/>
      <c r="I2" s="809"/>
      <c r="J2" s="896"/>
      <c r="K2" s="832"/>
      <c r="L2" s="832"/>
      <c r="M2" s="832"/>
      <c r="N2" s="832"/>
      <c r="O2" s="832"/>
      <c r="P2" s="832"/>
      <c r="Q2" s="832"/>
      <c r="R2" s="832"/>
      <c r="S2" s="832"/>
      <c r="T2" s="832"/>
    </row>
    <row r="3" spans="1:20" x14ac:dyDescent="0.2">
      <c r="A3" s="898" t="s">
        <v>950</v>
      </c>
      <c r="B3" s="809"/>
      <c r="C3" s="809"/>
      <c r="D3" s="809"/>
      <c r="E3" s="809"/>
      <c r="F3" s="809"/>
      <c r="G3" s="897" t="s">
        <v>1966</v>
      </c>
      <c r="H3" s="809" t="str">
        <f>'Basin (RS)'!H3</f>
        <v>1.50m x 1.80m</v>
      </c>
      <c r="I3" s="809"/>
      <c r="J3" s="896"/>
      <c r="K3" s="832"/>
      <c r="L3" s="989">
        <v>1</v>
      </c>
      <c r="M3" s="990" t="s">
        <v>0</v>
      </c>
      <c r="N3" s="832"/>
      <c r="O3" s="832"/>
      <c r="P3" s="832"/>
      <c r="Q3" s="832"/>
      <c r="R3" s="832"/>
      <c r="S3" s="832"/>
      <c r="T3" s="832"/>
    </row>
    <row r="4" spans="1:20" x14ac:dyDescent="0.2">
      <c r="A4" s="898" t="s">
        <v>1409</v>
      </c>
      <c r="B4" s="809"/>
      <c r="C4" s="809"/>
      <c r="D4" s="809"/>
      <c r="E4" s="809"/>
      <c r="F4" s="809"/>
      <c r="G4" s="809"/>
      <c r="H4" s="809"/>
      <c r="I4" s="809"/>
      <c r="J4" s="896"/>
      <c r="K4" s="832"/>
      <c r="L4" s="989">
        <v>1</v>
      </c>
      <c r="M4" s="990" t="s">
        <v>1</v>
      </c>
      <c r="N4" s="832"/>
      <c r="O4" s="832"/>
      <c r="P4" s="832"/>
      <c r="Q4" s="832"/>
      <c r="R4" s="832"/>
      <c r="S4" s="832"/>
      <c r="T4" s="832"/>
    </row>
    <row r="5" spans="1:20" x14ac:dyDescent="0.2">
      <c r="A5" s="815"/>
      <c r="B5" s="817"/>
      <c r="C5" s="817"/>
      <c r="D5" s="809"/>
      <c r="E5" s="809"/>
      <c r="F5" s="809"/>
      <c r="G5" s="809"/>
      <c r="H5" s="809"/>
      <c r="I5" s="809"/>
      <c r="J5" s="896"/>
      <c r="K5" s="832"/>
      <c r="L5" s="991" t="s">
        <v>2</v>
      </c>
      <c r="M5" s="990" t="s">
        <v>3</v>
      </c>
      <c r="N5" s="832"/>
      <c r="O5" s="832"/>
      <c r="P5" s="832"/>
      <c r="Q5" s="832"/>
      <c r="R5" s="832"/>
      <c r="S5" s="832"/>
      <c r="T5" s="832"/>
    </row>
    <row r="6" spans="1:20" x14ac:dyDescent="0.2">
      <c r="A6" s="898" t="s">
        <v>950</v>
      </c>
      <c r="B6" s="809"/>
      <c r="C6" s="809"/>
      <c r="D6" s="809"/>
      <c r="E6" s="809"/>
      <c r="F6" s="809"/>
      <c r="G6" s="809"/>
      <c r="H6" s="809"/>
      <c r="I6" s="809"/>
      <c r="J6" s="896"/>
      <c r="K6" s="832"/>
      <c r="L6" s="832"/>
      <c r="M6" s="990" t="s">
        <v>4</v>
      </c>
      <c r="N6" s="832"/>
      <c r="O6" s="832"/>
      <c r="P6" s="832"/>
      <c r="Q6" s="832"/>
      <c r="R6" s="832"/>
      <c r="S6" s="832"/>
      <c r="T6" s="832"/>
    </row>
    <row r="7" spans="1:20" x14ac:dyDescent="0.2">
      <c r="A7" s="898" t="s">
        <v>1410</v>
      </c>
      <c r="B7" s="809"/>
      <c r="C7" s="809"/>
      <c r="D7" s="809"/>
      <c r="E7" s="809"/>
      <c r="F7" s="809"/>
      <c r="G7" s="809"/>
      <c r="H7" s="809"/>
      <c r="I7" s="809"/>
      <c r="J7" s="896"/>
      <c r="K7" s="832"/>
      <c r="L7" s="832"/>
      <c r="M7" s="990" t="s">
        <v>5</v>
      </c>
      <c r="N7" s="832"/>
      <c r="O7" s="832"/>
      <c r="P7" s="832"/>
      <c r="Q7" s="832"/>
      <c r="R7" s="832"/>
      <c r="S7" s="832"/>
      <c r="T7" s="832"/>
    </row>
    <row r="8" spans="1:20" x14ac:dyDescent="0.2">
      <c r="A8" s="815"/>
      <c r="B8" s="809"/>
      <c r="C8" s="809"/>
      <c r="D8" s="809"/>
      <c r="E8" s="809"/>
      <c r="F8" s="809"/>
      <c r="G8" s="809"/>
      <c r="H8" s="809"/>
      <c r="I8" s="809"/>
      <c r="J8" s="896"/>
      <c r="K8" s="832"/>
      <c r="L8" s="832"/>
      <c r="M8" s="990" t="s">
        <v>6</v>
      </c>
      <c r="N8" s="832"/>
      <c r="O8" s="832"/>
      <c r="P8" s="832"/>
      <c r="Q8" s="832"/>
      <c r="R8" s="832"/>
      <c r="S8" s="832"/>
      <c r="T8" s="832"/>
    </row>
    <row r="9" spans="1:20" x14ac:dyDescent="0.2">
      <c r="A9" s="815"/>
      <c r="B9" s="1127" t="s">
        <v>962</v>
      </c>
      <c r="C9" s="809"/>
      <c r="D9" s="809"/>
      <c r="E9" s="900">
        <f>'Struct2(Barrel)'!E21</f>
        <v>77</v>
      </c>
      <c r="F9" s="1127" t="s">
        <v>28</v>
      </c>
      <c r="G9" s="809"/>
      <c r="H9" s="809"/>
      <c r="I9" s="809"/>
      <c r="J9" s="896"/>
      <c r="K9" s="832"/>
      <c r="L9" s="832"/>
      <c r="M9" s="990" t="s">
        <v>7</v>
      </c>
      <c r="N9" s="832"/>
      <c r="O9" s="832"/>
      <c r="P9" s="832"/>
      <c r="Q9" s="832"/>
      <c r="R9" s="832"/>
      <c r="S9" s="832"/>
      <c r="T9" s="832"/>
    </row>
    <row r="10" spans="1:20" x14ac:dyDescent="0.2">
      <c r="A10" s="815"/>
      <c r="B10" s="1127" t="s">
        <v>963</v>
      </c>
      <c r="C10" s="809"/>
      <c r="D10" s="809"/>
      <c r="E10" s="900">
        <f>'Struct2(Barrel)'!E22</f>
        <v>23.6</v>
      </c>
      <c r="F10" s="1127" t="s">
        <v>28</v>
      </c>
      <c r="G10" s="809"/>
      <c r="H10" s="809"/>
      <c r="I10" s="809"/>
      <c r="J10" s="896"/>
      <c r="K10" s="832"/>
      <c r="L10" s="832"/>
      <c r="M10" s="990" t="s">
        <v>8</v>
      </c>
      <c r="N10" s="832"/>
      <c r="O10" s="832"/>
      <c r="P10" s="832"/>
      <c r="Q10" s="832"/>
      <c r="R10" s="832"/>
      <c r="S10" s="832"/>
      <c r="T10" s="832"/>
    </row>
    <row r="11" spans="1:20" x14ac:dyDescent="0.2">
      <c r="A11" s="815"/>
      <c r="B11" s="1127" t="s">
        <v>965</v>
      </c>
      <c r="C11" s="809"/>
      <c r="D11" s="809"/>
      <c r="E11" s="900">
        <v>19.600000000000001</v>
      </c>
      <c r="F11" s="1127" t="s">
        <v>28</v>
      </c>
      <c r="G11" s="809"/>
      <c r="H11" s="809"/>
      <c r="I11" s="809"/>
      <c r="J11" s="896"/>
      <c r="K11" s="832"/>
      <c r="L11" s="832"/>
      <c r="M11" s="990" t="s">
        <v>1411</v>
      </c>
      <c r="N11" s="832"/>
      <c r="O11" s="832"/>
      <c r="P11" s="832"/>
      <c r="Q11" s="832"/>
      <c r="R11" s="832"/>
      <c r="S11" s="832"/>
      <c r="T11" s="832"/>
    </row>
    <row r="12" spans="1:20" x14ac:dyDescent="0.2">
      <c r="A12" s="815"/>
      <c r="B12" s="1127" t="s">
        <v>967</v>
      </c>
      <c r="C12" s="809"/>
      <c r="D12" s="809"/>
      <c r="E12" s="900">
        <f>'Struct2(Barrel)'!E24</f>
        <v>9.81</v>
      </c>
      <c r="F12" s="1127" t="s">
        <v>28</v>
      </c>
      <c r="G12" s="809"/>
      <c r="H12" s="809"/>
      <c r="I12" s="809"/>
      <c r="J12" s="896"/>
      <c r="K12" s="832"/>
      <c r="L12" s="832"/>
      <c r="M12" s="990" t="s">
        <v>1412</v>
      </c>
      <c r="N12" s="832"/>
      <c r="O12" s="832"/>
      <c r="P12" s="832"/>
      <c r="Q12" s="832"/>
      <c r="R12" s="832"/>
      <c r="S12" s="832"/>
      <c r="T12" s="832"/>
    </row>
    <row r="13" spans="1:20" x14ac:dyDescent="0.2">
      <c r="A13" s="815"/>
      <c r="B13" s="824" t="s">
        <v>1413</v>
      </c>
      <c r="C13" s="825"/>
      <c r="D13" s="825"/>
      <c r="E13" s="974">
        <v>70</v>
      </c>
      <c r="F13" s="824" t="s">
        <v>1414</v>
      </c>
      <c r="G13" s="809"/>
      <c r="H13" s="809"/>
      <c r="I13" s="809"/>
      <c r="J13" s="896"/>
      <c r="K13" s="832"/>
      <c r="L13" s="832"/>
      <c r="M13" s="990" t="s">
        <v>1415</v>
      </c>
      <c r="N13" s="832"/>
      <c r="O13" s="832"/>
      <c r="P13" s="832"/>
      <c r="Q13" s="832"/>
      <c r="R13" s="832"/>
      <c r="S13" s="832"/>
      <c r="T13" s="832"/>
    </row>
    <row r="14" spans="1:20" x14ac:dyDescent="0.2">
      <c r="A14" s="815"/>
      <c r="B14" s="824" t="s">
        <v>1416</v>
      </c>
      <c r="C14" s="825"/>
      <c r="D14" s="825"/>
      <c r="E14" s="974">
        <v>9500</v>
      </c>
      <c r="F14" s="824" t="s">
        <v>1417</v>
      </c>
      <c r="G14" s="809"/>
      <c r="H14" s="809"/>
      <c r="I14" s="809"/>
      <c r="J14" s="896"/>
      <c r="K14" s="832"/>
      <c r="L14" s="832"/>
      <c r="M14" s="990" t="s">
        <v>1418</v>
      </c>
      <c r="N14" s="832"/>
      <c r="O14" s="832"/>
      <c r="P14" s="832"/>
      <c r="Q14" s="832"/>
      <c r="R14" s="832"/>
      <c r="S14" s="832"/>
      <c r="T14" s="832"/>
    </row>
    <row r="15" spans="1:20" x14ac:dyDescent="0.2">
      <c r="A15" s="815"/>
      <c r="B15" s="809"/>
      <c r="C15" s="809"/>
      <c r="D15" s="809"/>
      <c r="E15" s="975"/>
      <c r="F15" s="809"/>
      <c r="G15" s="809"/>
      <c r="H15" s="809"/>
      <c r="I15" s="809"/>
      <c r="J15" s="896"/>
      <c r="K15" s="832"/>
      <c r="L15" s="832"/>
      <c r="M15" s="990" t="s">
        <v>1419</v>
      </c>
      <c r="N15" s="832"/>
      <c r="O15" s="832"/>
      <c r="P15" s="832"/>
      <c r="Q15" s="832"/>
      <c r="R15" s="832"/>
      <c r="S15" s="832"/>
      <c r="T15" s="832"/>
    </row>
    <row r="16" spans="1:20" x14ac:dyDescent="0.2">
      <c r="A16" s="815"/>
      <c r="B16" s="1127" t="s">
        <v>1420</v>
      </c>
      <c r="C16" s="809"/>
      <c r="D16" s="809"/>
      <c r="E16" s="976">
        <v>7.18</v>
      </c>
      <c r="F16" s="1127" t="s">
        <v>35</v>
      </c>
      <c r="G16" s="809"/>
      <c r="H16" s="809"/>
      <c r="I16" s="809"/>
      <c r="J16" s="896"/>
      <c r="K16" s="832"/>
      <c r="L16" s="832"/>
      <c r="M16" s="990" t="s">
        <v>1421</v>
      </c>
      <c r="N16" s="832"/>
      <c r="O16" s="832"/>
      <c r="P16" s="832"/>
      <c r="Q16" s="832"/>
      <c r="R16" s="832"/>
      <c r="S16" s="832"/>
      <c r="T16" s="832"/>
    </row>
    <row r="17" spans="1:20" x14ac:dyDescent="0.2">
      <c r="A17" s="815"/>
      <c r="B17" s="1127" t="s">
        <v>1422</v>
      </c>
      <c r="C17" s="809"/>
      <c r="D17" s="809"/>
      <c r="E17" s="977" t="s">
        <v>959</v>
      </c>
      <c r="F17" s="809"/>
      <c r="G17" s="809"/>
      <c r="H17" s="809"/>
      <c r="I17" s="809"/>
      <c r="J17" s="896"/>
      <c r="K17" s="832"/>
      <c r="L17" s="832"/>
      <c r="M17" s="990" t="s">
        <v>1423</v>
      </c>
      <c r="N17" s="832"/>
      <c r="O17" s="832"/>
      <c r="P17" s="832"/>
      <c r="Q17" s="832"/>
      <c r="R17" s="832"/>
      <c r="S17" s="832"/>
      <c r="T17" s="832"/>
    </row>
    <row r="18" spans="1:20" x14ac:dyDescent="0.2">
      <c r="A18" s="815"/>
      <c r="B18" s="1127" t="s">
        <v>1424</v>
      </c>
      <c r="C18" s="809"/>
      <c r="D18" s="809"/>
      <c r="E18" s="900">
        <v>4</v>
      </c>
      <c r="F18" s="1127" t="s">
        <v>35</v>
      </c>
      <c r="G18" s="809"/>
      <c r="H18" s="809"/>
      <c r="I18" s="809"/>
      <c r="J18" s="896"/>
      <c r="K18" s="832"/>
      <c r="L18" s="832"/>
      <c r="M18" s="990" t="s">
        <v>11</v>
      </c>
      <c r="N18" s="832"/>
      <c r="O18" s="832"/>
      <c r="P18" s="832"/>
      <c r="Q18" s="832"/>
      <c r="R18" s="832"/>
      <c r="S18" s="832"/>
      <c r="T18" s="832"/>
    </row>
    <row r="19" spans="1:20" x14ac:dyDescent="0.2">
      <c r="A19" s="815"/>
      <c r="B19" s="1127" t="s">
        <v>1425</v>
      </c>
      <c r="C19" s="809"/>
      <c r="D19" s="809"/>
      <c r="E19" s="900">
        <v>20</v>
      </c>
      <c r="F19" s="1127" t="s">
        <v>57</v>
      </c>
      <c r="G19" s="809"/>
      <c r="H19" s="809"/>
      <c r="I19" s="809"/>
      <c r="J19" s="896"/>
      <c r="K19" s="832"/>
      <c r="L19" s="832"/>
      <c r="M19" s="990" t="s">
        <v>1426</v>
      </c>
      <c r="N19" s="832"/>
      <c r="O19" s="832"/>
      <c r="P19" s="832"/>
      <c r="Q19" s="832"/>
      <c r="R19" s="832"/>
      <c r="S19" s="832"/>
      <c r="T19" s="832"/>
    </row>
    <row r="20" spans="1:20" x14ac:dyDescent="0.2">
      <c r="A20" s="815"/>
      <c r="B20" s="809"/>
      <c r="C20" s="809"/>
      <c r="D20" s="809"/>
      <c r="E20" s="809"/>
      <c r="F20" s="809"/>
      <c r="G20" s="809"/>
      <c r="H20" s="809"/>
      <c r="I20" s="809"/>
      <c r="J20" s="896"/>
      <c r="K20" s="832"/>
      <c r="L20" s="832"/>
      <c r="M20" s="990" t="s">
        <v>13</v>
      </c>
      <c r="N20" s="832"/>
      <c r="O20" s="832"/>
      <c r="P20" s="832"/>
      <c r="Q20" s="832"/>
      <c r="R20" s="832"/>
      <c r="S20" s="832"/>
      <c r="T20" s="832"/>
    </row>
    <row r="21" spans="1:20" x14ac:dyDescent="0.2">
      <c r="A21" s="815"/>
      <c r="B21" s="1127" t="s">
        <v>31</v>
      </c>
      <c r="C21" s="809"/>
      <c r="D21" s="809"/>
      <c r="E21" s="809"/>
      <c r="F21" s="992">
        <f>'Struct2(Barrel)'!F26</f>
        <v>15</v>
      </c>
      <c r="G21" s="1127" t="s">
        <v>32</v>
      </c>
      <c r="H21" s="809"/>
      <c r="I21" s="809"/>
      <c r="J21" s="896"/>
      <c r="K21" s="832"/>
      <c r="L21" s="832"/>
      <c r="M21" s="990" t="s">
        <v>20</v>
      </c>
      <c r="N21" s="832"/>
      <c r="O21" s="832"/>
      <c r="P21" s="832"/>
      <c r="Q21" s="832"/>
      <c r="R21" s="832"/>
      <c r="S21" s="832"/>
      <c r="T21" s="832"/>
    </row>
    <row r="22" spans="1:20" x14ac:dyDescent="0.2">
      <c r="A22" s="815"/>
      <c r="B22" s="1127" t="s">
        <v>33</v>
      </c>
      <c r="C22" s="809"/>
      <c r="D22" s="809"/>
      <c r="E22" s="809"/>
      <c r="F22" s="809"/>
      <c r="G22" s="908">
        <f>(1-SIN(F21*PI()/180))/(1+SIN(F21*PI()/180))</f>
        <v>0.58879070648086362</v>
      </c>
      <c r="H22" s="809"/>
      <c r="I22" s="809"/>
      <c r="J22" s="896"/>
      <c r="K22" s="832"/>
      <c r="L22" s="832"/>
      <c r="M22" s="990" t="s">
        <v>11</v>
      </c>
      <c r="N22" s="832"/>
      <c r="O22" s="832"/>
      <c r="P22" s="832"/>
      <c r="Q22" s="832"/>
      <c r="R22" s="832"/>
      <c r="S22" s="832"/>
      <c r="T22" s="832"/>
    </row>
    <row r="23" spans="1:20" x14ac:dyDescent="0.2">
      <c r="A23" s="815"/>
      <c r="B23" s="809"/>
      <c r="C23" s="809"/>
      <c r="D23" s="809"/>
      <c r="E23" s="809"/>
      <c r="F23" s="809"/>
      <c r="G23" s="809"/>
      <c r="H23" s="809"/>
      <c r="I23" s="809"/>
      <c r="J23" s="896"/>
      <c r="K23" s="832"/>
      <c r="L23" s="832"/>
      <c r="M23" s="990" t="s">
        <v>1427</v>
      </c>
      <c r="N23" s="832"/>
      <c r="O23" s="832"/>
      <c r="P23" s="832"/>
      <c r="Q23" s="832"/>
      <c r="R23" s="832"/>
      <c r="S23" s="832"/>
      <c r="T23" s="832"/>
    </row>
    <row r="24" spans="1:20" x14ac:dyDescent="0.2">
      <c r="A24" s="815"/>
      <c r="B24" s="1127" t="s">
        <v>953</v>
      </c>
      <c r="C24" s="809"/>
      <c r="D24" s="809"/>
      <c r="E24" s="900">
        <f>'Struct2(Barrel)'!E10</f>
        <v>6.1</v>
      </c>
      <c r="F24" s="1127" t="s">
        <v>2343</v>
      </c>
      <c r="G24" s="809"/>
      <c r="H24" s="809"/>
      <c r="I24" s="809"/>
      <c r="J24" s="896"/>
      <c r="K24" s="832"/>
      <c r="L24" s="832"/>
      <c r="M24" s="990" t="s">
        <v>13</v>
      </c>
      <c r="N24" s="832"/>
      <c r="O24" s="832"/>
      <c r="P24" s="832"/>
      <c r="Q24" s="832"/>
      <c r="R24" s="832"/>
      <c r="S24" s="832"/>
      <c r="T24" s="832"/>
    </row>
    <row r="25" spans="1:20" x14ac:dyDescent="0.2">
      <c r="A25" s="815"/>
      <c r="B25" s="1127" t="s">
        <v>1428</v>
      </c>
      <c r="C25" s="809"/>
      <c r="D25" s="809"/>
      <c r="E25" s="978">
        <f>'Struct2(Barrel)'!E18</f>
        <v>5.35</v>
      </c>
      <c r="F25" s="1127" t="s">
        <v>2343</v>
      </c>
      <c r="G25" s="809"/>
      <c r="H25" s="809"/>
      <c r="I25" s="809"/>
      <c r="J25" s="896"/>
      <c r="K25" s="832"/>
      <c r="L25" s="832"/>
      <c r="M25" s="990" t="s">
        <v>1429</v>
      </c>
      <c r="N25" s="832"/>
      <c r="O25" s="832"/>
      <c r="P25" s="832"/>
      <c r="Q25" s="832"/>
      <c r="R25" s="832"/>
      <c r="S25" s="832"/>
      <c r="T25" s="832"/>
    </row>
    <row r="26" spans="1:20" x14ac:dyDescent="0.2">
      <c r="A26" s="815"/>
      <c r="B26" s="1127" t="s">
        <v>954</v>
      </c>
      <c r="C26" s="809"/>
      <c r="D26" s="809"/>
      <c r="E26" s="900">
        <f>'Struct2(Barrel)'!E13</f>
        <v>5.0999999999999996</v>
      </c>
      <c r="F26" s="1127" t="s">
        <v>2343</v>
      </c>
      <c r="G26" s="809"/>
      <c r="H26" s="809"/>
      <c r="I26" s="809"/>
      <c r="J26" s="896"/>
      <c r="K26" s="832"/>
      <c r="L26" s="832"/>
      <c r="M26" s="990" t="s">
        <v>1430</v>
      </c>
      <c r="N26" s="832"/>
      <c r="O26" s="832"/>
      <c r="P26" s="832"/>
      <c r="Q26" s="832"/>
      <c r="R26" s="832"/>
      <c r="S26" s="832"/>
      <c r="T26" s="832"/>
    </row>
    <row r="27" spans="1:20" x14ac:dyDescent="0.2">
      <c r="A27" s="815"/>
      <c r="B27" s="1127" t="s">
        <v>427</v>
      </c>
      <c r="C27" s="809"/>
      <c r="D27" s="809"/>
      <c r="E27" s="978">
        <f>'Struct2(Barrel)'!E37</f>
        <v>-1.2</v>
      </c>
      <c r="F27" s="1127" t="s">
        <v>2343</v>
      </c>
      <c r="G27" s="809"/>
      <c r="H27" s="809"/>
      <c r="I27" s="809"/>
      <c r="J27" s="896"/>
      <c r="K27" s="832"/>
      <c r="L27" s="832"/>
      <c r="M27" s="990" t="s">
        <v>1431</v>
      </c>
      <c r="N27" s="832"/>
      <c r="O27" s="832"/>
      <c r="P27" s="832"/>
      <c r="Q27" s="832"/>
      <c r="R27" s="832"/>
      <c r="S27" s="832"/>
      <c r="T27" s="832"/>
    </row>
    <row r="28" spans="1:20" ht="13.5" x14ac:dyDescent="0.2">
      <c r="A28" s="815"/>
      <c r="B28" s="1127" t="s">
        <v>2360</v>
      </c>
      <c r="C28" s="809"/>
      <c r="D28" s="809"/>
      <c r="E28" s="900">
        <f>'Design Data'!E26</f>
        <v>2.74</v>
      </c>
      <c r="F28" s="1127" t="s">
        <v>2343</v>
      </c>
      <c r="G28" s="810"/>
      <c r="H28" s="811"/>
      <c r="I28" s="809"/>
      <c r="J28" s="896"/>
      <c r="K28" s="832"/>
      <c r="L28" s="832"/>
      <c r="M28" s="990" t="s">
        <v>25</v>
      </c>
      <c r="N28" s="832"/>
      <c r="O28" s="832"/>
      <c r="P28" s="832"/>
      <c r="Q28" s="832"/>
      <c r="R28" s="832"/>
      <c r="S28" s="832"/>
      <c r="T28" s="832"/>
    </row>
    <row r="29" spans="1:20" x14ac:dyDescent="0.2">
      <c r="A29" s="815"/>
      <c r="B29" s="1127" t="s">
        <v>955</v>
      </c>
      <c r="C29" s="809"/>
      <c r="D29" s="809"/>
      <c r="E29" s="1138" t="str">
        <f>IF(E28&gt;E25,"ERROR:  Analysis assumes Headwall Top Level  &gt;  Water Level","")</f>
        <v/>
      </c>
      <c r="F29" s="809"/>
      <c r="G29" s="811"/>
      <c r="H29" s="811"/>
      <c r="I29" s="809"/>
      <c r="J29" s="896"/>
      <c r="K29" s="832"/>
      <c r="L29" s="832"/>
      <c r="M29" s="990" t="s">
        <v>26</v>
      </c>
      <c r="N29" s="832"/>
      <c r="O29" s="832"/>
      <c r="P29" s="832"/>
      <c r="Q29" s="990" t="s">
        <v>27</v>
      </c>
      <c r="R29" s="832"/>
      <c r="S29" s="832"/>
      <c r="T29" s="832"/>
    </row>
    <row r="30" spans="1:20" x14ac:dyDescent="0.2">
      <c r="A30" s="815"/>
      <c r="B30" s="809"/>
      <c r="C30" s="809"/>
      <c r="D30" s="809"/>
      <c r="E30" s="812"/>
      <c r="F30" s="809"/>
      <c r="G30" s="811"/>
      <c r="H30" s="811"/>
      <c r="I30" s="809"/>
      <c r="J30" s="896"/>
      <c r="K30" s="832"/>
      <c r="L30" s="832"/>
      <c r="M30" s="990" t="s">
        <v>29</v>
      </c>
      <c r="N30" s="832"/>
      <c r="O30" s="832"/>
      <c r="P30" s="832"/>
      <c r="Q30" s="832"/>
      <c r="R30" s="832"/>
      <c r="S30" s="832"/>
      <c r="T30" s="832"/>
    </row>
    <row r="31" spans="1:20" x14ac:dyDescent="0.2">
      <c r="A31" s="815"/>
      <c r="B31" s="1127" t="s">
        <v>1432</v>
      </c>
      <c r="C31" s="809"/>
      <c r="D31" s="809"/>
      <c r="E31" s="979">
        <v>350</v>
      </c>
      <c r="F31" s="1127" t="s">
        <v>43</v>
      </c>
      <c r="G31" s="811"/>
      <c r="H31" s="811"/>
      <c r="I31" s="809"/>
      <c r="J31" s="896"/>
      <c r="K31" s="832"/>
      <c r="L31" s="832"/>
      <c r="M31" s="990" t="s">
        <v>30</v>
      </c>
      <c r="N31" s="832"/>
      <c r="O31" s="832"/>
      <c r="P31" s="832"/>
      <c r="Q31" s="832"/>
      <c r="R31" s="832"/>
      <c r="S31" s="832"/>
      <c r="T31" s="832"/>
    </row>
    <row r="32" spans="1:20" x14ac:dyDescent="0.2">
      <c r="A32" s="815"/>
      <c r="B32" s="1127" t="s">
        <v>1433</v>
      </c>
      <c r="C32" s="809"/>
      <c r="D32" s="809"/>
      <c r="E32" s="979">
        <v>350</v>
      </c>
      <c r="F32" s="1127" t="s">
        <v>43</v>
      </c>
      <c r="G32" s="811"/>
      <c r="H32" s="811"/>
      <c r="I32" s="809"/>
      <c r="J32" s="896"/>
      <c r="K32" s="832"/>
      <c r="L32" s="832"/>
      <c r="M32" s="832"/>
      <c r="N32" s="832"/>
      <c r="O32" s="832"/>
      <c r="P32" s="832"/>
      <c r="Q32" s="832"/>
      <c r="R32" s="832"/>
      <c r="S32" s="832"/>
      <c r="T32" s="832"/>
    </row>
    <row r="33" spans="1:20" x14ac:dyDescent="0.2">
      <c r="A33" s="815"/>
      <c r="B33" s="1127" t="s">
        <v>971</v>
      </c>
      <c r="C33" s="809"/>
      <c r="D33" s="809"/>
      <c r="E33" s="980">
        <f>'Struct2(Barrel)'!E29</f>
        <v>550</v>
      </c>
      <c r="F33" s="1127" t="s">
        <v>43</v>
      </c>
      <c r="G33" s="809"/>
      <c r="H33" s="809"/>
      <c r="I33" s="809"/>
      <c r="J33" s="896"/>
      <c r="K33" s="832"/>
      <c r="L33" s="832"/>
      <c r="M33" s="832"/>
      <c r="N33" s="832"/>
      <c r="O33" s="832"/>
      <c r="P33" s="832"/>
      <c r="Q33" s="832"/>
      <c r="R33" s="832"/>
      <c r="S33" s="832"/>
      <c r="T33" s="832"/>
    </row>
    <row r="34" spans="1:20" x14ac:dyDescent="0.2">
      <c r="A34" s="815"/>
      <c r="B34" s="1127" t="s">
        <v>430</v>
      </c>
      <c r="C34" s="809"/>
      <c r="D34" s="809"/>
      <c r="E34" s="981">
        <v>750</v>
      </c>
      <c r="F34" s="1127" t="s">
        <v>43</v>
      </c>
      <c r="G34" s="809"/>
      <c r="H34" s="809"/>
      <c r="I34" s="809"/>
      <c r="J34" s="896"/>
      <c r="K34" s="832"/>
      <c r="L34" s="832"/>
      <c r="M34" s="832"/>
      <c r="N34" s="832"/>
      <c r="O34" s="832"/>
      <c r="P34" s="832"/>
      <c r="Q34" s="832"/>
      <c r="R34" s="832"/>
      <c r="S34" s="832"/>
      <c r="T34" s="832"/>
    </row>
    <row r="35" spans="1:20" x14ac:dyDescent="0.2">
      <c r="A35" s="815"/>
      <c r="B35" s="1127" t="s">
        <v>1434</v>
      </c>
      <c r="C35" s="809"/>
      <c r="D35" s="809"/>
      <c r="E35" s="982">
        <v>700</v>
      </c>
      <c r="F35" s="1127" t="s">
        <v>43</v>
      </c>
      <c r="G35" s="809"/>
      <c r="H35" s="809"/>
      <c r="I35" s="809"/>
      <c r="J35" s="896"/>
      <c r="K35" s="832"/>
      <c r="L35" s="832"/>
      <c r="M35" s="832"/>
      <c r="N35" s="832"/>
      <c r="O35" s="832"/>
      <c r="P35" s="832"/>
      <c r="Q35" s="832"/>
      <c r="R35" s="832"/>
      <c r="S35" s="832"/>
      <c r="T35" s="832"/>
    </row>
    <row r="36" spans="1:20" ht="13.5" thickBot="1" x14ac:dyDescent="0.25">
      <c r="A36" s="815"/>
      <c r="B36" s="1127" t="s">
        <v>1435</v>
      </c>
      <c r="C36" s="809"/>
      <c r="D36" s="809"/>
      <c r="E36" s="980">
        <v>700</v>
      </c>
      <c r="F36" s="1127" t="s">
        <v>43</v>
      </c>
      <c r="G36" s="809"/>
      <c r="H36" s="809"/>
      <c r="I36" s="809"/>
      <c r="J36" s="896"/>
      <c r="K36" s="832"/>
      <c r="L36" s="832"/>
      <c r="M36" s="832"/>
      <c r="N36" s="832"/>
      <c r="O36" s="832"/>
      <c r="P36" s="832"/>
      <c r="Q36" s="832"/>
      <c r="R36" s="832"/>
      <c r="S36" s="832"/>
      <c r="T36" s="832"/>
    </row>
    <row r="37" spans="1:20" x14ac:dyDescent="0.2">
      <c r="A37" s="815"/>
      <c r="B37" s="1127" t="s">
        <v>1855</v>
      </c>
      <c r="C37" s="809"/>
      <c r="D37" s="809"/>
      <c r="E37" s="1136">
        <v>750</v>
      </c>
      <c r="F37" s="1127" t="s">
        <v>43</v>
      </c>
      <c r="G37" s="809"/>
      <c r="H37" s="809"/>
      <c r="I37" s="809"/>
      <c r="J37" s="896"/>
      <c r="K37" s="832"/>
      <c r="L37" s="832"/>
      <c r="M37" s="832"/>
      <c r="N37" s="832"/>
      <c r="O37" s="832"/>
      <c r="P37" s="832"/>
      <c r="Q37" s="832"/>
      <c r="R37" s="832"/>
      <c r="S37" s="832"/>
      <c r="T37" s="832"/>
    </row>
    <row r="38" spans="1:20" ht="14.25" thickBot="1" x14ac:dyDescent="0.3">
      <c r="A38" s="815"/>
      <c r="B38" s="823" t="s">
        <v>2463</v>
      </c>
      <c r="C38" s="809"/>
      <c r="D38" s="809"/>
      <c r="E38" s="1137">
        <v>750</v>
      </c>
      <c r="F38" s="1127" t="s">
        <v>43</v>
      </c>
      <c r="G38" s="809"/>
      <c r="H38" s="809"/>
      <c r="I38" s="809"/>
      <c r="J38" s="896"/>
      <c r="K38" s="832"/>
      <c r="L38" s="832"/>
      <c r="M38" s="832"/>
      <c r="N38" s="832"/>
      <c r="O38" s="832"/>
      <c r="P38" s="832"/>
      <c r="Q38" s="832"/>
      <c r="R38" s="832"/>
      <c r="S38" s="832"/>
      <c r="T38" s="832"/>
    </row>
    <row r="39" spans="1:20" x14ac:dyDescent="0.2">
      <c r="A39" s="815"/>
      <c r="B39" s="1127" t="s">
        <v>972</v>
      </c>
      <c r="C39" s="809"/>
      <c r="D39" s="809"/>
      <c r="E39" s="980"/>
      <c r="F39" s="1127" t="s">
        <v>43</v>
      </c>
      <c r="G39" s="809"/>
      <c r="H39" s="809"/>
      <c r="I39" s="809"/>
      <c r="J39" s="896"/>
      <c r="K39" s="832"/>
      <c r="L39" s="832"/>
      <c r="M39" s="832"/>
      <c r="N39" s="832"/>
      <c r="O39" s="832"/>
      <c r="P39" s="832"/>
      <c r="Q39" s="832"/>
      <c r="R39" s="832"/>
      <c r="S39" s="832"/>
      <c r="T39" s="832"/>
    </row>
    <row r="40" spans="1:20" x14ac:dyDescent="0.2">
      <c r="A40" s="815"/>
      <c r="B40" s="1127" t="s">
        <v>1436</v>
      </c>
      <c r="C40" s="809"/>
      <c r="D40" s="809"/>
      <c r="E40" s="979">
        <v>350</v>
      </c>
      <c r="F40" s="1127" t="s">
        <v>43</v>
      </c>
      <c r="G40" s="895"/>
      <c r="H40" s="809"/>
      <c r="I40" s="809"/>
      <c r="J40" s="896"/>
      <c r="K40" s="832"/>
      <c r="L40" s="832"/>
      <c r="M40" s="832"/>
      <c r="N40" s="832"/>
      <c r="O40" s="832"/>
      <c r="P40" s="832"/>
      <c r="Q40" s="832"/>
      <c r="R40" s="832"/>
      <c r="S40" s="832"/>
      <c r="T40" s="832"/>
    </row>
    <row r="41" spans="1:20" x14ac:dyDescent="0.2">
      <c r="A41" s="815"/>
      <c r="B41" s="809"/>
      <c r="C41" s="809"/>
      <c r="D41" s="809"/>
      <c r="E41" s="809"/>
      <c r="F41" s="809"/>
      <c r="G41" s="809"/>
      <c r="H41" s="809"/>
      <c r="I41" s="809"/>
      <c r="J41" s="896"/>
      <c r="K41" s="832"/>
      <c r="L41" s="832"/>
      <c r="M41" s="832"/>
      <c r="N41" s="832"/>
      <c r="O41" s="832"/>
      <c r="P41" s="832"/>
      <c r="Q41" s="832"/>
      <c r="R41" s="832"/>
      <c r="S41" s="832"/>
      <c r="T41" s="832"/>
    </row>
    <row r="42" spans="1:20" ht="15.75" x14ac:dyDescent="0.25">
      <c r="A42" s="815"/>
      <c r="B42" s="1127" t="s">
        <v>973</v>
      </c>
      <c r="C42" s="809"/>
      <c r="D42" s="809"/>
      <c r="E42" s="813">
        <f>'Struct2(Barrel)'!E34</f>
        <v>1</v>
      </c>
      <c r="F42" s="809"/>
      <c r="G42" s="809"/>
      <c r="H42" s="809"/>
      <c r="I42" s="809"/>
      <c r="J42" s="896"/>
      <c r="K42" s="832"/>
      <c r="L42" s="832"/>
      <c r="M42" s="832"/>
      <c r="N42" s="832"/>
      <c r="O42" s="832"/>
      <c r="P42" s="832"/>
      <c r="Q42" s="832"/>
      <c r="R42" s="832"/>
      <c r="S42" s="832"/>
      <c r="T42" s="832"/>
    </row>
    <row r="43" spans="1:20" x14ac:dyDescent="0.2">
      <c r="A43" s="815"/>
      <c r="B43" s="1127" t="s">
        <v>974</v>
      </c>
      <c r="C43" s="809"/>
      <c r="D43" s="809"/>
      <c r="E43" s="808">
        <f>'Struct2(Barrel)'!E35</f>
        <v>5.75</v>
      </c>
      <c r="F43" s="1127" t="s">
        <v>24</v>
      </c>
      <c r="G43" s="809"/>
      <c r="H43" s="809"/>
      <c r="I43" s="809"/>
      <c r="J43" s="896"/>
      <c r="K43" s="832"/>
      <c r="L43" s="832"/>
      <c r="M43" s="832"/>
      <c r="N43" s="832"/>
      <c r="O43" s="832"/>
      <c r="P43" s="832"/>
      <c r="Q43" s="832"/>
      <c r="R43" s="832"/>
      <c r="S43" s="832"/>
      <c r="T43" s="832"/>
    </row>
    <row r="44" spans="1:20" x14ac:dyDescent="0.2">
      <c r="A44" s="815"/>
      <c r="B44" s="1127" t="s">
        <v>975</v>
      </c>
      <c r="C44" s="809"/>
      <c r="D44" s="809"/>
      <c r="E44" s="808">
        <f>'Struct2(Barrel)'!E36</f>
        <v>1.5</v>
      </c>
      <c r="F44" s="1127" t="s">
        <v>24</v>
      </c>
      <c r="G44" s="809"/>
      <c r="H44" s="809"/>
      <c r="I44" s="809"/>
      <c r="J44" s="896"/>
      <c r="K44" s="832"/>
      <c r="L44" s="832"/>
      <c r="M44" s="832"/>
      <c r="N44" s="832"/>
      <c r="O44" s="832"/>
      <c r="P44" s="832"/>
      <c r="Q44" s="832"/>
      <c r="R44" s="832"/>
      <c r="S44" s="832"/>
      <c r="T44" s="832"/>
    </row>
    <row r="45" spans="1:20" x14ac:dyDescent="0.2">
      <c r="A45" s="815"/>
      <c r="B45" s="1127" t="s">
        <v>1437</v>
      </c>
      <c r="C45" s="809"/>
      <c r="D45" s="809"/>
      <c r="E45" s="808">
        <f>'Struct2(Barrel)'!E12</f>
        <v>6</v>
      </c>
      <c r="F45" s="1127" t="s">
        <v>24</v>
      </c>
      <c r="G45" s="809"/>
      <c r="H45" s="809"/>
      <c r="I45" s="809"/>
      <c r="J45" s="896"/>
      <c r="K45" s="832"/>
      <c r="L45" s="832"/>
      <c r="M45" s="832"/>
      <c r="N45" s="832"/>
      <c r="O45" s="832"/>
      <c r="P45" s="832"/>
      <c r="Q45" s="832"/>
      <c r="R45" s="832"/>
      <c r="S45" s="832"/>
      <c r="T45" s="832"/>
    </row>
    <row r="46" spans="1:20" x14ac:dyDescent="0.2">
      <c r="A46" s="815"/>
      <c r="B46" s="1127" t="s">
        <v>1438</v>
      </c>
      <c r="C46" s="809"/>
      <c r="D46" s="809"/>
      <c r="E46" s="808">
        <f>'Struct2(Barrel)'!E38</f>
        <v>9.9</v>
      </c>
      <c r="F46" s="1127" t="s">
        <v>24</v>
      </c>
      <c r="G46" s="809"/>
      <c r="H46" s="809"/>
      <c r="I46" s="809"/>
      <c r="J46" s="896"/>
      <c r="K46" s="832"/>
      <c r="L46" s="832"/>
      <c r="M46" s="832"/>
      <c r="N46" s="832"/>
      <c r="O46" s="832"/>
      <c r="P46" s="832"/>
      <c r="Q46" s="832"/>
      <c r="R46" s="832"/>
      <c r="S46" s="832"/>
      <c r="T46" s="832"/>
    </row>
    <row r="47" spans="1:20" x14ac:dyDescent="0.2">
      <c r="A47" s="815"/>
      <c r="B47" s="1127" t="s">
        <v>1439</v>
      </c>
      <c r="C47" s="809"/>
      <c r="D47" s="809"/>
      <c r="E47" s="808">
        <f>'Struct2(Barrel)'!E39</f>
        <v>2.1</v>
      </c>
      <c r="F47" s="1127" t="s">
        <v>24</v>
      </c>
      <c r="G47" s="809"/>
      <c r="H47" s="809"/>
      <c r="I47" s="809"/>
      <c r="J47" s="896"/>
      <c r="K47" s="832"/>
      <c r="L47" s="832"/>
      <c r="M47" s="832"/>
      <c r="N47" s="832"/>
      <c r="O47" s="832"/>
      <c r="P47" s="832"/>
      <c r="Q47" s="832"/>
      <c r="R47" s="832"/>
      <c r="S47" s="832"/>
      <c r="T47" s="832"/>
    </row>
    <row r="48" spans="1:20" x14ac:dyDescent="0.2">
      <c r="A48" s="815"/>
      <c r="B48" s="1127" t="s">
        <v>1440</v>
      </c>
      <c r="C48" s="809"/>
      <c r="D48" s="809"/>
      <c r="E48" s="814">
        <v>0.9</v>
      </c>
      <c r="F48" s="1127" t="s">
        <v>24</v>
      </c>
      <c r="G48" s="809"/>
      <c r="H48" s="809"/>
      <c r="I48" s="809"/>
      <c r="J48" s="896"/>
      <c r="K48" s="832"/>
      <c r="L48" s="832"/>
      <c r="M48" s="832"/>
      <c r="N48" s="832"/>
      <c r="O48" s="832"/>
      <c r="P48" s="832"/>
      <c r="Q48" s="832"/>
      <c r="R48" s="832"/>
      <c r="S48" s="832"/>
      <c r="T48" s="832"/>
    </row>
    <row r="49" spans="1:20" x14ac:dyDescent="0.2">
      <c r="A49" s="815"/>
      <c r="B49" s="809"/>
      <c r="C49" s="809"/>
      <c r="D49" s="809"/>
      <c r="E49" s="809"/>
      <c r="F49" s="809"/>
      <c r="G49" s="809"/>
      <c r="H49" s="809"/>
      <c r="I49" s="809"/>
      <c r="J49" s="896"/>
      <c r="K49" s="832"/>
      <c r="L49" s="832"/>
      <c r="M49" s="832"/>
      <c r="N49" s="832"/>
      <c r="O49" s="832"/>
      <c r="P49" s="832"/>
      <c r="Q49" s="832"/>
      <c r="R49" s="832"/>
      <c r="S49" s="832"/>
      <c r="T49" s="832"/>
    </row>
    <row r="50" spans="1:20" x14ac:dyDescent="0.2">
      <c r="A50" s="815"/>
      <c r="B50" s="809"/>
      <c r="C50" s="809"/>
      <c r="D50" s="809"/>
      <c r="E50" s="809"/>
      <c r="F50" s="809"/>
      <c r="G50" s="809"/>
      <c r="H50" s="809"/>
      <c r="I50" s="809"/>
      <c r="J50" s="896"/>
      <c r="K50" s="832"/>
      <c r="L50" s="832"/>
      <c r="M50" s="832"/>
      <c r="N50" s="832"/>
      <c r="O50" s="832"/>
      <c r="P50" s="832"/>
      <c r="Q50" s="832"/>
      <c r="R50" s="832"/>
      <c r="S50" s="832"/>
      <c r="T50" s="832"/>
    </row>
    <row r="51" spans="1:20" x14ac:dyDescent="0.2">
      <c r="A51" s="815"/>
      <c r="B51" s="1127" t="s">
        <v>34</v>
      </c>
      <c r="C51" s="809"/>
      <c r="D51" s="809"/>
      <c r="E51" s="809"/>
      <c r="F51" s="816">
        <f>'Struct2(Barrel)'!F42</f>
        <v>414000</v>
      </c>
      <c r="G51" s="1127" t="s">
        <v>35</v>
      </c>
      <c r="H51" s="809"/>
      <c r="I51" s="809"/>
      <c r="J51" s="896"/>
      <c r="K51" s="832"/>
      <c r="L51" s="832"/>
      <c r="M51" s="832"/>
      <c r="N51" s="832"/>
      <c r="O51" s="832"/>
      <c r="P51" s="832"/>
      <c r="Q51" s="832"/>
      <c r="R51" s="832"/>
      <c r="S51" s="832"/>
      <c r="T51" s="832"/>
    </row>
    <row r="52" spans="1:20" x14ac:dyDescent="0.2">
      <c r="A52" s="815"/>
      <c r="B52" s="1127" t="s">
        <v>36</v>
      </c>
      <c r="C52" s="809"/>
      <c r="D52" s="809"/>
      <c r="E52" s="809"/>
      <c r="F52" s="816">
        <f>'Struct2(Barrel)'!F43</f>
        <v>22000</v>
      </c>
      <c r="G52" s="1127" t="s">
        <v>35</v>
      </c>
      <c r="H52" s="809"/>
      <c r="I52" s="809"/>
      <c r="J52" s="896"/>
      <c r="K52" s="832"/>
      <c r="L52" s="832"/>
      <c r="M52" s="832"/>
      <c r="N52" s="832"/>
      <c r="O52" s="832"/>
      <c r="P52" s="832"/>
      <c r="Q52" s="832"/>
      <c r="R52" s="832"/>
      <c r="S52" s="832"/>
      <c r="T52" s="832"/>
    </row>
    <row r="53" spans="1:20" x14ac:dyDescent="0.2">
      <c r="A53" s="815"/>
      <c r="B53" s="809"/>
      <c r="C53" s="809"/>
      <c r="D53" s="809"/>
      <c r="E53" s="809"/>
      <c r="F53" s="809"/>
      <c r="G53" s="809"/>
      <c r="H53" s="809"/>
      <c r="I53" s="809"/>
      <c r="J53" s="896"/>
      <c r="K53" s="832"/>
      <c r="L53" s="832"/>
      <c r="M53" s="832"/>
      <c r="N53" s="832"/>
      <c r="O53" s="832"/>
      <c r="P53" s="832"/>
      <c r="Q53" s="832"/>
      <c r="R53" s="832"/>
      <c r="S53" s="832"/>
      <c r="T53" s="832"/>
    </row>
    <row r="54" spans="1:20" x14ac:dyDescent="0.2">
      <c r="A54" s="815"/>
      <c r="B54" s="1127" t="s">
        <v>1826</v>
      </c>
      <c r="C54" s="809"/>
      <c r="D54" s="809"/>
      <c r="E54" s="809"/>
      <c r="F54" s="817"/>
      <c r="G54" s="818">
        <f>0.45*F51</f>
        <v>186300</v>
      </c>
      <c r="H54" s="1127" t="s">
        <v>35</v>
      </c>
      <c r="I54" s="809"/>
      <c r="J54" s="896"/>
      <c r="K54" s="832"/>
      <c r="L54" s="832"/>
      <c r="M54" s="832"/>
      <c r="N54" s="832"/>
      <c r="O54" s="832"/>
      <c r="P54" s="832"/>
      <c r="Q54" s="832"/>
      <c r="R54" s="832"/>
      <c r="S54" s="832"/>
      <c r="T54" s="832"/>
    </row>
    <row r="55" spans="1:20" x14ac:dyDescent="0.2">
      <c r="A55" s="815"/>
      <c r="B55" s="1127" t="s">
        <v>1918</v>
      </c>
      <c r="C55" s="809"/>
      <c r="D55" s="809"/>
      <c r="E55" s="809"/>
      <c r="F55" s="817"/>
      <c r="G55" s="818">
        <f>0.4*F52</f>
        <v>8800</v>
      </c>
      <c r="H55" s="1127" t="s">
        <v>35</v>
      </c>
      <c r="I55" s="809"/>
      <c r="J55" s="896"/>
      <c r="K55" s="832"/>
      <c r="L55" s="832"/>
      <c r="M55" s="832"/>
      <c r="N55" s="832"/>
      <c r="O55" s="832"/>
      <c r="P55" s="832"/>
      <c r="Q55" s="832"/>
      <c r="R55" s="832"/>
      <c r="S55" s="832"/>
      <c r="T55" s="832"/>
    </row>
    <row r="56" spans="1:20" x14ac:dyDescent="0.2">
      <c r="A56" s="815"/>
      <c r="B56" s="809"/>
      <c r="C56" s="809"/>
      <c r="D56" s="809"/>
      <c r="E56" s="809"/>
      <c r="F56" s="809"/>
      <c r="G56" s="809"/>
      <c r="H56" s="809"/>
      <c r="I56" s="809"/>
      <c r="J56" s="896"/>
      <c r="K56" s="832"/>
      <c r="L56" s="832"/>
      <c r="M56" s="832"/>
      <c r="N56" s="832"/>
      <c r="O56" s="832"/>
      <c r="P56" s="832"/>
      <c r="Q56" s="832"/>
      <c r="R56" s="832"/>
      <c r="S56" s="832"/>
      <c r="T56" s="832"/>
    </row>
    <row r="57" spans="1:20" x14ac:dyDescent="0.2">
      <c r="A57" s="815"/>
      <c r="B57" s="1127" t="s">
        <v>982</v>
      </c>
      <c r="C57" s="809"/>
      <c r="D57" s="809"/>
      <c r="E57" s="809"/>
      <c r="F57" s="817"/>
      <c r="G57" s="818">
        <f>'Struct2(Barrel)'!G46</f>
        <v>428.65627255412932</v>
      </c>
      <c r="H57" s="1127" t="s">
        <v>35</v>
      </c>
      <c r="I57" s="809"/>
      <c r="J57" s="896"/>
      <c r="K57" s="990" t="s">
        <v>35</v>
      </c>
      <c r="L57" s="832"/>
      <c r="M57" s="832"/>
      <c r="N57" s="832"/>
      <c r="O57" s="832"/>
      <c r="P57" s="832"/>
      <c r="Q57" s="832"/>
      <c r="R57" s="832"/>
      <c r="S57" s="832"/>
      <c r="T57" s="832"/>
    </row>
    <row r="58" spans="1:20" x14ac:dyDescent="0.2">
      <c r="A58" s="815"/>
      <c r="B58" s="809"/>
      <c r="C58" s="809"/>
      <c r="D58" s="809"/>
      <c r="E58" s="809"/>
      <c r="F58" s="809"/>
      <c r="G58" s="809"/>
      <c r="H58" s="809"/>
      <c r="I58" s="809"/>
      <c r="J58" s="896"/>
      <c r="K58" s="832"/>
      <c r="L58" s="832"/>
      <c r="M58" s="832"/>
      <c r="N58" s="832"/>
      <c r="O58" s="832"/>
      <c r="P58" s="832"/>
      <c r="Q58" s="832"/>
      <c r="R58" s="832"/>
      <c r="S58" s="832"/>
      <c r="T58" s="832"/>
    </row>
    <row r="59" spans="1:20" x14ac:dyDescent="0.2">
      <c r="A59" s="815"/>
      <c r="B59" s="1127" t="s">
        <v>40</v>
      </c>
      <c r="C59" s="809"/>
      <c r="D59" s="809"/>
      <c r="E59" s="809"/>
      <c r="F59" s="816">
        <v>196000000</v>
      </c>
      <c r="G59" s="1127" t="s">
        <v>35</v>
      </c>
      <c r="H59" s="809"/>
      <c r="I59" s="809"/>
      <c r="J59" s="896"/>
      <c r="K59" s="832"/>
      <c r="L59" s="832"/>
      <c r="M59" s="832"/>
      <c r="N59" s="832"/>
      <c r="O59" s="832"/>
      <c r="P59" s="832"/>
      <c r="Q59" s="832"/>
      <c r="R59" s="832"/>
      <c r="S59" s="832"/>
      <c r="T59" s="832"/>
    </row>
    <row r="60" spans="1:20" ht="13.5" thickBot="1" x14ac:dyDescent="0.25">
      <c r="A60" s="819"/>
      <c r="B60" s="820" t="s">
        <v>41</v>
      </c>
      <c r="C60" s="821"/>
      <c r="D60" s="821"/>
      <c r="E60" s="821"/>
      <c r="F60" s="822">
        <v>19800000</v>
      </c>
      <c r="G60" s="820" t="s">
        <v>35</v>
      </c>
      <c r="H60" s="821"/>
      <c r="I60" s="821"/>
      <c r="J60" s="993" t="s">
        <v>2394</v>
      </c>
      <c r="K60" s="832"/>
      <c r="L60" s="832"/>
      <c r="M60" s="832"/>
      <c r="N60" s="832"/>
      <c r="O60" s="832"/>
      <c r="P60" s="832"/>
      <c r="Q60" s="832"/>
      <c r="R60" s="832"/>
      <c r="S60" s="832"/>
      <c r="T60" s="832"/>
    </row>
    <row r="61" spans="1:20" ht="13.5" thickBot="1" x14ac:dyDescent="0.25">
      <c r="A61" s="815"/>
      <c r="B61" s="809"/>
      <c r="C61" s="809"/>
      <c r="D61" s="809"/>
      <c r="E61" s="809"/>
      <c r="F61" s="809"/>
      <c r="G61" s="809"/>
      <c r="H61" s="809"/>
      <c r="I61" s="809"/>
      <c r="J61" s="896"/>
      <c r="K61" s="832"/>
      <c r="L61" s="832"/>
      <c r="M61" s="832"/>
      <c r="N61" s="832"/>
      <c r="O61" s="832"/>
      <c r="P61" s="832"/>
      <c r="Q61" s="832"/>
      <c r="R61" s="832"/>
      <c r="S61" s="832"/>
      <c r="T61" s="832"/>
    </row>
    <row r="62" spans="1:20" x14ac:dyDescent="0.2">
      <c r="A62" s="934"/>
      <c r="B62" s="938" t="s">
        <v>1441</v>
      </c>
      <c r="C62" s="890"/>
      <c r="D62" s="890"/>
      <c r="E62" s="890"/>
      <c r="F62" s="890"/>
      <c r="G62" s="939">
        <f>'Struct2(Barrel)'!F50</f>
        <v>75</v>
      </c>
      <c r="H62" s="938" t="s">
        <v>43</v>
      </c>
      <c r="I62" s="890"/>
      <c r="J62" s="892"/>
      <c r="K62" s="832"/>
      <c r="L62" s="832"/>
      <c r="M62" s="832"/>
      <c r="N62" s="832"/>
      <c r="O62" s="832"/>
      <c r="P62" s="832"/>
      <c r="Q62" s="832"/>
      <c r="R62" s="832"/>
      <c r="S62" s="832"/>
      <c r="T62" s="832"/>
    </row>
    <row r="63" spans="1:20" x14ac:dyDescent="0.2">
      <c r="A63" s="815"/>
      <c r="B63" s="1127" t="s">
        <v>1442</v>
      </c>
      <c r="C63" s="809"/>
      <c r="D63" s="809"/>
      <c r="E63" s="809"/>
      <c r="F63" s="809"/>
      <c r="G63" s="915">
        <v>30</v>
      </c>
      <c r="H63" s="1127" t="s">
        <v>43</v>
      </c>
      <c r="I63" s="809"/>
      <c r="J63" s="896"/>
      <c r="K63" s="832"/>
      <c r="L63" s="832"/>
      <c r="M63" s="832"/>
      <c r="N63" s="832"/>
      <c r="O63" s="832"/>
      <c r="P63" s="832"/>
      <c r="Q63" s="832"/>
      <c r="R63" s="832"/>
      <c r="S63" s="832"/>
      <c r="T63" s="832"/>
    </row>
    <row r="64" spans="1:20" x14ac:dyDescent="0.2">
      <c r="A64" s="815"/>
      <c r="B64" s="1127" t="s">
        <v>1443</v>
      </c>
      <c r="C64" s="809"/>
      <c r="D64" s="809"/>
      <c r="E64" s="809"/>
      <c r="F64" s="809"/>
      <c r="G64" s="809"/>
      <c r="H64" s="809"/>
      <c r="I64" s="809"/>
      <c r="J64" s="896"/>
      <c r="K64" s="832"/>
      <c r="L64" s="832"/>
      <c r="M64" s="832"/>
      <c r="N64" s="832"/>
      <c r="O64" s="832"/>
      <c r="P64" s="832"/>
      <c r="Q64" s="832"/>
      <c r="R64" s="832"/>
      <c r="S64" s="832"/>
      <c r="T64" s="832"/>
    </row>
    <row r="65" spans="1:20" x14ac:dyDescent="0.2">
      <c r="A65" s="815"/>
      <c r="B65" s="1127" t="s">
        <v>1444</v>
      </c>
      <c r="C65" s="809"/>
      <c r="D65" s="908">
        <f>$E$42*$E$44+E35/500+($E$42-1)*$E$39/1000</f>
        <v>2.9</v>
      </c>
      <c r="E65" s="1127" t="s">
        <v>24</v>
      </c>
      <c r="F65" s="809"/>
      <c r="G65" s="809"/>
      <c r="H65" s="809"/>
      <c r="I65" s="809"/>
      <c r="J65" s="896"/>
      <c r="K65" s="832"/>
      <c r="L65" s="832"/>
      <c r="M65" s="832"/>
      <c r="N65" s="832"/>
      <c r="O65" s="832"/>
      <c r="P65" s="832"/>
      <c r="Q65" s="832"/>
      <c r="R65" s="832"/>
      <c r="S65" s="832"/>
      <c r="T65" s="832"/>
    </row>
    <row r="66" spans="1:20" x14ac:dyDescent="0.2">
      <c r="A66" s="815"/>
      <c r="B66" s="1127" t="s">
        <v>1445</v>
      </c>
      <c r="C66" s="809"/>
      <c r="D66" s="908">
        <f>$E$42*$E$44+E36/500+($E$42-1)*$E$39/1000</f>
        <v>2.9</v>
      </c>
      <c r="E66" s="1127" t="s">
        <v>24</v>
      </c>
      <c r="F66" s="809"/>
      <c r="G66" s="809"/>
      <c r="H66" s="809"/>
      <c r="I66" s="809"/>
      <c r="J66" s="896"/>
      <c r="K66" s="832"/>
      <c r="L66" s="832"/>
      <c r="M66" s="832"/>
      <c r="N66" s="832"/>
      <c r="O66" s="832"/>
      <c r="P66" s="832"/>
      <c r="Q66" s="832"/>
      <c r="R66" s="832"/>
      <c r="S66" s="832"/>
      <c r="T66" s="832"/>
    </row>
    <row r="67" spans="1:20" x14ac:dyDescent="0.2">
      <c r="A67" s="815"/>
      <c r="B67" s="1127" t="s">
        <v>1446</v>
      </c>
      <c r="C67" s="809"/>
      <c r="D67" s="908">
        <f>$E$42*$E$44+E37/500+($E$42-1)*$E$39/1000</f>
        <v>3</v>
      </c>
      <c r="E67" s="1127" t="s">
        <v>24</v>
      </c>
      <c r="F67" s="809"/>
      <c r="G67" s="809"/>
      <c r="H67" s="809"/>
      <c r="I67" s="809"/>
      <c r="J67" s="896"/>
      <c r="K67" s="832"/>
      <c r="L67" s="832"/>
      <c r="M67" s="832"/>
      <c r="N67" s="832"/>
      <c r="O67" s="832"/>
      <c r="P67" s="832"/>
      <c r="Q67" s="832"/>
      <c r="R67" s="832"/>
      <c r="S67" s="832"/>
      <c r="T67" s="832"/>
    </row>
    <row r="68" spans="1:20" x14ac:dyDescent="0.2">
      <c r="A68" s="815"/>
      <c r="B68" s="809"/>
      <c r="C68" s="809"/>
      <c r="D68" s="809"/>
      <c r="E68" s="809"/>
      <c r="F68" s="809"/>
      <c r="G68" s="809"/>
      <c r="H68" s="809"/>
      <c r="I68" s="809"/>
      <c r="J68" s="896"/>
      <c r="K68" s="832"/>
      <c r="L68" s="832"/>
      <c r="M68" s="832"/>
      <c r="N68" s="832"/>
      <c r="O68" s="832"/>
      <c r="P68" s="832"/>
      <c r="Q68" s="832"/>
      <c r="R68" s="832"/>
      <c r="S68" s="832"/>
      <c r="T68" s="832"/>
    </row>
    <row r="69" spans="1:20" x14ac:dyDescent="0.2">
      <c r="A69" s="815"/>
      <c r="B69" s="1127" t="s">
        <v>1447</v>
      </c>
      <c r="C69" s="809"/>
      <c r="D69" s="809"/>
      <c r="E69" s="809"/>
      <c r="F69" s="809"/>
      <c r="G69" s="809"/>
      <c r="H69" s="809"/>
      <c r="I69" s="809"/>
      <c r="J69" s="896"/>
      <c r="K69" s="832"/>
      <c r="L69" s="832"/>
      <c r="M69" s="832"/>
      <c r="N69" s="832"/>
      <c r="O69" s="832"/>
      <c r="P69" s="832"/>
      <c r="Q69" s="832"/>
      <c r="R69" s="832"/>
      <c r="S69" s="832"/>
      <c r="T69" s="832"/>
    </row>
    <row r="70" spans="1:20" x14ac:dyDescent="0.2">
      <c r="A70" s="809"/>
      <c r="B70" s="809"/>
      <c r="C70" s="809"/>
      <c r="D70" s="1127" t="s">
        <v>1448</v>
      </c>
      <c r="E70" s="908">
        <f>2*E47+E46</f>
        <v>14.100000000000001</v>
      </c>
      <c r="F70" s="1127" t="s">
        <v>24</v>
      </c>
      <c r="G70" s="809"/>
      <c r="H70" s="809"/>
      <c r="I70" s="809"/>
      <c r="J70" s="940"/>
      <c r="K70" s="832"/>
      <c r="L70" s="855"/>
      <c r="M70" s="832"/>
      <c r="N70" s="832"/>
      <c r="O70" s="832"/>
      <c r="P70" s="832"/>
      <c r="Q70" s="832"/>
      <c r="R70" s="832"/>
      <c r="S70" s="832"/>
      <c r="T70" s="832"/>
    </row>
    <row r="71" spans="1:20" x14ac:dyDescent="0.2">
      <c r="A71" s="815"/>
      <c r="B71" s="809"/>
      <c r="C71" s="809"/>
      <c r="D71" s="809"/>
      <c r="E71" s="809"/>
      <c r="F71" s="809"/>
      <c r="G71" s="809"/>
      <c r="H71" s="1127" t="s">
        <v>2187</v>
      </c>
      <c r="I71" s="809"/>
      <c r="J71" s="896"/>
      <c r="K71" s="832"/>
      <c r="L71" s="832"/>
      <c r="M71" s="832"/>
      <c r="N71" s="832"/>
      <c r="O71" s="832"/>
      <c r="P71" s="832"/>
      <c r="Q71" s="832"/>
      <c r="R71" s="832"/>
      <c r="S71" s="832"/>
      <c r="T71" s="832"/>
    </row>
    <row r="72" spans="1:20" x14ac:dyDescent="0.2">
      <c r="A72" s="898" t="s">
        <v>986</v>
      </c>
      <c r="B72" s="809"/>
      <c r="C72" s="832"/>
      <c r="D72" s="832"/>
      <c r="E72" s="832"/>
      <c r="F72" s="832"/>
      <c r="G72" s="1127"/>
      <c r="H72" s="809"/>
      <c r="I72" s="1127"/>
      <c r="J72" s="896"/>
      <c r="K72" s="832"/>
      <c r="L72" s="832"/>
      <c r="M72" s="832"/>
      <c r="N72" s="832"/>
      <c r="O72" s="832"/>
      <c r="P72" s="832"/>
      <c r="Q72" s="832"/>
      <c r="R72" s="832"/>
      <c r="S72" s="832"/>
      <c r="T72" s="832"/>
    </row>
    <row r="73" spans="1:20" x14ac:dyDescent="0.2">
      <c r="A73" s="815"/>
      <c r="B73" s="1127"/>
      <c r="C73" s="1127"/>
      <c r="D73" s="809"/>
      <c r="E73" s="1127"/>
      <c r="F73" s="809"/>
      <c r="G73" s="809"/>
      <c r="H73" s="809"/>
      <c r="I73" s="1127"/>
      <c r="J73" s="896"/>
      <c r="K73" s="832"/>
      <c r="L73" s="990"/>
      <c r="M73" s="832"/>
      <c r="N73" s="832"/>
      <c r="O73" s="832"/>
      <c r="P73" s="832"/>
      <c r="Q73" s="832"/>
      <c r="R73" s="990"/>
      <c r="S73" s="832"/>
      <c r="T73" s="832"/>
    </row>
    <row r="74" spans="1:20" x14ac:dyDescent="0.2">
      <c r="A74" s="815"/>
      <c r="B74" s="1127"/>
      <c r="C74" s="919"/>
      <c r="D74" s="908"/>
      <c r="E74" s="1127"/>
      <c r="F74" s="921"/>
      <c r="G74" s="1127"/>
      <c r="H74" s="809"/>
      <c r="I74" s="809"/>
      <c r="J74" s="896"/>
      <c r="K74" s="832"/>
      <c r="L74" s="832"/>
      <c r="M74" s="994"/>
      <c r="N74" s="990"/>
      <c r="O74" s="832"/>
      <c r="P74" s="832"/>
      <c r="Q74" s="990"/>
      <c r="R74" s="832"/>
      <c r="S74" s="832"/>
      <c r="T74" s="832"/>
    </row>
    <row r="75" spans="1:20" x14ac:dyDescent="0.2">
      <c r="A75" s="815"/>
      <c r="B75" s="809"/>
      <c r="C75" s="1127"/>
      <c r="D75" s="832"/>
      <c r="E75" s="948">
        <f>E45</f>
        <v>6</v>
      </c>
      <c r="F75" s="943" t="s">
        <v>24</v>
      </c>
      <c r="G75" s="832"/>
      <c r="H75" s="1127"/>
      <c r="I75" s="921"/>
      <c r="J75" s="932"/>
      <c r="K75" s="832"/>
      <c r="L75" s="995"/>
      <c r="M75" s="990"/>
      <c r="N75" s="995"/>
      <c r="O75" s="832"/>
      <c r="P75" s="990"/>
      <c r="Q75" s="832"/>
      <c r="R75" s="990"/>
      <c r="S75" s="832"/>
      <c r="T75" s="832"/>
    </row>
    <row r="76" spans="1:20" x14ac:dyDescent="0.2">
      <c r="A76" s="815"/>
      <c r="B76" s="809"/>
      <c r="C76" s="1127" t="s">
        <v>1449</v>
      </c>
      <c r="D76" s="908">
        <f>E24</f>
        <v>6.1</v>
      </c>
      <c r="E76" s="1127" t="s">
        <v>2497</v>
      </c>
      <c r="F76" s="809"/>
      <c r="G76" s="1127"/>
      <c r="H76" s="908"/>
      <c r="I76" s="1127"/>
      <c r="J76" s="896"/>
      <c r="K76" s="990" t="s">
        <v>1450</v>
      </c>
      <c r="L76" s="990"/>
      <c r="M76" s="832"/>
      <c r="N76" s="990"/>
      <c r="O76" s="832"/>
      <c r="P76" s="997"/>
      <c r="Q76" s="990"/>
      <c r="R76" s="990"/>
      <c r="S76" s="832"/>
      <c r="T76" s="832"/>
    </row>
    <row r="77" spans="1:20" x14ac:dyDescent="0.2">
      <c r="A77" s="815"/>
      <c r="B77" s="809"/>
      <c r="C77" s="809"/>
      <c r="D77" s="1127"/>
      <c r="E77" s="809"/>
      <c r="F77" s="1127"/>
      <c r="G77" s="832"/>
      <c r="H77" s="921"/>
      <c r="I77" s="921"/>
      <c r="J77" s="941"/>
      <c r="K77" s="990" t="s">
        <v>1452</v>
      </c>
      <c r="L77" s="996"/>
      <c r="M77" s="994"/>
      <c r="N77" s="990"/>
      <c r="O77" s="995"/>
      <c r="P77" s="990"/>
      <c r="Q77" s="994"/>
      <c r="R77" s="990"/>
      <c r="S77" s="832"/>
      <c r="T77" s="832"/>
    </row>
    <row r="78" spans="1:20" x14ac:dyDescent="0.2">
      <c r="A78" s="815"/>
      <c r="B78" s="809"/>
      <c r="C78" s="809"/>
      <c r="D78" s="809"/>
      <c r="E78" s="809"/>
      <c r="F78" s="809"/>
      <c r="G78" s="1127"/>
      <c r="H78" s="809"/>
      <c r="I78" s="1127"/>
      <c r="J78" s="896"/>
      <c r="K78" s="832"/>
      <c r="L78" s="990"/>
      <c r="M78" s="995"/>
      <c r="N78" s="990"/>
      <c r="O78" s="990"/>
      <c r="P78" s="990"/>
      <c r="Q78" s="990"/>
      <c r="R78" s="995"/>
      <c r="S78" s="990"/>
      <c r="T78" s="832"/>
    </row>
    <row r="79" spans="1:20" x14ac:dyDescent="0.2">
      <c r="A79" s="815"/>
      <c r="B79" s="809"/>
      <c r="C79" s="809"/>
      <c r="D79" s="809"/>
      <c r="E79" s="809"/>
      <c r="F79" s="809"/>
      <c r="G79" s="1127"/>
      <c r="H79" s="809"/>
      <c r="I79" s="1127"/>
      <c r="J79" s="896"/>
      <c r="K79" s="832"/>
      <c r="L79" s="996"/>
      <c r="M79" s="832"/>
      <c r="N79" s="990"/>
      <c r="O79" s="832"/>
      <c r="P79" s="990"/>
      <c r="Q79" s="832"/>
      <c r="R79" s="990"/>
      <c r="S79" s="997"/>
      <c r="T79" s="832"/>
    </row>
    <row r="80" spans="1:20" x14ac:dyDescent="0.2">
      <c r="A80" s="815"/>
      <c r="B80" s="809"/>
      <c r="C80" s="809"/>
      <c r="D80" s="809"/>
      <c r="E80" s="809"/>
      <c r="F80" s="809"/>
      <c r="G80" s="1127"/>
      <c r="H80" s="809"/>
      <c r="I80" s="1127"/>
      <c r="J80" s="896"/>
      <c r="K80" s="832"/>
      <c r="L80" s="832"/>
      <c r="M80" s="832"/>
      <c r="N80" s="832"/>
      <c r="O80" s="832"/>
      <c r="P80" s="990"/>
      <c r="Q80" s="995"/>
      <c r="R80" s="995"/>
      <c r="S80" s="990"/>
      <c r="T80" s="832"/>
    </row>
    <row r="81" spans="1:20" x14ac:dyDescent="0.2">
      <c r="A81" s="815"/>
      <c r="B81" s="809"/>
      <c r="C81" s="809"/>
      <c r="D81" s="809"/>
      <c r="E81" s="809"/>
      <c r="F81" s="809"/>
      <c r="G81" s="1127"/>
      <c r="H81" s="809"/>
      <c r="I81" s="1127"/>
      <c r="J81" s="896"/>
      <c r="K81" s="832"/>
      <c r="L81" s="832"/>
      <c r="M81" s="832"/>
      <c r="N81" s="832"/>
      <c r="O81" s="832"/>
      <c r="P81" s="990"/>
      <c r="Q81" s="832"/>
      <c r="R81" s="990"/>
      <c r="S81" s="832"/>
      <c r="T81" s="832"/>
    </row>
    <row r="82" spans="1:20" x14ac:dyDescent="0.2">
      <c r="A82" s="815"/>
      <c r="B82" s="809"/>
      <c r="C82" s="1127"/>
      <c r="D82" s="1127"/>
      <c r="E82" s="908">
        <f>E26</f>
        <v>5.0999999999999996</v>
      </c>
      <c r="F82" s="1127" t="s">
        <v>2343</v>
      </c>
      <c r="G82" s="1127"/>
      <c r="H82" s="809">
        <f>E25</f>
        <v>5.35</v>
      </c>
      <c r="I82" s="1127" t="s">
        <v>2343</v>
      </c>
      <c r="J82" s="896"/>
      <c r="K82" s="832"/>
      <c r="L82" s="832"/>
      <c r="M82" s="832"/>
      <c r="N82" s="832"/>
      <c r="O82" s="832"/>
      <c r="P82" s="990"/>
      <c r="Q82" s="832"/>
      <c r="R82" s="990"/>
      <c r="S82" s="832"/>
      <c r="T82" s="832"/>
    </row>
    <row r="83" spans="1:20" x14ac:dyDescent="0.2">
      <c r="A83" s="815"/>
      <c r="B83" s="809"/>
      <c r="C83" s="809"/>
      <c r="D83" s="809"/>
      <c r="E83" s="809"/>
      <c r="F83" s="809"/>
      <c r="G83" s="1127"/>
      <c r="H83" s="809"/>
      <c r="I83" s="1127"/>
      <c r="J83" s="1437">
        <f>E31</f>
        <v>350</v>
      </c>
      <c r="K83" s="832"/>
      <c r="L83" s="832"/>
      <c r="M83" s="832"/>
      <c r="N83" s="832"/>
      <c r="O83" s="832"/>
      <c r="P83" s="990"/>
      <c r="Q83" s="832"/>
      <c r="R83" s="990"/>
      <c r="S83" s="832"/>
      <c r="T83" s="832"/>
    </row>
    <row r="84" spans="1:20" x14ac:dyDescent="0.2">
      <c r="A84" s="815"/>
      <c r="B84" s="809"/>
      <c r="C84" s="920">
        <f>E33</f>
        <v>550</v>
      </c>
      <c r="D84" s="1127" t="s">
        <v>985</v>
      </c>
      <c r="E84" s="921"/>
      <c r="F84" s="921"/>
      <c r="G84" s="1127"/>
      <c r="H84" s="809"/>
      <c r="I84" s="1127"/>
      <c r="J84" s="1437"/>
      <c r="K84" s="832"/>
      <c r="L84" s="832"/>
      <c r="M84" s="832"/>
      <c r="N84" s="994"/>
      <c r="O84" s="990"/>
      <c r="P84" s="990"/>
      <c r="Q84" s="832"/>
      <c r="R84" s="990"/>
      <c r="S84" s="832"/>
      <c r="T84" s="832"/>
    </row>
    <row r="85" spans="1:20" x14ac:dyDescent="0.2">
      <c r="A85" s="815"/>
      <c r="B85" s="809"/>
      <c r="C85" s="1127"/>
      <c r="D85" s="1127"/>
      <c r="E85" s="1127" t="s">
        <v>984</v>
      </c>
      <c r="F85" s="809"/>
      <c r="G85" s="1127" t="s">
        <v>1451</v>
      </c>
      <c r="H85" s="809"/>
      <c r="I85" s="1127"/>
      <c r="J85" s="896"/>
      <c r="K85" s="832"/>
      <c r="L85" s="990"/>
      <c r="M85" s="990"/>
      <c r="N85" s="990"/>
      <c r="O85" s="995"/>
      <c r="P85" s="990"/>
      <c r="Q85" s="832"/>
      <c r="R85" s="990"/>
      <c r="S85" s="832"/>
      <c r="T85" s="832"/>
    </row>
    <row r="86" spans="1:20" x14ac:dyDescent="0.2">
      <c r="A86" s="815"/>
      <c r="B86" s="809"/>
      <c r="C86" s="1127"/>
      <c r="D86" s="1127"/>
      <c r="E86" s="809"/>
      <c r="F86" s="809"/>
      <c r="G86" s="942"/>
      <c r="H86" s="855"/>
      <c r="I86" s="1127"/>
      <c r="J86" s="896"/>
      <c r="K86" s="832"/>
      <c r="L86" s="997"/>
      <c r="M86" s="990"/>
      <c r="N86" s="832"/>
      <c r="O86" s="832"/>
      <c r="P86" s="990"/>
      <c r="Q86" s="832"/>
      <c r="R86" s="990"/>
      <c r="S86" s="832"/>
      <c r="T86" s="832"/>
    </row>
    <row r="87" spans="1:20" x14ac:dyDescent="0.2">
      <c r="A87" s="815"/>
      <c r="B87" s="809"/>
      <c r="C87" s="908">
        <f>E43</f>
        <v>5.75</v>
      </c>
      <c r="D87" s="1127" t="s">
        <v>386</v>
      </c>
      <c r="E87" s="809"/>
      <c r="F87" s="809"/>
      <c r="G87" s="1127"/>
      <c r="H87" s="855"/>
      <c r="I87" s="1127"/>
      <c r="J87" s="896"/>
      <c r="K87" s="832"/>
      <c r="L87" s="990"/>
      <c r="M87" s="990"/>
      <c r="N87" s="995"/>
      <c r="O87" s="995"/>
      <c r="P87" s="990"/>
      <c r="Q87" s="832"/>
      <c r="R87" s="990"/>
      <c r="S87" s="832"/>
      <c r="T87" s="832"/>
    </row>
    <row r="88" spans="1:20" x14ac:dyDescent="0.2">
      <c r="A88" s="815"/>
      <c r="B88" s="809"/>
      <c r="C88" s="1127"/>
      <c r="D88" s="1127"/>
      <c r="E88" s="809"/>
      <c r="F88" s="809"/>
      <c r="G88" s="924">
        <f>E32</f>
        <v>350</v>
      </c>
      <c r="H88" s="809"/>
      <c r="I88" s="1127"/>
      <c r="J88" s="896"/>
      <c r="K88" s="832"/>
      <c r="L88" s="990"/>
      <c r="M88" s="990"/>
      <c r="N88" s="832"/>
      <c r="O88" s="832"/>
      <c r="P88" s="990"/>
      <c r="Q88" s="832"/>
      <c r="R88" s="990"/>
      <c r="S88" s="832"/>
      <c r="T88" s="832"/>
    </row>
    <row r="89" spans="1:20" x14ac:dyDescent="0.2">
      <c r="A89" s="815"/>
      <c r="B89" s="809"/>
      <c r="C89" s="1127"/>
      <c r="D89" s="1127"/>
      <c r="E89" s="809"/>
      <c r="F89" s="1127" t="s">
        <v>2189</v>
      </c>
      <c r="G89" s="809"/>
      <c r="H89" s="809"/>
      <c r="I89" s="809"/>
      <c r="J89" s="896"/>
      <c r="K89" s="832"/>
      <c r="L89" s="990"/>
      <c r="M89" s="990"/>
      <c r="N89" s="832"/>
      <c r="O89" s="832"/>
      <c r="P89" s="997"/>
      <c r="Q89" s="990"/>
      <c r="R89" s="990"/>
      <c r="S89" s="832"/>
      <c r="T89" s="832"/>
    </row>
    <row r="90" spans="1:20" x14ac:dyDescent="0.2">
      <c r="A90" s="815"/>
      <c r="B90" s="809"/>
      <c r="C90" s="1127"/>
      <c r="D90" s="1127"/>
      <c r="E90" s="908">
        <f>E27</f>
        <v>-1.2</v>
      </c>
      <c r="F90" s="809" t="s">
        <v>2343</v>
      </c>
      <c r="G90" s="921"/>
      <c r="H90" s="1127" t="s">
        <v>2190</v>
      </c>
      <c r="I90" s="921"/>
      <c r="J90" s="896"/>
      <c r="K90" s="832"/>
      <c r="L90" s="994"/>
      <c r="M90" s="990"/>
      <c r="N90" s="832"/>
      <c r="O90" s="832"/>
      <c r="P90" s="990"/>
      <c r="Q90" s="832"/>
      <c r="R90" s="990"/>
      <c r="S90" s="832"/>
      <c r="T90" s="832"/>
    </row>
    <row r="91" spans="1:20" x14ac:dyDescent="0.2">
      <c r="A91" s="815"/>
      <c r="B91" s="809"/>
      <c r="C91" s="920">
        <f>E34</f>
        <v>750</v>
      </c>
      <c r="D91" s="1127" t="s">
        <v>985</v>
      </c>
      <c r="E91" s="809"/>
      <c r="F91" s="809"/>
      <c r="G91" s="809"/>
      <c r="H91" s="809"/>
      <c r="I91" s="1127"/>
      <c r="J91" s="896"/>
      <c r="K91" s="832"/>
      <c r="L91" s="990"/>
      <c r="M91" s="990"/>
      <c r="N91" s="832"/>
      <c r="O91" s="832"/>
      <c r="P91" s="990"/>
      <c r="Q91" s="832"/>
      <c r="R91" s="990"/>
      <c r="S91" s="832"/>
      <c r="T91" s="832"/>
    </row>
    <row r="92" spans="1:20" x14ac:dyDescent="0.2">
      <c r="A92" s="815"/>
      <c r="B92" s="809"/>
      <c r="C92" s="809"/>
      <c r="D92" s="809"/>
      <c r="E92" s="809"/>
      <c r="F92" s="809"/>
      <c r="G92" s="809"/>
      <c r="H92" s="809"/>
      <c r="I92" s="1127"/>
      <c r="J92" s="896"/>
      <c r="K92" s="832"/>
      <c r="L92" s="990"/>
      <c r="M92" s="990"/>
      <c r="N92" s="994"/>
      <c r="O92" s="990"/>
      <c r="P92" s="832"/>
      <c r="Q92" s="990"/>
      <c r="R92" s="832"/>
      <c r="S92" s="832"/>
      <c r="T92" s="832"/>
    </row>
    <row r="93" spans="1:20" x14ac:dyDescent="0.2">
      <c r="A93" s="815"/>
      <c r="B93" s="809"/>
      <c r="C93" s="1127"/>
      <c r="D93" s="1127"/>
      <c r="E93" s="921"/>
      <c r="F93" s="921"/>
      <c r="G93" s="921"/>
      <c r="H93" s="921"/>
      <c r="I93" s="921"/>
      <c r="J93" s="896"/>
      <c r="K93" s="832"/>
      <c r="L93" s="990"/>
      <c r="M93" s="990"/>
      <c r="N93" s="990"/>
      <c r="O93" s="995"/>
      <c r="P93" s="995"/>
      <c r="Q93" s="995"/>
      <c r="R93" s="995"/>
      <c r="S93" s="832"/>
      <c r="T93" s="832"/>
    </row>
    <row r="94" spans="1:20" x14ac:dyDescent="0.2">
      <c r="A94" s="815"/>
      <c r="B94" s="809"/>
      <c r="C94" s="809"/>
      <c r="D94" s="809"/>
      <c r="E94" s="809"/>
      <c r="F94" s="809"/>
      <c r="G94" s="1127"/>
      <c r="H94" s="908">
        <f>E47</f>
        <v>2.1</v>
      </c>
      <c r="I94" s="1127" t="s">
        <v>2188</v>
      </c>
      <c r="J94" s="896"/>
      <c r="K94" s="832"/>
      <c r="L94" s="832"/>
      <c r="M94" s="990"/>
      <c r="N94" s="832"/>
      <c r="O94" s="832"/>
      <c r="P94" s="832"/>
      <c r="Q94" s="832"/>
      <c r="R94" s="990"/>
      <c r="S94" s="832"/>
      <c r="T94" s="832"/>
    </row>
    <row r="95" spans="1:20" x14ac:dyDescent="0.2">
      <c r="A95" s="815"/>
      <c r="B95" s="809"/>
      <c r="C95" s="809"/>
      <c r="D95" s="809"/>
      <c r="E95" s="809"/>
      <c r="F95" s="809"/>
      <c r="G95" s="1127"/>
      <c r="H95" s="809"/>
      <c r="I95" s="1127"/>
      <c r="J95" s="896"/>
      <c r="K95" s="832"/>
      <c r="L95" s="997"/>
      <c r="M95" s="990"/>
      <c r="N95" s="832"/>
      <c r="O95" s="832"/>
      <c r="P95" s="832"/>
      <c r="Q95" s="832"/>
      <c r="R95" s="990"/>
      <c r="S95" s="832"/>
      <c r="T95" s="832"/>
    </row>
    <row r="96" spans="1:20" x14ac:dyDescent="0.2">
      <c r="A96" s="815"/>
      <c r="B96" s="1127" t="s">
        <v>1456</v>
      </c>
      <c r="C96" s="809"/>
      <c r="D96" s="809"/>
      <c r="E96" s="809"/>
      <c r="F96" s="809"/>
      <c r="G96" s="809"/>
      <c r="H96" s="809"/>
      <c r="I96" s="809"/>
      <c r="J96" s="896"/>
      <c r="K96" s="832"/>
      <c r="L96" s="990"/>
      <c r="M96" s="990"/>
      <c r="N96" s="995"/>
      <c r="O96" s="995"/>
      <c r="P96" s="995"/>
      <c r="Q96" s="995"/>
      <c r="R96" s="995"/>
      <c r="S96" s="832"/>
      <c r="T96" s="832"/>
    </row>
    <row r="97" spans="1:20" x14ac:dyDescent="0.2">
      <c r="A97" s="815"/>
      <c r="B97" s="809"/>
      <c r="C97" s="809"/>
      <c r="D97" s="809"/>
      <c r="E97" s="809"/>
      <c r="F97" s="809"/>
      <c r="G97" s="809"/>
      <c r="H97" s="809"/>
      <c r="I97" s="809"/>
      <c r="J97" s="896"/>
      <c r="K97" s="832"/>
      <c r="L97" s="832"/>
      <c r="M97" s="832"/>
      <c r="N97" s="832"/>
      <c r="O97" s="832"/>
      <c r="P97" s="990"/>
      <c r="Q97" s="994"/>
      <c r="R97" s="990"/>
      <c r="S97" s="832"/>
      <c r="T97" s="832"/>
    </row>
    <row r="98" spans="1:20" x14ac:dyDescent="0.2">
      <c r="A98" s="815"/>
      <c r="B98" s="809"/>
      <c r="C98" s="809"/>
      <c r="D98" s="809"/>
      <c r="E98" s="1127"/>
      <c r="F98" s="809"/>
      <c r="G98" s="809"/>
      <c r="H98" s="809"/>
      <c r="I98" s="809"/>
      <c r="J98" s="896"/>
      <c r="K98" s="832"/>
      <c r="L98" s="832"/>
      <c r="M98" s="832"/>
      <c r="N98" s="832"/>
      <c r="O98" s="832"/>
      <c r="P98" s="990"/>
      <c r="Q98" s="995"/>
      <c r="R98" s="990"/>
      <c r="S98" s="832"/>
      <c r="T98" s="832"/>
    </row>
    <row r="99" spans="1:20" x14ac:dyDescent="0.2">
      <c r="A99" s="898" t="s">
        <v>950</v>
      </c>
      <c r="B99" s="809"/>
      <c r="C99" s="809"/>
      <c r="D99" s="1127"/>
      <c r="E99" s="943">
        <f>E35</f>
        <v>700</v>
      </c>
      <c r="F99" s="1127" t="s">
        <v>43</v>
      </c>
      <c r="G99" s="908">
        <f>E25</f>
        <v>5.35</v>
      </c>
      <c r="H99" s="1127" t="s">
        <v>2343</v>
      </c>
      <c r="I99" s="809"/>
      <c r="J99" s="896"/>
      <c r="K99" s="832"/>
      <c r="L99" s="832"/>
      <c r="M99" s="832"/>
      <c r="N99" s="832"/>
      <c r="O99" s="832"/>
      <c r="P99" s="832"/>
      <c r="Q99" s="832"/>
      <c r="R99" s="832"/>
      <c r="S99" s="832"/>
      <c r="T99" s="832"/>
    </row>
    <row r="100" spans="1:20" x14ac:dyDescent="0.2">
      <c r="A100" s="815"/>
      <c r="B100" s="809"/>
      <c r="C100" s="809"/>
      <c r="D100" s="920">
        <f>E40</f>
        <v>350</v>
      </c>
      <c r="E100" s="1127" t="s">
        <v>985</v>
      </c>
      <c r="F100" s="1127" t="s">
        <v>2496</v>
      </c>
      <c r="G100" s="809"/>
      <c r="H100" s="809"/>
      <c r="I100" s="809"/>
      <c r="J100" s="896"/>
      <c r="K100" s="990" t="s">
        <v>1456</v>
      </c>
      <c r="L100" s="832"/>
      <c r="M100" s="832"/>
      <c r="N100" s="832"/>
      <c r="O100" s="832"/>
      <c r="P100" s="832"/>
      <c r="Q100" s="832"/>
      <c r="R100" s="832"/>
      <c r="S100" s="832"/>
      <c r="T100" s="832"/>
    </row>
    <row r="101" spans="1:20" x14ac:dyDescent="0.2">
      <c r="A101" s="815"/>
      <c r="B101" s="809"/>
      <c r="C101" s="809"/>
      <c r="D101" s="1127"/>
      <c r="E101" s="1127"/>
      <c r="F101" s="921"/>
      <c r="G101" s="1127"/>
      <c r="H101" s="1127"/>
      <c r="I101" s="809"/>
      <c r="J101" s="896"/>
      <c r="K101" s="832"/>
      <c r="L101" s="832"/>
      <c r="M101" s="832"/>
      <c r="N101" s="832"/>
      <c r="O101" s="832"/>
      <c r="P101" s="832"/>
      <c r="Q101" s="832"/>
      <c r="R101" s="832"/>
      <c r="S101" s="832"/>
      <c r="T101" s="832"/>
    </row>
    <row r="102" spans="1:20" x14ac:dyDescent="0.2">
      <c r="A102" s="815"/>
      <c r="B102" s="809"/>
      <c r="C102" s="809"/>
      <c r="D102" s="809"/>
      <c r="E102" s="1127"/>
      <c r="F102" s="809"/>
      <c r="G102" s="1127"/>
      <c r="H102" s="919"/>
      <c r="I102" s="809"/>
      <c r="J102" s="896"/>
      <c r="K102" s="832"/>
      <c r="L102" s="832"/>
      <c r="M102" s="832"/>
      <c r="N102" s="832"/>
      <c r="O102" s="832"/>
      <c r="P102" s="832"/>
      <c r="Q102" s="832"/>
      <c r="R102" s="832"/>
      <c r="S102" s="832"/>
      <c r="T102" s="832"/>
    </row>
    <row r="103" spans="1:20" x14ac:dyDescent="0.2">
      <c r="A103" s="815"/>
      <c r="B103" s="809"/>
      <c r="C103" s="809"/>
      <c r="D103" s="809"/>
      <c r="E103" s="1127"/>
      <c r="F103" s="809"/>
      <c r="G103" s="1127"/>
      <c r="H103" s="919"/>
      <c r="I103" s="809"/>
      <c r="J103" s="896"/>
      <c r="K103" s="832"/>
      <c r="L103" s="832"/>
      <c r="M103" s="832"/>
      <c r="N103" s="990"/>
      <c r="O103" s="832"/>
      <c r="P103" s="832"/>
      <c r="Q103" s="832"/>
      <c r="R103" s="832"/>
      <c r="S103" s="832"/>
      <c r="T103" s="832"/>
    </row>
    <row r="104" spans="1:20" x14ac:dyDescent="0.2">
      <c r="A104" s="815"/>
      <c r="B104" s="809"/>
      <c r="C104" s="809"/>
      <c r="D104" s="809"/>
      <c r="E104" s="1127"/>
      <c r="F104" s="809"/>
      <c r="G104" s="1127"/>
      <c r="H104" s="919"/>
      <c r="I104" s="809"/>
      <c r="J104" s="896"/>
      <c r="K104" s="832"/>
      <c r="L104" s="832"/>
      <c r="M104" s="832"/>
      <c r="N104" s="997"/>
      <c r="O104" s="990"/>
      <c r="P104" s="832"/>
      <c r="Q104" s="832"/>
      <c r="R104" s="832"/>
      <c r="S104" s="832"/>
      <c r="T104" s="832"/>
    </row>
    <row r="105" spans="1:20" x14ac:dyDescent="0.2">
      <c r="A105" s="815"/>
      <c r="B105" s="809"/>
      <c r="C105" s="809"/>
      <c r="D105" s="809"/>
      <c r="E105" s="1127"/>
      <c r="F105" s="1127" t="s">
        <v>1459</v>
      </c>
      <c r="G105" s="809"/>
      <c r="H105" s="919"/>
      <c r="I105" s="809"/>
      <c r="J105" s="896"/>
      <c r="K105" s="832"/>
      <c r="L105" s="832"/>
      <c r="M105" s="832"/>
      <c r="N105" s="990"/>
      <c r="O105" s="832"/>
      <c r="P105" s="994"/>
      <c r="Q105" s="990"/>
      <c r="R105" s="832"/>
      <c r="S105" s="832"/>
      <c r="T105" s="832"/>
    </row>
    <row r="106" spans="1:20" x14ac:dyDescent="0.2">
      <c r="A106" s="815"/>
      <c r="B106" s="809"/>
      <c r="C106" s="809"/>
      <c r="D106" s="809"/>
      <c r="E106" s="1127"/>
      <c r="F106" s="809"/>
      <c r="G106" s="1127"/>
      <c r="H106" s="919"/>
      <c r="I106" s="809"/>
      <c r="J106" s="896"/>
      <c r="K106" s="832"/>
      <c r="L106" s="832"/>
      <c r="M106" s="990"/>
      <c r="N106" s="990"/>
      <c r="O106" s="995"/>
      <c r="P106" s="990"/>
      <c r="Q106" s="990"/>
      <c r="R106" s="832"/>
      <c r="S106" s="832"/>
      <c r="T106" s="832"/>
    </row>
    <row r="107" spans="1:20" x14ac:dyDescent="0.2">
      <c r="A107" s="815"/>
      <c r="B107" s="809"/>
      <c r="C107" s="809"/>
      <c r="D107" s="809"/>
      <c r="E107" s="920">
        <f>E36</f>
        <v>700</v>
      </c>
      <c r="F107" s="1127" t="s">
        <v>43</v>
      </c>
      <c r="G107" s="1127"/>
      <c r="H107" s="919"/>
      <c r="I107" s="809"/>
      <c r="J107" s="896"/>
      <c r="K107" s="832"/>
      <c r="L107" s="832"/>
      <c r="M107" s="997"/>
      <c r="N107" s="990"/>
      <c r="O107" s="990"/>
      <c r="P107" s="832"/>
      <c r="Q107" s="832"/>
      <c r="R107" s="832"/>
      <c r="S107" s="832"/>
      <c r="T107" s="832"/>
    </row>
    <row r="108" spans="1:20" x14ac:dyDescent="0.2">
      <c r="A108" s="815"/>
      <c r="B108" s="809"/>
      <c r="C108" s="809"/>
      <c r="D108" s="1127"/>
      <c r="E108" s="1127"/>
      <c r="F108" s="921"/>
      <c r="G108" s="1127"/>
      <c r="H108" s="1127"/>
      <c r="I108" s="809"/>
      <c r="J108" s="896"/>
      <c r="K108" s="832"/>
      <c r="L108" s="832"/>
      <c r="M108" s="990"/>
      <c r="N108" s="990"/>
      <c r="O108" s="995"/>
      <c r="P108" s="990"/>
      <c r="Q108" s="990"/>
      <c r="R108" s="832"/>
      <c r="S108" s="832"/>
      <c r="T108" s="832"/>
    </row>
    <row r="109" spans="1:20" x14ac:dyDescent="0.2">
      <c r="A109" s="815"/>
      <c r="B109" s="809"/>
      <c r="C109" s="809"/>
      <c r="D109" s="1127"/>
      <c r="E109" s="1127"/>
      <c r="F109" s="809"/>
      <c r="G109" s="1127"/>
      <c r="H109" s="919"/>
      <c r="I109" s="809"/>
      <c r="J109" s="896"/>
      <c r="K109" s="832"/>
      <c r="L109" s="832"/>
      <c r="M109" s="832"/>
      <c r="N109" s="990"/>
      <c r="O109" s="832"/>
      <c r="P109" s="990"/>
      <c r="Q109" s="996"/>
      <c r="R109" s="832"/>
      <c r="S109" s="832"/>
      <c r="T109" s="832"/>
    </row>
    <row r="110" spans="1:20" x14ac:dyDescent="0.2">
      <c r="A110" s="815"/>
      <c r="B110" s="809"/>
      <c r="C110" s="809"/>
      <c r="D110" s="908">
        <f>E43</f>
        <v>5.75</v>
      </c>
      <c r="E110" s="1127" t="s">
        <v>977</v>
      </c>
      <c r="F110" s="809"/>
      <c r="G110" s="1127"/>
      <c r="H110" s="919"/>
      <c r="I110" s="809"/>
      <c r="J110" s="896"/>
      <c r="K110" s="832"/>
      <c r="L110" s="832"/>
      <c r="M110" s="832"/>
      <c r="N110" s="990"/>
      <c r="O110" s="832"/>
      <c r="P110" s="990"/>
      <c r="Q110" s="996"/>
      <c r="R110" s="832"/>
      <c r="S110" s="832"/>
      <c r="T110" s="832"/>
    </row>
    <row r="111" spans="1:20" x14ac:dyDescent="0.2">
      <c r="A111" s="815"/>
      <c r="B111" s="809"/>
      <c r="C111" s="809"/>
      <c r="D111" s="1127"/>
      <c r="E111" s="1127"/>
      <c r="F111" s="1127" t="s">
        <v>1461</v>
      </c>
      <c r="G111" s="1127"/>
      <c r="H111" s="919"/>
      <c r="I111" s="809"/>
      <c r="J111" s="896"/>
      <c r="K111" s="832"/>
      <c r="L111" s="832"/>
      <c r="M111" s="832"/>
      <c r="N111" s="990"/>
      <c r="O111" s="832"/>
      <c r="P111" s="990"/>
      <c r="Q111" s="996"/>
      <c r="R111" s="832"/>
      <c r="S111" s="832"/>
      <c r="T111" s="832"/>
    </row>
    <row r="112" spans="1:20" x14ac:dyDescent="0.2">
      <c r="A112" s="815"/>
      <c r="B112" s="809"/>
      <c r="C112" s="809"/>
      <c r="D112" s="1127"/>
      <c r="E112" s="1127"/>
      <c r="F112" s="809"/>
      <c r="G112" s="1127"/>
      <c r="H112" s="919"/>
      <c r="I112" s="809"/>
      <c r="J112" s="896"/>
      <c r="K112" s="832"/>
      <c r="L112" s="832"/>
      <c r="M112" s="832"/>
      <c r="N112" s="990"/>
      <c r="O112" s="990"/>
      <c r="P112" s="832"/>
      <c r="Q112" s="996"/>
      <c r="R112" s="832"/>
      <c r="S112" s="832"/>
      <c r="T112" s="832"/>
    </row>
    <row r="113" spans="1:20" x14ac:dyDescent="0.2">
      <c r="A113" s="815"/>
      <c r="B113" s="809"/>
      <c r="C113" s="809"/>
      <c r="D113" s="1127"/>
      <c r="E113" s="1127"/>
      <c r="F113" s="809"/>
      <c r="G113" s="809"/>
      <c r="H113" s="919"/>
      <c r="I113" s="809"/>
      <c r="J113" s="896"/>
      <c r="K113" s="832"/>
      <c r="L113" s="832"/>
      <c r="M113" s="832"/>
      <c r="N113" s="990"/>
      <c r="O113" s="832"/>
      <c r="P113" s="990"/>
      <c r="Q113" s="996"/>
      <c r="R113" s="832"/>
      <c r="S113" s="832"/>
      <c r="T113" s="832"/>
    </row>
    <row r="114" spans="1:20" x14ac:dyDescent="0.2">
      <c r="A114" s="815"/>
      <c r="B114" s="809"/>
      <c r="C114" s="809"/>
      <c r="D114" s="1127"/>
      <c r="E114" s="1127"/>
      <c r="F114" s="908">
        <f>E27</f>
        <v>-1.2</v>
      </c>
      <c r="G114" s="1127" t="s">
        <v>2343</v>
      </c>
      <c r="H114" s="1127"/>
      <c r="I114" s="809"/>
      <c r="J114" s="896"/>
      <c r="K114" s="832"/>
      <c r="L114" s="832"/>
      <c r="M114" s="832"/>
      <c r="N114" s="997"/>
      <c r="O114" s="990"/>
      <c r="P114" s="990"/>
      <c r="Q114" s="996"/>
      <c r="R114" s="832"/>
      <c r="S114" s="832"/>
      <c r="T114" s="832"/>
    </row>
    <row r="115" spans="1:20" x14ac:dyDescent="0.2">
      <c r="A115" s="815"/>
      <c r="B115" s="809"/>
      <c r="C115" s="809"/>
      <c r="D115" s="809"/>
      <c r="E115" s="1127"/>
      <c r="F115" s="809"/>
      <c r="G115" s="809"/>
      <c r="H115" s="1127"/>
      <c r="I115" s="809"/>
      <c r="J115" s="896"/>
      <c r="K115" s="832"/>
      <c r="L115" s="832"/>
      <c r="M115" s="990"/>
      <c r="N115" s="990"/>
      <c r="O115" s="995"/>
      <c r="P115" s="990"/>
      <c r="Q115" s="990"/>
      <c r="R115" s="832"/>
      <c r="S115" s="832"/>
      <c r="T115" s="832"/>
    </row>
    <row r="116" spans="1:20" x14ac:dyDescent="0.2">
      <c r="A116" s="815"/>
      <c r="B116" s="809"/>
      <c r="C116" s="809"/>
      <c r="D116" s="920">
        <f>E38</f>
        <v>750</v>
      </c>
      <c r="E116" s="1127" t="s">
        <v>985</v>
      </c>
      <c r="F116" s="809"/>
      <c r="G116" s="809"/>
      <c r="H116" s="1127"/>
      <c r="I116" s="809"/>
      <c r="J116" s="896"/>
      <c r="K116" s="832"/>
      <c r="L116" s="832"/>
      <c r="M116" s="990"/>
      <c r="N116" s="990"/>
      <c r="O116" s="832"/>
      <c r="P116" s="990"/>
      <c r="Q116" s="996"/>
      <c r="R116" s="832"/>
      <c r="S116" s="832"/>
      <c r="T116" s="832"/>
    </row>
    <row r="117" spans="1:20" x14ac:dyDescent="0.2">
      <c r="A117" s="815"/>
      <c r="B117" s="809"/>
      <c r="C117" s="809"/>
      <c r="D117" s="1127"/>
      <c r="E117" s="1127"/>
      <c r="F117" s="921"/>
      <c r="G117" s="921"/>
      <c r="H117" s="1127"/>
      <c r="I117" s="809"/>
      <c r="J117" s="896"/>
      <c r="K117" s="832"/>
      <c r="L117" s="832"/>
      <c r="M117" s="994"/>
      <c r="N117" s="990"/>
      <c r="O117" s="832"/>
      <c r="P117" s="990"/>
      <c r="Q117" s="996"/>
      <c r="R117" s="832"/>
      <c r="S117" s="832"/>
      <c r="T117" s="832"/>
    </row>
    <row r="118" spans="1:20" ht="13.5" thickBot="1" x14ac:dyDescent="0.25">
      <c r="A118" s="815"/>
      <c r="B118" s="809"/>
      <c r="C118" s="809"/>
      <c r="D118" s="809"/>
      <c r="E118" s="943">
        <f>E37</f>
        <v>750</v>
      </c>
      <c r="F118" s="1127" t="s">
        <v>43</v>
      </c>
      <c r="G118" s="920">
        <f>E39</f>
        <v>0</v>
      </c>
      <c r="H118" s="1127" t="s">
        <v>43</v>
      </c>
      <c r="I118" s="809"/>
      <c r="J118" s="896"/>
      <c r="K118" s="832"/>
      <c r="L118" s="832"/>
      <c r="M118" s="990"/>
      <c r="N118" s="990"/>
      <c r="O118" s="990"/>
      <c r="P118" s="990"/>
      <c r="Q118" s="996"/>
      <c r="R118" s="832"/>
      <c r="S118" s="832"/>
      <c r="T118" s="832"/>
    </row>
    <row r="119" spans="1:20" ht="13.5" thickBot="1" x14ac:dyDescent="0.25">
      <c r="A119" s="819"/>
      <c r="B119" s="821"/>
      <c r="C119" s="821"/>
      <c r="D119" s="821"/>
      <c r="E119" s="821"/>
      <c r="F119" s="926">
        <f>E44</f>
        <v>1.5</v>
      </c>
      <c r="G119" s="820" t="s">
        <v>1462</v>
      </c>
      <c r="H119" s="821"/>
      <c r="I119" s="821"/>
      <c r="J119" s="944" t="s">
        <v>2395</v>
      </c>
      <c r="K119" s="832"/>
      <c r="L119" s="832"/>
      <c r="M119" s="990"/>
      <c r="N119" s="990"/>
      <c r="O119" s="832"/>
      <c r="P119" s="990"/>
      <c r="Q119" s="996"/>
      <c r="R119" s="832"/>
      <c r="S119" s="832"/>
      <c r="T119" s="832"/>
    </row>
    <row r="120" spans="1:20" x14ac:dyDescent="0.2">
      <c r="A120" s="990" t="s">
        <v>950</v>
      </c>
      <c r="B120" s="832"/>
      <c r="C120" s="832"/>
      <c r="D120" s="832"/>
      <c r="E120" s="832"/>
      <c r="F120" s="832"/>
      <c r="G120" s="832"/>
      <c r="H120" s="832"/>
      <c r="I120" s="832"/>
      <c r="J120" s="832"/>
      <c r="K120" s="832"/>
      <c r="L120" s="832"/>
      <c r="M120" s="832"/>
      <c r="N120" s="832"/>
      <c r="O120" s="832"/>
      <c r="P120" s="832"/>
      <c r="Q120" s="832"/>
      <c r="R120" s="832"/>
      <c r="S120" s="832"/>
      <c r="T120" s="832"/>
    </row>
    <row r="121" spans="1:20" x14ac:dyDescent="0.2">
      <c r="A121" s="832"/>
      <c r="B121" s="832"/>
      <c r="C121" s="990" t="s">
        <v>1464</v>
      </c>
      <c r="D121" s="832"/>
      <c r="E121" s="832"/>
      <c r="F121" s="832"/>
      <c r="G121" s="832"/>
      <c r="H121" s="832"/>
      <c r="I121" s="832"/>
      <c r="J121" s="832"/>
      <c r="K121" s="832"/>
      <c r="L121" s="832"/>
      <c r="M121" s="832"/>
      <c r="N121" s="832"/>
      <c r="O121" s="832"/>
      <c r="P121" s="832"/>
      <c r="Q121" s="832"/>
      <c r="R121" s="832"/>
      <c r="S121" s="832"/>
      <c r="T121" s="832"/>
    </row>
    <row r="122" spans="1:20" x14ac:dyDescent="0.2">
      <c r="A122" s="990" t="s">
        <v>986</v>
      </c>
      <c r="B122" s="832"/>
      <c r="C122" s="832"/>
      <c r="D122" s="832"/>
      <c r="E122" s="832"/>
      <c r="F122" s="832"/>
      <c r="G122" s="832"/>
      <c r="H122" s="832"/>
      <c r="I122" s="832"/>
      <c r="J122" s="832"/>
      <c r="K122" s="832"/>
      <c r="L122" s="832"/>
      <c r="M122" s="832"/>
      <c r="N122" s="832"/>
      <c r="O122" s="832"/>
      <c r="P122" s="832"/>
      <c r="Q122" s="832"/>
      <c r="R122" s="832"/>
      <c r="S122" s="832"/>
      <c r="T122" s="832"/>
    </row>
    <row r="123" spans="1:20" x14ac:dyDescent="0.2">
      <c r="A123" s="990" t="s">
        <v>1465</v>
      </c>
      <c r="B123" s="990" t="s">
        <v>447</v>
      </c>
      <c r="C123" s="832"/>
      <c r="D123" s="832"/>
      <c r="E123" s="832"/>
      <c r="F123" s="832"/>
      <c r="G123" s="832"/>
      <c r="H123" s="832"/>
      <c r="I123" s="832"/>
      <c r="J123" s="832"/>
      <c r="K123" s="832"/>
      <c r="L123" s="832"/>
      <c r="M123" s="832"/>
      <c r="N123" s="832"/>
      <c r="O123" s="832"/>
      <c r="P123" s="832"/>
      <c r="Q123" s="832"/>
      <c r="R123" s="832"/>
      <c r="S123" s="832"/>
      <c r="T123" s="832"/>
    </row>
    <row r="124" spans="1:20" x14ac:dyDescent="0.2">
      <c r="A124" s="832"/>
      <c r="B124" s="990" t="s">
        <v>44</v>
      </c>
      <c r="C124" s="832"/>
      <c r="D124" s="832"/>
      <c r="E124" s="832"/>
      <c r="F124" s="994">
        <f>F59/F60</f>
        <v>9.8989898989898997</v>
      </c>
      <c r="G124" s="832"/>
      <c r="H124" s="832"/>
      <c r="I124" s="832"/>
      <c r="J124" s="832"/>
      <c r="K124" s="832"/>
      <c r="L124" s="832"/>
      <c r="M124" s="832"/>
      <c r="N124" s="832"/>
      <c r="O124" s="832"/>
      <c r="P124" s="832"/>
      <c r="Q124" s="832"/>
      <c r="R124" s="832"/>
      <c r="S124" s="832"/>
      <c r="T124" s="832"/>
    </row>
    <row r="125" spans="1:20" x14ac:dyDescent="0.2">
      <c r="A125" s="832"/>
      <c r="B125" s="990" t="s">
        <v>45</v>
      </c>
      <c r="C125" s="832"/>
      <c r="D125" s="994">
        <f>G54/G55</f>
        <v>21.170454545454547</v>
      </c>
      <c r="E125" s="832"/>
      <c r="F125" s="832"/>
      <c r="G125" s="832"/>
      <c r="H125" s="832"/>
      <c r="I125" s="832"/>
      <c r="J125" s="832"/>
      <c r="K125" s="832"/>
      <c r="L125" s="832"/>
      <c r="M125" s="832"/>
      <c r="N125" s="832"/>
      <c r="O125" s="832"/>
      <c r="P125" s="832"/>
      <c r="Q125" s="832"/>
      <c r="R125" s="832"/>
      <c r="S125" s="832"/>
      <c r="T125" s="832"/>
    </row>
    <row r="126" spans="1:20" x14ac:dyDescent="0.2">
      <c r="A126" s="832"/>
      <c r="B126" s="990" t="s">
        <v>46</v>
      </c>
      <c r="C126" s="832"/>
      <c r="D126" s="998">
        <f>F124/(F124+D125)</f>
        <v>0.31860852602917872</v>
      </c>
      <c r="E126" s="832"/>
      <c r="F126" s="832"/>
      <c r="G126" s="832"/>
      <c r="H126" s="832"/>
      <c r="I126" s="832"/>
      <c r="J126" s="832"/>
      <c r="K126" s="832"/>
      <c r="L126" s="832"/>
      <c r="M126" s="832"/>
      <c r="N126" s="832"/>
      <c r="O126" s="832"/>
      <c r="P126" s="832"/>
      <c r="Q126" s="832"/>
      <c r="R126" s="832"/>
      <c r="S126" s="832"/>
      <c r="T126" s="832"/>
    </row>
    <row r="127" spans="1:20" x14ac:dyDescent="0.2">
      <c r="A127" s="832"/>
      <c r="B127" s="990" t="s">
        <v>47</v>
      </c>
      <c r="C127" s="832"/>
      <c r="D127" s="832"/>
      <c r="E127" s="832"/>
      <c r="F127" s="998">
        <f>1-D126/3</f>
        <v>0.89379715799027371</v>
      </c>
      <c r="G127" s="832"/>
      <c r="H127" s="832"/>
      <c r="I127" s="832"/>
      <c r="J127" s="832"/>
      <c r="K127" s="832"/>
      <c r="L127" s="832"/>
      <c r="M127" s="832"/>
      <c r="N127" s="832"/>
      <c r="O127" s="832"/>
      <c r="P127" s="832"/>
      <c r="Q127" s="832"/>
      <c r="R127" s="832"/>
      <c r="S127" s="832"/>
      <c r="T127" s="832"/>
    </row>
    <row r="128" spans="1:20" x14ac:dyDescent="0.2">
      <c r="A128" s="832"/>
      <c r="B128" s="990" t="s">
        <v>48</v>
      </c>
      <c r="C128" s="832"/>
      <c r="D128" s="832"/>
      <c r="E128" s="832"/>
      <c r="F128" s="999">
        <f>G55*F127*D126/2</f>
        <v>1252.9941383359403</v>
      </c>
      <c r="G128" s="990" t="s">
        <v>35</v>
      </c>
      <c r="H128" s="832"/>
      <c r="I128" s="832"/>
      <c r="J128" s="832"/>
      <c r="K128" s="832"/>
      <c r="L128" s="832"/>
      <c r="M128" s="832"/>
      <c r="N128" s="832"/>
      <c r="O128" s="832"/>
      <c r="P128" s="832"/>
      <c r="Q128" s="832"/>
      <c r="R128" s="832"/>
      <c r="S128" s="832"/>
      <c r="T128" s="832"/>
    </row>
    <row r="129" spans="1:20" x14ac:dyDescent="0.2">
      <c r="A129" s="990" t="s">
        <v>986</v>
      </c>
      <c r="B129" s="832"/>
      <c r="C129" s="832"/>
      <c r="D129" s="832"/>
      <c r="E129" s="832"/>
      <c r="F129" s="832"/>
      <c r="G129" s="832"/>
      <c r="H129" s="832"/>
      <c r="I129" s="832"/>
      <c r="J129" s="832"/>
      <c r="K129" s="832"/>
      <c r="L129" s="832"/>
      <c r="M129" s="832"/>
      <c r="N129" s="832"/>
      <c r="O129" s="832"/>
      <c r="P129" s="832"/>
      <c r="Q129" s="832"/>
      <c r="R129" s="832"/>
      <c r="S129" s="832"/>
      <c r="T129" s="832"/>
    </row>
    <row r="130" spans="1:20" x14ac:dyDescent="0.2">
      <c r="A130" s="990" t="s">
        <v>950</v>
      </c>
      <c r="B130" s="832"/>
      <c r="C130" s="832"/>
      <c r="D130" s="832"/>
      <c r="E130" s="832"/>
      <c r="F130" s="832"/>
      <c r="G130" s="832"/>
      <c r="H130" s="832"/>
      <c r="I130" s="832"/>
      <c r="J130" s="832"/>
      <c r="K130" s="832"/>
      <c r="L130" s="832"/>
      <c r="M130" s="832"/>
      <c r="N130" s="832"/>
      <c r="O130" s="832"/>
      <c r="P130" s="832"/>
      <c r="Q130" s="832"/>
      <c r="R130" s="832"/>
      <c r="S130" s="832"/>
      <c r="T130" s="832"/>
    </row>
    <row r="131" spans="1:20" x14ac:dyDescent="0.2">
      <c r="A131" s="990" t="s">
        <v>1466</v>
      </c>
      <c r="B131" s="832"/>
      <c r="C131" s="832"/>
      <c r="D131" s="832"/>
      <c r="E131" s="832"/>
      <c r="F131" s="832"/>
      <c r="G131" s="832"/>
      <c r="H131" s="832"/>
      <c r="I131" s="832"/>
      <c r="J131" s="832"/>
      <c r="K131" s="832"/>
      <c r="L131" s="832"/>
      <c r="M131" s="832"/>
      <c r="N131" s="832"/>
      <c r="O131" s="832"/>
      <c r="P131" s="832"/>
      <c r="Q131" s="832"/>
      <c r="R131" s="832"/>
      <c r="S131" s="832"/>
      <c r="T131" s="832"/>
    </row>
    <row r="132" spans="1:20" x14ac:dyDescent="0.2">
      <c r="A132" s="832"/>
      <c r="B132" s="832"/>
      <c r="C132" s="832"/>
      <c r="D132" s="832"/>
      <c r="E132" s="832"/>
      <c r="F132" s="832"/>
      <c r="G132" s="832"/>
      <c r="H132" s="832"/>
      <c r="I132" s="832"/>
      <c r="J132" s="832"/>
      <c r="K132" s="832"/>
      <c r="L132" s="832"/>
      <c r="M132" s="832"/>
      <c r="N132" s="832"/>
      <c r="O132" s="832"/>
      <c r="P132" s="832"/>
      <c r="Q132" s="832"/>
      <c r="R132" s="832"/>
      <c r="S132" s="832"/>
      <c r="T132" s="832"/>
    </row>
    <row r="133" spans="1:20" x14ac:dyDescent="0.2">
      <c r="A133" s="832"/>
      <c r="B133" s="990" t="s">
        <v>1815</v>
      </c>
      <c r="C133" s="832"/>
      <c r="D133" s="832"/>
      <c r="E133" s="832"/>
      <c r="F133" s="832"/>
      <c r="G133" s="832"/>
      <c r="H133" s="832"/>
      <c r="I133" s="832"/>
      <c r="J133" s="832"/>
      <c r="K133" s="832"/>
      <c r="L133" s="832"/>
      <c r="M133" s="832"/>
      <c r="N133" s="832"/>
      <c r="O133" s="832"/>
      <c r="P133" s="832"/>
      <c r="Q133" s="832"/>
      <c r="R133" s="832"/>
      <c r="S133" s="832"/>
      <c r="T133" s="832"/>
    </row>
    <row r="134" spans="1:20" x14ac:dyDescent="0.2">
      <c r="A134" s="832"/>
      <c r="B134" s="990" t="s">
        <v>2271</v>
      </c>
      <c r="C134" s="832"/>
      <c r="D134" s="832"/>
      <c r="E134" s="832"/>
      <c r="F134" s="832"/>
      <c r="G134" s="832"/>
      <c r="H134" s="832"/>
      <c r="I134" s="832"/>
      <c r="J134" s="832"/>
      <c r="K134" s="832"/>
      <c r="L134" s="832"/>
      <c r="M134" s="832"/>
      <c r="N134" s="832"/>
      <c r="O134" s="832"/>
      <c r="P134" s="832"/>
      <c r="Q134" s="832"/>
      <c r="R134" s="832"/>
      <c r="S134" s="832"/>
      <c r="T134" s="832"/>
    </row>
    <row r="135" spans="1:20" x14ac:dyDescent="0.2">
      <c r="A135" s="832"/>
      <c r="B135" s="990"/>
      <c r="C135" s="832"/>
      <c r="D135" s="832"/>
      <c r="E135" s="832"/>
      <c r="F135" s="832"/>
      <c r="G135" s="832"/>
      <c r="H135" s="832"/>
      <c r="I135" s="832"/>
      <c r="J135" s="832"/>
      <c r="K135" s="832"/>
      <c r="L135" s="832"/>
      <c r="M135" s="832"/>
      <c r="N135" s="832"/>
      <c r="O135" s="832"/>
      <c r="P135" s="832"/>
      <c r="Q135" s="832"/>
      <c r="R135" s="832"/>
      <c r="S135" s="832"/>
      <c r="T135" s="832"/>
    </row>
    <row r="136" spans="1:20" x14ac:dyDescent="0.2">
      <c r="A136" s="990" t="s">
        <v>950</v>
      </c>
      <c r="B136" s="832"/>
      <c r="C136" s="832"/>
      <c r="D136" s="832"/>
      <c r="E136" s="832"/>
      <c r="F136" s="832"/>
      <c r="G136" s="832"/>
      <c r="H136" s="832"/>
      <c r="I136" s="832"/>
      <c r="J136" s="832"/>
      <c r="K136" s="832"/>
      <c r="L136" s="832"/>
      <c r="M136" s="832"/>
      <c r="N136" s="832"/>
      <c r="O136" s="832"/>
      <c r="P136" s="832"/>
      <c r="Q136" s="832"/>
      <c r="R136" s="832"/>
      <c r="S136" s="832"/>
      <c r="T136" s="832"/>
    </row>
    <row r="137" spans="1:20" x14ac:dyDescent="0.2">
      <c r="A137" s="990" t="s">
        <v>621</v>
      </c>
      <c r="B137" s="832"/>
      <c r="C137" s="832"/>
      <c r="D137" s="832"/>
      <c r="E137" s="832"/>
      <c r="F137" s="832"/>
      <c r="G137" s="832"/>
      <c r="H137" s="832"/>
      <c r="I137" s="832"/>
      <c r="J137" s="832"/>
      <c r="K137" s="832"/>
      <c r="L137" s="832"/>
      <c r="M137" s="832"/>
      <c r="N137" s="832"/>
      <c r="O137" s="832"/>
      <c r="P137" s="832"/>
      <c r="Q137" s="832"/>
      <c r="R137" s="832"/>
      <c r="S137" s="832"/>
      <c r="T137" s="832"/>
    </row>
    <row r="138" spans="1:20" x14ac:dyDescent="0.2">
      <c r="A138" s="1000" t="s">
        <v>1467</v>
      </c>
      <c r="B138" s="832"/>
      <c r="C138" s="832"/>
      <c r="D138" s="832"/>
      <c r="E138" s="832"/>
      <c r="F138" s="832"/>
      <c r="G138" s="832"/>
      <c r="H138" s="832"/>
      <c r="I138" s="832"/>
      <c r="J138" s="832"/>
      <c r="K138" s="832"/>
      <c r="L138" s="832"/>
      <c r="M138" s="832"/>
      <c r="N138" s="832"/>
      <c r="O138" s="832"/>
      <c r="P138" s="832"/>
      <c r="Q138" s="832"/>
      <c r="R138" s="832"/>
      <c r="S138" s="832"/>
      <c r="T138" s="832"/>
    </row>
    <row r="139" spans="1:20" x14ac:dyDescent="0.2">
      <c r="A139" s="832"/>
      <c r="B139" s="990" t="s">
        <v>1468</v>
      </c>
      <c r="C139" s="832"/>
      <c r="D139" s="832"/>
      <c r="E139" s="832"/>
      <c r="F139" s="832"/>
      <c r="G139" s="832"/>
      <c r="H139" s="832"/>
      <c r="I139" s="832"/>
      <c r="J139" s="832"/>
      <c r="K139" s="832"/>
      <c r="L139" s="832"/>
      <c r="M139" s="832"/>
      <c r="N139" s="832"/>
      <c r="O139" s="832"/>
      <c r="P139" s="832"/>
      <c r="Q139" s="832"/>
      <c r="R139" s="832"/>
      <c r="S139" s="832"/>
      <c r="T139" s="832"/>
    </row>
    <row r="140" spans="1:20" x14ac:dyDescent="0.2">
      <c r="A140" s="832"/>
      <c r="B140" s="832"/>
      <c r="C140" s="832"/>
      <c r="D140" s="832"/>
      <c r="E140" s="832"/>
      <c r="F140" s="832"/>
      <c r="G140" s="832"/>
      <c r="H140" s="832"/>
      <c r="I140" s="832"/>
      <c r="J140" s="832"/>
      <c r="K140" s="832"/>
      <c r="L140" s="832"/>
      <c r="M140" s="832"/>
      <c r="N140" s="832"/>
      <c r="O140" s="832"/>
      <c r="P140" s="832"/>
      <c r="Q140" s="832"/>
      <c r="R140" s="832"/>
      <c r="S140" s="832"/>
      <c r="T140" s="832"/>
    </row>
    <row r="141" spans="1:20" x14ac:dyDescent="0.2">
      <c r="A141" s="832"/>
      <c r="B141" s="990" t="s">
        <v>1469</v>
      </c>
      <c r="C141" s="832"/>
      <c r="D141" s="832"/>
      <c r="E141" s="832"/>
      <c r="F141" s="832"/>
      <c r="G141" s="832"/>
      <c r="H141" s="832"/>
      <c r="I141" s="832"/>
      <c r="J141" s="832"/>
      <c r="K141" s="832"/>
      <c r="L141" s="832"/>
      <c r="M141" s="832"/>
      <c r="N141" s="832"/>
      <c r="O141" s="832"/>
      <c r="P141" s="832"/>
      <c r="Q141" s="832"/>
      <c r="R141" s="832"/>
      <c r="S141" s="832"/>
      <c r="T141" s="832"/>
    </row>
    <row r="142" spans="1:20" x14ac:dyDescent="0.2">
      <c r="A142" s="832"/>
      <c r="B142" s="995"/>
      <c r="C142" s="995"/>
      <c r="D142" s="995"/>
      <c r="E142" s="995"/>
      <c r="F142" s="995"/>
      <c r="G142" s="995"/>
      <c r="H142" s="995"/>
      <c r="I142" s="995"/>
      <c r="J142" s="832"/>
      <c r="K142" s="832"/>
      <c r="L142" s="832"/>
      <c r="M142" s="832"/>
      <c r="N142" s="832"/>
      <c r="O142" s="832"/>
      <c r="P142" s="832"/>
      <c r="Q142" s="832"/>
      <c r="R142" s="832"/>
      <c r="S142" s="832"/>
      <c r="T142" s="832"/>
    </row>
    <row r="143" spans="1:20" x14ac:dyDescent="0.2">
      <c r="A143" s="832"/>
      <c r="B143" s="1001" t="s">
        <v>1814</v>
      </c>
      <c r="C143" s="863"/>
      <c r="D143" s="861" t="s">
        <v>1813</v>
      </c>
      <c r="E143" s="861" t="s">
        <v>219</v>
      </c>
      <c r="F143" s="861" t="s">
        <v>1812</v>
      </c>
      <c r="G143" s="861" t="s">
        <v>1811</v>
      </c>
      <c r="H143" s="861" t="s">
        <v>463</v>
      </c>
      <c r="I143" s="861" t="s">
        <v>464</v>
      </c>
      <c r="J143" s="832"/>
      <c r="K143" s="832"/>
      <c r="L143" s="832"/>
      <c r="M143" s="832"/>
      <c r="N143" s="832"/>
      <c r="O143" s="832"/>
      <c r="P143" s="832"/>
      <c r="Q143" s="832"/>
      <c r="R143" s="832"/>
      <c r="S143" s="832"/>
      <c r="T143" s="832"/>
    </row>
    <row r="144" spans="1:20" x14ac:dyDescent="0.2">
      <c r="A144" s="832"/>
      <c r="B144" s="1002"/>
      <c r="C144" s="1003"/>
      <c r="D144" s="865"/>
      <c r="E144" s="1004" t="s">
        <v>214</v>
      </c>
      <c r="F144" s="865" t="s">
        <v>214</v>
      </c>
      <c r="G144" s="865" t="s">
        <v>214</v>
      </c>
      <c r="H144" s="865" t="s">
        <v>1810</v>
      </c>
      <c r="I144" s="865" t="s">
        <v>468</v>
      </c>
      <c r="J144" s="832"/>
      <c r="K144" s="832"/>
      <c r="L144" s="832"/>
      <c r="M144" s="832"/>
      <c r="N144" s="832"/>
      <c r="O144" s="832"/>
      <c r="P144" s="832"/>
      <c r="Q144" s="832"/>
      <c r="R144" s="832"/>
      <c r="S144" s="832"/>
      <c r="T144" s="832"/>
    </row>
    <row r="145" spans="1:20" x14ac:dyDescent="0.2">
      <c r="A145" s="832"/>
      <c r="B145" s="995"/>
      <c r="C145" s="995"/>
      <c r="D145" s="995"/>
      <c r="E145" s="995"/>
      <c r="F145" s="995"/>
      <c r="G145" s="995"/>
      <c r="H145" s="995"/>
      <c r="I145" s="995"/>
      <c r="J145" s="832"/>
      <c r="K145" s="832"/>
      <c r="L145" s="832"/>
      <c r="M145" s="832"/>
      <c r="N145" s="832"/>
      <c r="O145" s="832"/>
      <c r="P145" s="832"/>
      <c r="Q145" s="832"/>
      <c r="R145" s="832"/>
      <c r="S145" s="832"/>
      <c r="T145" s="832"/>
    </row>
    <row r="146" spans="1:20" x14ac:dyDescent="0.2">
      <c r="A146" s="832"/>
      <c r="B146" s="990" t="s">
        <v>1470</v>
      </c>
      <c r="C146" s="832"/>
      <c r="D146" s="997">
        <v>1</v>
      </c>
      <c r="E146" s="994">
        <f>E24-E25</f>
        <v>0.75</v>
      </c>
      <c r="F146" s="994">
        <f>(E45+E46-E31/500)/2</f>
        <v>7.6000000000000005</v>
      </c>
      <c r="G146" s="994">
        <f>D65</f>
        <v>2.9</v>
      </c>
      <c r="H146" s="994">
        <f>E11</f>
        <v>19.600000000000001</v>
      </c>
      <c r="I146" s="994">
        <f>D146*E146*F146*G146*H146</f>
        <v>323.98800000000006</v>
      </c>
      <c r="J146" s="832"/>
      <c r="K146" s="832"/>
      <c r="L146" s="832"/>
      <c r="M146" s="832"/>
      <c r="N146" s="832"/>
      <c r="O146" s="832"/>
      <c r="P146" s="832"/>
      <c r="Q146" s="832"/>
      <c r="R146" s="832"/>
      <c r="S146" s="832"/>
      <c r="T146" s="832"/>
    </row>
    <row r="147" spans="1:20" x14ac:dyDescent="0.2">
      <c r="A147" s="832"/>
      <c r="B147" s="990" t="s">
        <v>1471</v>
      </c>
      <c r="C147" s="832"/>
      <c r="D147" s="997">
        <v>1</v>
      </c>
      <c r="E147" s="994">
        <f>E25-E26</f>
        <v>0.25</v>
      </c>
      <c r="F147" s="994">
        <f>E46-(E31+E32)/1000</f>
        <v>9.2000000000000011</v>
      </c>
      <c r="G147" s="994">
        <f>D66</f>
        <v>2.9</v>
      </c>
      <c r="H147" s="994">
        <f>E11</f>
        <v>19.600000000000001</v>
      </c>
      <c r="I147" s="994">
        <f>D147*E147*F147*G147*H147</f>
        <v>130.73200000000003</v>
      </c>
      <c r="J147" s="832"/>
      <c r="K147" s="832"/>
      <c r="L147" s="832"/>
      <c r="M147" s="832"/>
      <c r="N147" s="832"/>
      <c r="O147" s="832"/>
      <c r="P147" s="832"/>
      <c r="Q147" s="832"/>
      <c r="R147" s="832"/>
      <c r="S147" s="832"/>
      <c r="T147" s="832"/>
    </row>
    <row r="148" spans="1:20" x14ac:dyDescent="0.2">
      <c r="A148" s="832"/>
      <c r="B148" s="832"/>
      <c r="C148" s="832"/>
      <c r="D148" s="832"/>
      <c r="E148" s="832"/>
      <c r="F148" s="832"/>
      <c r="G148" s="832"/>
      <c r="H148" s="832"/>
      <c r="I148" s="832"/>
      <c r="J148" s="832"/>
      <c r="K148" s="832"/>
      <c r="L148" s="832"/>
      <c r="M148" s="832"/>
      <c r="N148" s="832"/>
      <c r="O148" s="832"/>
      <c r="P148" s="832"/>
      <c r="Q148" s="832"/>
      <c r="R148" s="832"/>
      <c r="S148" s="832"/>
      <c r="T148" s="832"/>
    </row>
    <row r="149" spans="1:20" x14ac:dyDescent="0.2">
      <c r="A149" s="832"/>
      <c r="B149" s="990" t="s">
        <v>1472</v>
      </c>
      <c r="C149" s="832"/>
      <c r="D149" s="997">
        <v>2</v>
      </c>
      <c r="E149" s="994">
        <f>(E31+E32)/2000</f>
        <v>0.35</v>
      </c>
      <c r="F149" s="994">
        <f>E25-E26</f>
        <v>0.25</v>
      </c>
      <c r="G149" s="994">
        <f>(D65+D66)/2</f>
        <v>2.9</v>
      </c>
      <c r="H149" s="994">
        <f t="shared" ref="H149:H156" si="0">$E$10</f>
        <v>23.6</v>
      </c>
      <c r="I149" s="994">
        <f t="shared" ref="I149:I156" si="1">D149*E149*F149*G149*H149</f>
        <v>11.977</v>
      </c>
      <c r="J149" s="832"/>
      <c r="K149" s="832"/>
      <c r="L149" s="832"/>
      <c r="M149" s="832"/>
      <c r="N149" s="832"/>
      <c r="O149" s="832"/>
      <c r="P149" s="832"/>
      <c r="Q149" s="832"/>
      <c r="R149" s="832"/>
      <c r="S149" s="832"/>
      <c r="T149" s="832"/>
    </row>
    <row r="150" spans="1:20" x14ac:dyDescent="0.2">
      <c r="A150" s="832"/>
      <c r="B150" s="990" t="s">
        <v>1247</v>
      </c>
      <c r="C150" s="832"/>
      <c r="D150" s="997">
        <v>1</v>
      </c>
      <c r="E150" s="994">
        <f>E33/1000</f>
        <v>0.55000000000000004</v>
      </c>
      <c r="F150" s="994">
        <f>E46</f>
        <v>9.9</v>
      </c>
      <c r="G150" s="994">
        <f>D66</f>
        <v>2.9</v>
      </c>
      <c r="H150" s="994">
        <f t="shared" si="0"/>
        <v>23.6</v>
      </c>
      <c r="I150" s="994">
        <f t="shared" si="1"/>
        <v>372.6558</v>
      </c>
      <c r="J150" s="832"/>
      <c r="K150" s="832"/>
      <c r="L150" s="832"/>
      <c r="M150" s="832"/>
      <c r="N150" s="832"/>
      <c r="O150" s="832"/>
      <c r="P150" s="832"/>
      <c r="Q150" s="832"/>
      <c r="R150" s="832"/>
      <c r="S150" s="832"/>
      <c r="T150" s="832"/>
    </row>
    <row r="151" spans="1:20" x14ac:dyDescent="0.2">
      <c r="A151" s="832"/>
      <c r="B151" s="990" t="s">
        <v>1473</v>
      </c>
      <c r="C151" s="832"/>
      <c r="D151" s="997">
        <v>1</v>
      </c>
      <c r="E151" s="994">
        <f>E34/1000</f>
        <v>0.75</v>
      </c>
      <c r="F151" s="994">
        <f>E70</f>
        <v>14.100000000000001</v>
      </c>
      <c r="G151" s="994">
        <f>D67</f>
        <v>3</v>
      </c>
      <c r="H151" s="994">
        <f t="shared" si="0"/>
        <v>23.6</v>
      </c>
      <c r="I151" s="994">
        <f t="shared" si="1"/>
        <v>748.71</v>
      </c>
      <c r="J151" s="832"/>
      <c r="K151" s="832"/>
      <c r="L151" s="832"/>
      <c r="M151" s="832"/>
      <c r="N151" s="832"/>
      <c r="O151" s="832"/>
      <c r="P151" s="832"/>
      <c r="Q151" s="832"/>
      <c r="R151" s="832"/>
      <c r="S151" s="832"/>
      <c r="T151" s="832"/>
    </row>
    <row r="152" spans="1:20" x14ac:dyDescent="0.2">
      <c r="A152" s="832"/>
      <c r="B152" s="990" t="s">
        <v>1474</v>
      </c>
      <c r="C152" s="832"/>
      <c r="D152" s="997">
        <v>2</v>
      </c>
      <c r="E152" s="994">
        <f>(E36+E37)/2000</f>
        <v>0.72499999999999998</v>
      </c>
      <c r="F152" s="994">
        <f>E46</f>
        <v>9.9</v>
      </c>
      <c r="G152" s="994">
        <f>E43</f>
        <v>5.75</v>
      </c>
      <c r="H152" s="994">
        <f t="shared" si="0"/>
        <v>23.6</v>
      </c>
      <c r="I152" s="994">
        <f t="shared" si="1"/>
        <v>1947.9735000000003</v>
      </c>
      <c r="J152" s="832"/>
      <c r="K152" s="832"/>
      <c r="L152" s="832"/>
      <c r="M152" s="832"/>
      <c r="N152" s="832"/>
      <c r="O152" s="832"/>
      <c r="P152" s="832"/>
      <c r="Q152" s="832"/>
      <c r="R152" s="832"/>
      <c r="S152" s="832"/>
      <c r="T152" s="832"/>
    </row>
    <row r="153" spans="1:20" x14ac:dyDescent="0.2">
      <c r="A153" s="832"/>
      <c r="B153" s="990" t="s">
        <v>1475</v>
      </c>
      <c r="C153" s="832"/>
      <c r="D153" s="997">
        <v>4</v>
      </c>
      <c r="E153" s="994">
        <f>(E35+E37)/2000</f>
        <v>0.72499999999999998</v>
      </c>
      <c r="F153" s="994">
        <f>E47</f>
        <v>2.1</v>
      </c>
      <c r="G153" s="994">
        <f>E25-E27</f>
        <v>6.55</v>
      </c>
      <c r="H153" s="994">
        <f t="shared" si="0"/>
        <v>23.6</v>
      </c>
      <c r="I153" s="994">
        <f t="shared" si="1"/>
        <v>941.3922</v>
      </c>
      <c r="J153" s="832"/>
      <c r="K153" s="832"/>
      <c r="L153" s="832"/>
      <c r="M153" s="832"/>
      <c r="N153" s="832"/>
      <c r="O153" s="832"/>
      <c r="P153" s="832"/>
      <c r="Q153" s="832"/>
      <c r="R153" s="832"/>
      <c r="S153" s="832"/>
      <c r="T153" s="832"/>
    </row>
    <row r="154" spans="1:20" x14ac:dyDescent="0.2">
      <c r="A154" s="832"/>
      <c r="B154" s="990" t="s">
        <v>1476</v>
      </c>
      <c r="C154" s="832"/>
      <c r="D154" s="997">
        <f>E42-1</f>
        <v>0</v>
      </c>
      <c r="E154" s="994">
        <f>E39/1000</f>
        <v>0</v>
      </c>
      <c r="F154" s="994">
        <f>E46</f>
        <v>9.9</v>
      </c>
      <c r="G154" s="994">
        <f>E43</f>
        <v>5.75</v>
      </c>
      <c r="H154" s="994">
        <f t="shared" si="0"/>
        <v>23.6</v>
      </c>
      <c r="I154" s="994">
        <f t="shared" si="1"/>
        <v>0</v>
      </c>
      <c r="J154" s="832"/>
      <c r="K154" s="832"/>
      <c r="L154" s="832"/>
      <c r="M154" s="832"/>
      <c r="N154" s="832"/>
      <c r="O154" s="832"/>
      <c r="P154" s="832"/>
      <c r="Q154" s="832"/>
      <c r="R154" s="832"/>
      <c r="S154" s="832"/>
      <c r="T154" s="832"/>
    </row>
    <row r="155" spans="1:20" x14ac:dyDescent="0.2">
      <c r="A155" s="832"/>
      <c r="B155" s="990" t="s">
        <v>1477</v>
      </c>
      <c r="C155" s="832"/>
      <c r="D155" s="997">
        <f>(E42-1)*2</f>
        <v>0</v>
      </c>
      <c r="E155" s="994">
        <f>E39/1000</f>
        <v>0</v>
      </c>
      <c r="F155" s="994">
        <f>E47</f>
        <v>2.1</v>
      </c>
      <c r="G155" s="994">
        <f>E25-E27</f>
        <v>6.55</v>
      </c>
      <c r="H155" s="994">
        <f t="shared" si="0"/>
        <v>23.6</v>
      </c>
      <c r="I155" s="994">
        <f t="shared" si="1"/>
        <v>0</v>
      </c>
      <c r="J155" s="832"/>
      <c r="K155" s="832"/>
      <c r="L155" s="832"/>
      <c r="M155" s="832"/>
      <c r="N155" s="832"/>
      <c r="O155" s="832"/>
      <c r="P155" s="832"/>
      <c r="Q155" s="832"/>
      <c r="R155" s="832"/>
      <c r="S155" s="832"/>
      <c r="T155" s="832"/>
    </row>
    <row r="156" spans="1:20" x14ac:dyDescent="0.2">
      <c r="A156" s="832"/>
      <c r="B156" s="990" t="s">
        <v>1478</v>
      </c>
      <c r="C156" s="832"/>
      <c r="D156" s="997">
        <v>1</v>
      </c>
      <c r="E156" s="994">
        <f>E40/1000</f>
        <v>0.35</v>
      </c>
      <c r="F156" s="994">
        <f>E47</f>
        <v>2.1</v>
      </c>
      <c r="G156" s="994">
        <f>E42*E44</f>
        <v>1.5</v>
      </c>
      <c r="H156" s="994">
        <f t="shared" si="0"/>
        <v>23.6</v>
      </c>
      <c r="I156" s="994">
        <f t="shared" si="1"/>
        <v>26.019000000000002</v>
      </c>
      <c r="J156" s="832"/>
      <c r="K156" s="832"/>
      <c r="L156" s="832"/>
      <c r="M156" s="832"/>
      <c r="N156" s="832"/>
      <c r="O156" s="832"/>
      <c r="P156" s="832"/>
      <c r="Q156" s="832"/>
      <c r="R156" s="832"/>
      <c r="S156" s="832"/>
      <c r="T156" s="832"/>
    </row>
    <row r="157" spans="1:20" x14ac:dyDescent="0.2">
      <c r="A157" s="832"/>
      <c r="B157" s="832"/>
      <c r="C157" s="832"/>
      <c r="D157" s="832"/>
      <c r="E157" s="832"/>
      <c r="F157" s="832"/>
      <c r="G157" s="832"/>
      <c r="H157" s="832"/>
      <c r="I157" s="832"/>
      <c r="J157" s="832"/>
      <c r="K157" s="832"/>
      <c r="L157" s="832"/>
      <c r="M157" s="832"/>
      <c r="N157" s="832"/>
      <c r="O157" s="832"/>
      <c r="P157" s="832"/>
      <c r="Q157" s="832"/>
      <c r="R157" s="832"/>
      <c r="S157" s="832"/>
      <c r="T157" s="832"/>
    </row>
    <row r="158" spans="1:20" x14ac:dyDescent="0.2">
      <c r="A158" s="832"/>
      <c r="B158" s="1005" t="s">
        <v>1479</v>
      </c>
      <c r="C158" s="1006"/>
      <c r="D158" s="1007">
        <f>E42</f>
        <v>1</v>
      </c>
      <c r="E158" s="1006"/>
      <c r="F158" s="1006"/>
      <c r="G158" s="1006"/>
      <c r="H158" s="1006"/>
      <c r="I158" s="1008">
        <f>D158*E19</f>
        <v>20</v>
      </c>
      <c r="J158" s="832"/>
      <c r="K158" s="832"/>
      <c r="L158" s="832"/>
      <c r="M158" s="832"/>
      <c r="N158" s="832"/>
      <c r="O158" s="832"/>
      <c r="P158" s="832"/>
      <c r="Q158" s="832"/>
      <c r="R158" s="832"/>
      <c r="S158" s="832"/>
      <c r="T158" s="832"/>
    </row>
    <row r="159" spans="1:20" x14ac:dyDescent="0.2">
      <c r="A159" s="832"/>
      <c r="B159" s="990" t="s">
        <v>475</v>
      </c>
      <c r="C159" s="832"/>
      <c r="D159" s="832"/>
      <c r="E159" s="832"/>
      <c r="F159" s="832"/>
      <c r="G159" s="832"/>
      <c r="H159" s="832"/>
      <c r="I159" s="994">
        <f>SUM(I146:I158)</f>
        <v>4523.4475000000011</v>
      </c>
      <c r="J159" s="832"/>
      <c r="K159" s="832"/>
      <c r="L159" s="832"/>
      <c r="M159" s="832"/>
      <c r="N159" s="832"/>
      <c r="O159" s="832"/>
      <c r="P159" s="832"/>
      <c r="Q159" s="832"/>
      <c r="R159" s="832"/>
      <c r="S159" s="832"/>
      <c r="T159" s="832"/>
    </row>
    <row r="160" spans="1:20" x14ac:dyDescent="0.2">
      <c r="A160" s="832"/>
      <c r="B160" s="832"/>
      <c r="C160" s="832"/>
      <c r="D160" s="832"/>
      <c r="E160" s="832"/>
      <c r="F160" s="832"/>
      <c r="G160" s="832"/>
      <c r="H160" s="832"/>
      <c r="I160" s="832"/>
      <c r="J160" s="832"/>
      <c r="K160" s="832"/>
      <c r="L160" s="832"/>
      <c r="M160" s="832"/>
      <c r="N160" s="832"/>
      <c r="O160" s="832"/>
      <c r="P160" s="832"/>
      <c r="Q160" s="832"/>
      <c r="R160" s="832"/>
      <c r="S160" s="832"/>
      <c r="T160" s="832"/>
    </row>
    <row r="161" spans="1:20" x14ac:dyDescent="0.2">
      <c r="A161" s="832"/>
      <c r="B161" s="990" t="s">
        <v>1480</v>
      </c>
      <c r="C161" s="832"/>
      <c r="D161" s="832"/>
      <c r="E161" s="832"/>
      <c r="F161" s="832"/>
      <c r="G161" s="832"/>
      <c r="H161" s="832"/>
      <c r="I161" s="994">
        <f>D67*E70</f>
        <v>42.300000000000004</v>
      </c>
      <c r="J161" s="990" t="s">
        <v>765</v>
      </c>
      <c r="K161" s="832"/>
      <c r="L161" s="832"/>
      <c r="M161" s="832"/>
      <c r="N161" s="832"/>
      <c r="O161" s="832"/>
      <c r="P161" s="832"/>
      <c r="Q161" s="832"/>
      <c r="R161" s="832"/>
      <c r="S161" s="832"/>
      <c r="T161" s="832"/>
    </row>
    <row r="162" spans="1:20" x14ac:dyDescent="0.2">
      <c r="A162" s="832"/>
      <c r="B162" s="832"/>
      <c r="C162" s="832"/>
      <c r="D162" s="832"/>
      <c r="E162" s="832"/>
      <c r="F162" s="832"/>
      <c r="G162" s="832"/>
      <c r="H162" s="832"/>
      <c r="I162" s="832"/>
      <c r="J162" s="832"/>
      <c r="K162" s="832"/>
      <c r="L162" s="832"/>
      <c r="M162" s="832"/>
      <c r="N162" s="832"/>
      <c r="O162" s="832"/>
      <c r="P162" s="832"/>
      <c r="Q162" s="832"/>
      <c r="R162" s="832"/>
      <c r="S162" s="832"/>
      <c r="T162" s="832"/>
    </row>
    <row r="163" spans="1:20" x14ac:dyDescent="0.2">
      <c r="A163" s="832"/>
      <c r="B163" s="832"/>
      <c r="C163" s="832"/>
      <c r="D163" s="832"/>
      <c r="E163" s="832"/>
      <c r="F163" s="832"/>
      <c r="G163" s="832"/>
      <c r="H163" s="832"/>
      <c r="I163" s="832"/>
      <c r="J163" s="832"/>
      <c r="K163" s="832"/>
      <c r="L163" s="832"/>
      <c r="M163" s="832"/>
      <c r="N163" s="832"/>
      <c r="O163" s="832"/>
      <c r="P163" s="832"/>
      <c r="Q163" s="832"/>
      <c r="R163" s="832"/>
      <c r="S163" s="832"/>
      <c r="T163" s="832"/>
    </row>
    <row r="164" spans="1:20" x14ac:dyDescent="0.2">
      <c r="A164" s="832"/>
      <c r="B164" s="990" t="s">
        <v>1481</v>
      </c>
      <c r="C164" s="832"/>
      <c r="D164" s="832"/>
      <c r="E164" s="832"/>
      <c r="F164" s="832"/>
      <c r="G164" s="832"/>
      <c r="H164" s="832"/>
      <c r="I164" s="832"/>
      <c r="J164" s="832"/>
      <c r="K164" s="832"/>
      <c r="L164" s="832"/>
      <c r="M164" s="832"/>
      <c r="N164" s="832"/>
      <c r="O164" s="832"/>
      <c r="P164" s="832"/>
      <c r="Q164" s="832"/>
      <c r="R164" s="832"/>
      <c r="S164" s="832"/>
      <c r="T164" s="832"/>
    </row>
    <row r="165" spans="1:20" x14ac:dyDescent="0.2">
      <c r="A165" s="832"/>
      <c r="B165" s="832"/>
      <c r="C165" s="832"/>
      <c r="D165" s="832"/>
      <c r="E165" s="832"/>
      <c r="F165" s="832"/>
      <c r="G165" s="832"/>
      <c r="H165" s="832"/>
      <c r="I165" s="832"/>
      <c r="J165" s="832"/>
      <c r="K165" s="832"/>
      <c r="L165" s="832"/>
      <c r="M165" s="832"/>
      <c r="N165" s="832"/>
      <c r="O165" s="832"/>
      <c r="P165" s="832"/>
      <c r="Q165" s="832"/>
      <c r="R165" s="832"/>
      <c r="S165" s="832"/>
      <c r="T165" s="832"/>
    </row>
    <row r="166" spans="1:20" x14ac:dyDescent="0.2">
      <c r="A166" s="832"/>
      <c r="B166" s="990" t="s">
        <v>1816</v>
      </c>
      <c r="C166" s="832"/>
      <c r="D166" s="832"/>
      <c r="E166" s="832"/>
      <c r="F166" s="832"/>
      <c r="G166" s="832"/>
      <c r="H166" s="832"/>
      <c r="I166" s="832"/>
      <c r="J166" s="832"/>
      <c r="K166" s="832"/>
      <c r="L166" s="832"/>
      <c r="M166" s="832"/>
      <c r="N166" s="832"/>
      <c r="O166" s="832"/>
      <c r="P166" s="832"/>
      <c r="Q166" s="832"/>
      <c r="R166" s="832"/>
      <c r="S166" s="832"/>
      <c r="T166" s="832"/>
    </row>
    <row r="167" spans="1:20" x14ac:dyDescent="0.2">
      <c r="A167" s="832"/>
      <c r="B167" s="990" t="s">
        <v>1817</v>
      </c>
      <c r="C167" s="832"/>
      <c r="D167" s="832"/>
      <c r="E167" s="832"/>
      <c r="F167" s="832"/>
      <c r="G167" s="832"/>
      <c r="H167" s="832"/>
      <c r="I167" s="832"/>
      <c r="J167" s="832"/>
      <c r="K167" s="832"/>
      <c r="L167" s="832"/>
      <c r="M167" s="832"/>
      <c r="N167" s="832"/>
      <c r="O167" s="832"/>
      <c r="P167" s="832"/>
      <c r="Q167" s="832"/>
      <c r="R167" s="832"/>
      <c r="S167" s="832"/>
      <c r="T167" s="832"/>
    </row>
    <row r="168" spans="1:20" x14ac:dyDescent="0.2">
      <c r="A168" s="832"/>
      <c r="B168" s="990"/>
      <c r="C168" s="832"/>
      <c r="D168" s="832"/>
      <c r="E168" s="832"/>
      <c r="F168" s="832"/>
      <c r="G168" s="832"/>
      <c r="H168" s="832"/>
      <c r="I168" s="832"/>
      <c r="J168" s="832"/>
      <c r="K168" s="832"/>
      <c r="L168" s="832"/>
      <c r="M168" s="832"/>
      <c r="N168" s="832"/>
      <c r="O168" s="832"/>
      <c r="P168" s="832"/>
      <c r="Q168" s="832"/>
      <c r="R168" s="832"/>
      <c r="S168" s="832"/>
      <c r="T168" s="832"/>
    </row>
    <row r="169" spans="1:20" x14ac:dyDescent="0.2">
      <c r="A169" s="832"/>
      <c r="B169" s="832"/>
      <c r="C169" s="832"/>
      <c r="D169" s="832"/>
      <c r="E169" s="832"/>
      <c r="F169" s="832"/>
      <c r="G169" s="832"/>
      <c r="H169" s="832"/>
      <c r="I169" s="832"/>
      <c r="J169" s="832"/>
      <c r="K169" s="832"/>
      <c r="L169" s="832"/>
      <c r="M169" s="832"/>
      <c r="N169" s="832"/>
      <c r="O169" s="832"/>
      <c r="P169" s="832"/>
      <c r="Q169" s="832"/>
      <c r="R169" s="832"/>
      <c r="S169" s="832"/>
      <c r="T169" s="832"/>
    </row>
    <row r="170" spans="1:20" x14ac:dyDescent="0.2">
      <c r="A170" s="832"/>
      <c r="B170" s="990" t="s">
        <v>1818</v>
      </c>
      <c r="C170" s="832"/>
      <c r="D170" s="832"/>
      <c r="E170" s="832"/>
      <c r="F170" s="832"/>
      <c r="G170" s="832"/>
      <c r="H170" s="832"/>
      <c r="I170" s="832"/>
      <c r="J170" s="832"/>
      <c r="K170" s="832"/>
      <c r="L170" s="832"/>
      <c r="M170" s="832"/>
      <c r="N170" s="832"/>
      <c r="O170" s="832"/>
      <c r="P170" s="832"/>
      <c r="Q170" s="832"/>
      <c r="R170" s="832"/>
      <c r="S170" s="832"/>
      <c r="T170" s="832"/>
    </row>
    <row r="171" spans="1:20" x14ac:dyDescent="0.2">
      <c r="A171" s="832"/>
      <c r="B171" s="990" t="s">
        <v>1819</v>
      </c>
      <c r="C171" s="832"/>
      <c r="D171" s="832"/>
      <c r="E171" s="832"/>
      <c r="F171" s="832"/>
      <c r="G171" s="832"/>
      <c r="H171" s="832"/>
      <c r="I171" s="832"/>
      <c r="J171" s="832"/>
      <c r="K171" s="832"/>
      <c r="L171" s="832"/>
      <c r="M171" s="832"/>
      <c r="N171" s="832"/>
      <c r="O171" s="832"/>
      <c r="P171" s="832"/>
      <c r="Q171" s="832"/>
      <c r="R171" s="832"/>
      <c r="S171" s="832"/>
      <c r="T171" s="832"/>
    </row>
    <row r="172" spans="1:20" x14ac:dyDescent="0.2">
      <c r="A172" s="832"/>
      <c r="B172" s="990"/>
      <c r="C172" s="832"/>
      <c r="D172" s="832"/>
      <c r="E172" s="832"/>
      <c r="F172" s="832"/>
      <c r="G172" s="832"/>
      <c r="H172" s="832"/>
      <c r="I172" s="832"/>
      <c r="J172" s="832"/>
      <c r="K172" s="832"/>
      <c r="L172" s="832"/>
      <c r="M172" s="832"/>
      <c r="N172" s="832"/>
      <c r="O172" s="832"/>
      <c r="P172" s="832"/>
      <c r="Q172" s="832"/>
      <c r="R172" s="832"/>
      <c r="S172" s="832"/>
      <c r="T172" s="832"/>
    </row>
    <row r="173" spans="1:20" x14ac:dyDescent="0.2">
      <c r="A173" s="832"/>
      <c r="B173" s="990" t="s">
        <v>2191</v>
      </c>
      <c r="C173" s="832"/>
      <c r="D173" s="832"/>
      <c r="E173" s="994">
        <f>E47</f>
        <v>2.1</v>
      </c>
      <c r="F173" s="990" t="s">
        <v>1012</v>
      </c>
      <c r="G173" s="994">
        <f>D65</f>
        <v>2.9</v>
      </c>
      <c r="H173" s="990" t="s">
        <v>55</v>
      </c>
      <c r="I173" s="994">
        <f>E173*G173</f>
        <v>6.09</v>
      </c>
      <c r="J173" s="990" t="s">
        <v>765</v>
      </c>
      <c r="K173" s="832"/>
      <c r="L173" s="832"/>
      <c r="M173" s="832"/>
      <c r="N173" s="832"/>
      <c r="O173" s="832"/>
      <c r="P173" s="832"/>
      <c r="Q173" s="832"/>
      <c r="R173" s="832"/>
      <c r="S173" s="832"/>
      <c r="T173" s="832"/>
    </row>
    <row r="174" spans="1:20" x14ac:dyDescent="0.2">
      <c r="A174" s="832"/>
      <c r="B174" s="990" t="s">
        <v>1820</v>
      </c>
      <c r="C174" s="832"/>
      <c r="D174" s="994">
        <f>E18</f>
        <v>4</v>
      </c>
      <c r="E174" s="990" t="s">
        <v>1012</v>
      </c>
      <c r="F174" s="994">
        <f>I173</f>
        <v>6.09</v>
      </c>
      <c r="G174" s="990" t="s">
        <v>1014</v>
      </c>
      <c r="H174" s="994">
        <f>I161</f>
        <v>42.300000000000004</v>
      </c>
      <c r="I174" s="832"/>
      <c r="J174" s="832"/>
      <c r="K174" s="832"/>
      <c r="L174" s="832"/>
      <c r="M174" s="832"/>
      <c r="N174" s="832"/>
      <c r="O174" s="832"/>
      <c r="P174" s="832"/>
      <c r="Q174" s="832"/>
      <c r="R174" s="832"/>
      <c r="S174" s="832"/>
      <c r="T174" s="832"/>
    </row>
    <row r="175" spans="1:20" x14ac:dyDescent="0.2">
      <c r="A175" s="832"/>
      <c r="B175" s="832"/>
      <c r="C175" s="832"/>
      <c r="D175" s="990" t="s">
        <v>1448</v>
      </c>
      <c r="E175" s="994">
        <f>D174*F174/H174</f>
        <v>0.57588652482269498</v>
      </c>
      <c r="F175" s="990" t="s">
        <v>35</v>
      </c>
      <c r="G175" s="832"/>
      <c r="H175" s="832"/>
      <c r="I175" s="832"/>
      <c r="J175" s="832"/>
      <c r="K175" s="832"/>
      <c r="L175" s="832"/>
      <c r="M175" s="832"/>
      <c r="N175" s="832"/>
      <c r="O175" s="832"/>
      <c r="P175" s="832"/>
      <c r="Q175" s="832"/>
      <c r="R175" s="832"/>
      <c r="S175" s="832"/>
      <c r="T175" s="832"/>
    </row>
    <row r="176" spans="1:20" ht="13.5" thickBot="1" x14ac:dyDescent="0.25">
      <c r="A176" s="832"/>
      <c r="B176" s="1009" t="s">
        <v>1482</v>
      </c>
      <c r="C176" s="1010"/>
      <c r="D176" s="1010"/>
      <c r="E176" s="1011">
        <f>E16</f>
        <v>7.18</v>
      </c>
      <c r="F176" s="1009" t="s">
        <v>35</v>
      </c>
      <c r="G176" s="832"/>
      <c r="H176" s="832"/>
      <c r="I176" s="832"/>
      <c r="J176" s="832"/>
      <c r="K176" s="832"/>
      <c r="L176" s="832"/>
      <c r="M176" s="832"/>
      <c r="N176" s="832"/>
      <c r="O176" s="832"/>
      <c r="P176" s="832"/>
      <c r="Q176" s="832"/>
      <c r="R176" s="832"/>
      <c r="S176" s="832"/>
      <c r="T176" s="832"/>
    </row>
    <row r="177" spans="1:20" ht="13.5" thickTop="1" x14ac:dyDescent="0.2">
      <c r="A177" s="832"/>
      <c r="B177" s="990" t="s">
        <v>1483</v>
      </c>
      <c r="C177" s="832"/>
      <c r="D177" s="990" t="s">
        <v>1448</v>
      </c>
      <c r="E177" s="994">
        <f>E175+E176</f>
        <v>7.7558865248226949</v>
      </c>
      <c r="F177" s="990" t="s">
        <v>35</v>
      </c>
      <c r="G177" s="832"/>
      <c r="H177" s="832"/>
      <c r="I177" s="832"/>
      <c r="J177" s="832"/>
      <c r="K177" s="832"/>
      <c r="L177" s="832"/>
      <c r="M177" s="832"/>
      <c r="N177" s="832"/>
      <c r="O177" s="832"/>
      <c r="P177" s="832"/>
      <c r="Q177" s="832"/>
      <c r="R177" s="832"/>
      <c r="S177" s="832"/>
      <c r="T177" s="832"/>
    </row>
    <row r="178" spans="1:20" x14ac:dyDescent="0.2">
      <c r="A178" s="832"/>
      <c r="B178" s="832"/>
      <c r="C178" s="832"/>
      <c r="D178" s="832"/>
      <c r="E178" s="832"/>
      <c r="F178" s="832"/>
      <c r="G178" s="832"/>
      <c r="H178" s="832"/>
      <c r="I178" s="832"/>
      <c r="J178" s="832"/>
      <c r="K178" s="832"/>
      <c r="L178" s="832"/>
      <c r="M178" s="832"/>
      <c r="N178" s="832"/>
      <c r="O178" s="832"/>
      <c r="P178" s="832"/>
      <c r="Q178" s="832"/>
      <c r="R178" s="832"/>
      <c r="S178" s="832"/>
      <c r="T178" s="832"/>
    </row>
    <row r="179" spans="1:20" x14ac:dyDescent="0.2">
      <c r="A179" s="832"/>
      <c r="B179" s="990" t="s">
        <v>1484</v>
      </c>
      <c r="C179" s="832"/>
      <c r="D179" s="832"/>
      <c r="E179" s="832"/>
      <c r="F179" s="832"/>
      <c r="G179" s="832"/>
      <c r="H179" s="832"/>
      <c r="I179" s="832"/>
      <c r="J179" s="832"/>
      <c r="K179" s="832"/>
      <c r="L179" s="832"/>
      <c r="M179" s="832"/>
      <c r="N179" s="832"/>
      <c r="O179" s="832"/>
      <c r="P179" s="832"/>
      <c r="Q179" s="832"/>
      <c r="R179" s="832"/>
      <c r="S179" s="832"/>
      <c r="T179" s="832"/>
    </row>
    <row r="180" spans="1:20" x14ac:dyDescent="0.2">
      <c r="A180" s="832"/>
      <c r="B180" s="832"/>
      <c r="C180" s="832"/>
      <c r="D180" s="990" t="s">
        <v>1485</v>
      </c>
      <c r="E180" s="994">
        <f>I159</f>
        <v>4523.4475000000011</v>
      </c>
      <c r="F180" s="990" t="s">
        <v>1014</v>
      </c>
      <c r="G180" s="994">
        <f>I161</f>
        <v>42.300000000000004</v>
      </c>
      <c r="H180" s="990" t="s">
        <v>99</v>
      </c>
      <c r="I180" s="994">
        <f>E177</f>
        <v>7.7558865248226949</v>
      </c>
      <c r="J180" s="832"/>
      <c r="K180" s="832"/>
      <c r="L180" s="832"/>
      <c r="M180" s="832"/>
      <c r="N180" s="832"/>
      <c r="O180" s="832"/>
      <c r="P180" s="832"/>
      <c r="Q180" s="832"/>
      <c r="R180" s="832"/>
      <c r="S180" s="832"/>
      <c r="T180" s="832"/>
    </row>
    <row r="181" spans="1:20" x14ac:dyDescent="0.2">
      <c r="A181" s="832"/>
      <c r="B181" s="832"/>
      <c r="C181" s="832"/>
      <c r="D181" s="990" t="s">
        <v>1485</v>
      </c>
      <c r="E181" s="994">
        <f>E180/G180+I180</f>
        <v>114.69317966903076</v>
      </c>
      <c r="F181" s="990" t="s">
        <v>35</v>
      </c>
      <c r="G181" s="832"/>
      <c r="H181" s="832"/>
      <c r="I181" s="832"/>
      <c r="J181" s="832"/>
      <c r="K181" s="832"/>
      <c r="L181" s="832"/>
      <c r="M181" s="832"/>
      <c r="N181" s="832"/>
      <c r="O181" s="832"/>
      <c r="P181" s="832"/>
      <c r="Q181" s="832"/>
      <c r="R181" s="832"/>
      <c r="S181" s="832"/>
      <c r="T181" s="832"/>
    </row>
    <row r="182" spans="1:20" x14ac:dyDescent="0.2">
      <c r="A182" s="990" t="s">
        <v>986</v>
      </c>
      <c r="B182" s="832"/>
      <c r="C182" s="832"/>
      <c r="D182" s="832"/>
      <c r="E182" s="832"/>
      <c r="F182" s="832"/>
      <c r="G182" s="832"/>
      <c r="H182" s="832"/>
      <c r="I182" s="832"/>
      <c r="J182" s="832"/>
      <c r="K182" s="832"/>
      <c r="L182" s="832"/>
      <c r="M182" s="832"/>
      <c r="N182" s="832"/>
      <c r="O182" s="832"/>
      <c r="P182" s="832"/>
      <c r="Q182" s="832"/>
      <c r="R182" s="832"/>
      <c r="S182" s="832"/>
      <c r="T182" s="832"/>
    </row>
    <row r="183" spans="1:20" x14ac:dyDescent="0.2">
      <c r="A183" s="990" t="s">
        <v>950</v>
      </c>
      <c r="B183" s="832"/>
      <c r="C183" s="832"/>
      <c r="D183" s="832"/>
      <c r="E183" s="832"/>
      <c r="F183" s="832"/>
      <c r="G183" s="832"/>
      <c r="H183" s="832"/>
      <c r="I183" s="832"/>
      <c r="J183" s="832"/>
      <c r="K183" s="832"/>
      <c r="L183" s="832"/>
      <c r="M183" s="832"/>
      <c r="N183" s="832"/>
      <c r="O183" s="832"/>
      <c r="P183" s="832"/>
      <c r="Q183" s="832"/>
      <c r="R183" s="832"/>
      <c r="S183" s="832"/>
      <c r="T183" s="832"/>
    </row>
    <row r="184" spans="1:20" x14ac:dyDescent="0.2">
      <c r="A184" s="990" t="s">
        <v>122</v>
      </c>
      <c r="B184" s="832"/>
      <c r="C184" s="832"/>
      <c r="D184" s="832"/>
      <c r="E184" s="832"/>
      <c r="F184" s="832"/>
      <c r="G184" s="832"/>
      <c r="H184" s="832"/>
      <c r="I184" s="832"/>
      <c r="J184" s="832"/>
      <c r="K184" s="832"/>
      <c r="L184" s="832"/>
      <c r="M184" s="832"/>
      <c r="N184" s="832"/>
      <c r="O184" s="832"/>
      <c r="P184" s="832"/>
      <c r="Q184" s="832"/>
      <c r="R184" s="832"/>
      <c r="S184" s="832"/>
      <c r="T184" s="832"/>
    </row>
    <row r="185" spans="1:20" x14ac:dyDescent="0.2">
      <c r="A185" s="1000" t="s">
        <v>1467</v>
      </c>
      <c r="B185" s="832"/>
      <c r="C185" s="832"/>
      <c r="D185" s="832"/>
      <c r="E185" s="832"/>
      <c r="F185" s="832"/>
      <c r="G185" s="832"/>
      <c r="H185" s="832"/>
      <c r="I185" s="832"/>
      <c r="J185" s="832"/>
      <c r="K185" s="832"/>
      <c r="L185" s="832"/>
      <c r="M185" s="832"/>
      <c r="N185" s="832"/>
      <c r="O185" s="832"/>
      <c r="P185" s="832"/>
      <c r="Q185" s="832"/>
      <c r="R185" s="832"/>
      <c r="S185" s="832"/>
      <c r="T185" s="832"/>
    </row>
    <row r="186" spans="1:20" x14ac:dyDescent="0.2">
      <c r="A186" s="832"/>
      <c r="B186" s="990" t="s">
        <v>1821</v>
      </c>
      <c r="C186" s="832"/>
      <c r="D186" s="832"/>
      <c r="E186" s="832"/>
      <c r="F186" s="832"/>
      <c r="G186" s="832"/>
      <c r="H186" s="832"/>
      <c r="I186" s="832"/>
      <c r="J186" s="832"/>
      <c r="K186" s="832"/>
      <c r="L186" s="832"/>
      <c r="M186" s="832"/>
      <c r="N186" s="832"/>
      <c r="O186" s="832"/>
      <c r="P186" s="832"/>
      <c r="Q186" s="832"/>
      <c r="R186" s="832"/>
      <c r="S186" s="832"/>
      <c r="T186" s="832"/>
    </row>
    <row r="187" spans="1:20" x14ac:dyDescent="0.2">
      <c r="A187" s="832"/>
      <c r="B187" s="990" t="s">
        <v>1822</v>
      </c>
      <c r="C187" s="832"/>
      <c r="D187" s="832"/>
      <c r="E187" s="832"/>
      <c r="F187" s="832"/>
      <c r="G187" s="832"/>
      <c r="H187" s="832"/>
      <c r="I187" s="832"/>
      <c r="J187" s="832"/>
      <c r="K187" s="832"/>
      <c r="L187" s="832"/>
      <c r="M187" s="832"/>
      <c r="N187" s="832"/>
      <c r="O187" s="832"/>
      <c r="P187" s="832"/>
      <c r="Q187" s="832"/>
      <c r="R187" s="832"/>
      <c r="S187" s="832"/>
      <c r="T187" s="832"/>
    </row>
    <row r="188" spans="1:20" x14ac:dyDescent="0.2">
      <c r="A188" s="832"/>
      <c r="B188" s="990"/>
      <c r="C188" s="832"/>
      <c r="D188" s="832"/>
      <c r="E188" s="832"/>
      <c r="F188" s="832"/>
      <c r="G188" s="832"/>
      <c r="H188" s="832"/>
      <c r="I188" s="832"/>
      <c r="J188" s="832"/>
      <c r="K188" s="832"/>
      <c r="L188" s="832"/>
      <c r="M188" s="832"/>
      <c r="N188" s="832"/>
      <c r="O188" s="832"/>
      <c r="P188" s="832"/>
      <c r="Q188" s="832"/>
      <c r="R188" s="832"/>
      <c r="S188" s="832"/>
      <c r="T188" s="832"/>
    </row>
    <row r="189" spans="1:20" x14ac:dyDescent="0.2">
      <c r="A189" s="832"/>
      <c r="B189" s="990" t="s">
        <v>1489</v>
      </c>
      <c r="C189" s="832"/>
      <c r="D189" s="832"/>
      <c r="E189" s="832"/>
      <c r="F189" s="832"/>
      <c r="G189" s="832"/>
      <c r="H189" s="832"/>
      <c r="I189" s="832"/>
      <c r="J189" s="832"/>
      <c r="K189" s="832"/>
      <c r="L189" s="832"/>
      <c r="M189" s="832"/>
      <c r="N189" s="832"/>
      <c r="O189" s="832"/>
      <c r="P189" s="832"/>
      <c r="Q189" s="832"/>
      <c r="R189" s="832"/>
      <c r="S189" s="832"/>
      <c r="T189" s="832"/>
    </row>
    <row r="190" spans="1:20" x14ac:dyDescent="0.2">
      <c r="A190" s="832"/>
      <c r="B190" s="990" t="s">
        <v>1490</v>
      </c>
      <c r="C190" s="832"/>
      <c r="D190" s="832"/>
      <c r="E190" s="832"/>
      <c r="F190" s="832"/>
      <c r="G190" s="832"/>
      <c r="H190" s="832"/>
      <c r="I190" s="832"/>
      <c r="J190" s="832"/>
      <c r="K190" s="832"/>
      <c r="L190" s="832"/>
      <c r="M190" s="832"/>
      <c r="N190" s="832"/>
      <c r="O190" s="832"/>
      <c r="P190" s="832"/>
      <c r="Q190" s="832"/>
      <c r="R190" s="832"/>
      <c r="S190" s="832"/>
      <c r="T190" s="832"/>
    </row>
    <row r="191" spans="1:20" x14ac:dyDescent="0.2">
      <c r="A191" s="832"/>
      <c r="B191" s="832"/>
      <c r="C191" s="832"/>
      <c r="D191" s="832"/>
      <c r="E191" s="832"/>
      <c r="F191" s="832"/>
      <c r="G191" s="832"/>
      <c r="H191" s="832"/>
      <c r="I191" s="832"/>
      <c r="J191" s="832"/>
      <c r="K191" s="832"/>
      <c r="L191" s="832"/>
      <c r="M191" s="832"/>
      <c r="N191" s="832"/>
      <c r="O191" s="832"/>
      <c r="P191" s="832"/>
      <c r="Q191" s="832"/>
      <c r="R191" s="832"/>
      <c r="S191" s="832"/>
      <c r="T191" s="832"/>
    </row>
    <row r="192" spans="1:20" x14ac:dyDescent="0.2">
      <c r="A192" s="832"/>
      <c r="B192" s="990" t="s">
        <v>1491</v>
      </c>
      <c r="C192" s="832"/>
      <c r="D192" s="832"/>
      <c r="E192" s="832"/>
      <c r="F192" s="832"/>
      <c r="G192" s="832"/>
      <c r="H192" s="832"/>
      <c r="I192" s="832"/>
      <c r="J192" s="832"/>
      <c r="K192" s="832"/>
      <c r="L192" s="832"/>
      <c r="M192" s="832"/>
      <c r="N192" s="832"/>
      <c r="O192" s="832"/>
      <c r="P192" s="832"/>
      <c r="Q192" s="832"/>
      <c r="R192" s="832"/>
      <c r="S192" s="832"/>
      <c r="T192" s="832"/>
    </row>
    <row r="193" spans="1:20" x14ac:dyDescent="0.2">
      <c r="A193" s="832"/>
      <c r="B193" s="832"/>
      <c r="C193" s="832"/>
      <c r="D193" s="990"/>
      <c r="E193" s="832"/>
      <c r="F193" s="832"/>
      <c r="G193" s="832"/>
      <c r="H193" s="832"/>
      <c r="I193" s="832"/>
      <c r="J193" s="832"/>
      <c r="K193" s="832"/>
      <c r="L193" s="832"/>
      <c r="M193" s="832"/>
      <c r="N193" s="832"/>
      <c r="O193" s="832"/>
      <c r="P193" s="832"/>
      <c r="Q193" s="832"/>
      <c r="R193" s="832"/>
      <c r="S193" s="832"/>
      <c r="T193" s="832"/>
    </row>
    <row r="194" spans="1:20" x14ac:dyDescent="0.2">
      <c r="A194" s="832"/>
      <c r="B194" s="995"/>
      <c r="C194" s="995"/>
      <c r="D194" s="995" t="s">
        <v>1825</v>
      </c>
      <c r="E194" s="995" t="s">
        <v>1824</v>
      </c>
      <c r="F194" s="995" t="s">
        <v>1823</v>
      </c>
      <c r="G194" s="832"/>
      <c r="H194" s="832"/>
      <c r="I194" s="832"/>
      <c r="J194" s="832"/>
      <c r="K194" s="832"/>
      <c r="L194" s="832"/>
      <c r="M194" s="832"/>
      <c r="N194" s="832"/>
      <c r="O194" s="832"/>
      <c r="P194" s="832"/>
      <c r="Q194" s="832"/>
      <c r="R194" s="832"/>
      <c r="S194" s="832"/>
      <c r="T194" s="832"/>
    </row>
    <row r="195" spans="1:20" x14ac:dyDescent="0.2">
      <c r="A195" s="832"/>
      <c r="B195" s="990" t="s">
        <v>1492</v>
      </c>
      <c r="C195" s="832"/>
      <c r="D195" s="832"/>
      <c r="E195" s="832"/>
      <c r="F195" s="832"/>
      <c r="G195" s="832"/>
      <c r="H195" s="832"/>
      <c r="I195" s="832"/>
      <c r="J195" s="832"/>
      <c r="K195" s="832"/>
      <c r="L195" s="832"/>
      <c r="M195" s="832"/>
      <c r="N195" s="832"/>
      <c r="O195" s="832"/>
      <c r="P195" s="832"/>
      <c r="Q195" s="832"/>
      <c r="R195" s="832"/>
      <c r="S195" s="832"/>
      <c r="T195" s="832"/>
    </row>
    <row r="196" spans="1:20" x14ac:dyDescent="0.2">
      <c r="A196" s="832"/>
      <c r="B196" s="990" t="s">
        <v>1493</v>
      </c>
      <c r="C196" s="832"/>
      <c r="D196" s="1012">
        <f>1/14</f>
        <v>7.1428571428571425E-2</v>
      </c>
      <c r="E196" s="1012">
        <f>1/14</f>
        <v>7.1428571428571425E-2</v>
      </c>
      <c r="F196" s="1012">
        <f>1/14</f>
        <v>7.1428571428571425E-2</v>
      </c>
      <c r="G196" s="832"/>
      <c r="H196" s="832"/>
      <c r="I196" s="832"/>
      <c r="J196" s="832"/>
      <c r="K196" s="832"/>
      <c r="L196" s="832"/>
      <c r="M196" s="832"/>
      <c r="N196" s="832"/>
      <c r="O196" s="832"/>
      <c r="P196" s="832"/>
      <c r="Q196" s="832"/>
      <c r="R196" s="832"/>
      <c r="S196" s="832"/>
      <c r="T196" s="832"/>
    </row>
    <row r="197" spans="1:20" x14ac:dyDescent="0.2">
      <c r="A197" s="832"/>
      <c r="B197" s="990" t="s">
        <v>1494</v>
      </c>
      <c r="C197" s="832"/>
      <c r="D197" s="1012">
        <f>1/16</f>
        <v>6.25E-2</v>
      </c>
      <c r="E197" s="1012">
        <f>1/9</f>
        <v>0.1111111111111111</v>
      </c>
      <c r="F197" s="1012">
        <f>1/10</f>
        <v>0.1</v>
      </c>
      <c r="G197" s="832"/>
      <c r="H197" s="832"/>
      <c r="I197" s="832"/>
      <c r="J197" s="832"/>
      <c r="K197" s="832"/>
      <c r="L197" s="832"/>
      <c r="M197" s="832"/>
      <c r="N197" s="832"/>
      <c r="O197" s="832"/>
      <c r="P197" s="832"/>
      <c r="Q197" s="832"/>
      <c r="R197" s="832"/>
      <c r="S197" s="832"/>
      <c r="T197" s="832"/>
    </row>
    <row r="198" spans="1:20" x14ac:dyDescent="0.2">
      <c r="A198" s="832"/>
      <c r="B198" s="832"/>
      <c r="C198" s="832"/>
      <c r="D198" s="998"/>
      <c r="E198" s="998"/>
      <c r="F198" s="998"/>
      <c r="G198" s="832"/>
      <c r="H198" s="832"/>
      <c r="I198" s="832"/>
      <c r="J198" s="832"/>
      <c r="K198" s="832"/>
      <c r="L198" s="832"/>
      <c r="M198" s="832"/>
      <c r="N198" s="832"/>
      <c r="O198" s="832"/>
      <c r="P198" s="832"/>
      <c r="Q198" s="832"/>
      <c r="R198" s="832"/>
      <c r="S198" s="832"/>
      <c r="T198" s="832"/>
    </row>
    <row r="199" spans="1:20" x14ac:dyDescent="0.2">
      <c r="A199" s="832"/>
      <c r="B199" s="990" t="s">
        <v>1495</v>
      </c>
      <c r="C199" s="832"/>
      <c r="D199" s="1012">
        <v>1.1499999999999999</v>
      </c>
      <c r="E199" s="1012">
        <v>1.1499999999999999</v>
      </c>
      <c r="F199" s="1012">
        <v>1.1499999999999999</v>
      </c>
      <c r="G199" s="832"/>
      <c r="H199" s="832"/>
      <c r="I199" s="832"/>
      <c r="J199" s="832"/>
      <c r="K199" s="832"/>
      <c r="L199" s="832"/>
      <c r="M199" s="832"/>
      <c r="N199" s="832"/>
      <c r="O199" s="832"/>
      <c r="P199" s="832"/>
      <c r="Q199" s="832"/>
      <c r="R199" s="832"/>
      <c r="S199" s="832"/>
      <c r="T199" s="832"/>
    </row>
    <row r="200" spans="1:20" x14ac:dyDescent="0.2">
      <c r="A200" s="832"/>
      <c r="B200" s="995"/>
      <c r="C200" s="995"/>
      <c r="D200" s="995"/>
      <c r="E200" s="995"/>
      <c r="F200" s="995"/>
      <c r="G200" s="832"/>
      <c r="H200" s="832"/>
      <c r="I200" s="832"/>
      <c r="J200" s="832"/>
      <c r="K200" s="832"/>
      <c r="L200" s="832"/>
      <c r="M200" s="832"/>
      <c r="N200" s="832"/>
      <c r="O200" s="832"/>
      <c r="P200" s="832"/>
      <c r="Q200" s="832"/>
      <c r="R200" s="832"/>
      <c r="S200" s="832"/>
      <c r="T200" s="832"/>
    </row>
    <row r="201" spans="1:20" x14ac:dyDescent="0.2">
      <c r="A201" s="832"/>
      <c r="B201" s="990" t="s">
        <v>164</v>
      </c>
      <c r="C201" s="832"/>
      <c r="D201" s="832"/>
      <c r="E201" s="832"/>
      <c r="F201" s="994">
        <f>E181</f>
        <v>114.69317966903076</v>
      </c>
      <c r="G201" s="990" t="s">
        <v>35</v>
      </c>
      <c r="H201" s="832"/>
      <c r="I201" s="832"/>
      <c r="J201" s="832"/>
      <c r="K201" s="832"/>
      <c r="L201" s="832"/>
      <c r="M201" s="832"/>
      <c r="N201" s="832"/>
      <c r="O201" s="832"/>
      <c r="P201" s="832"/>
      <c r="Q201" s="832"/>
      <c r="R201" s="832"/>
      <c r="S201" s="832"/>
      <c r="T201" s="832"/>
    </row>
    <row r="202" spans="1:20" x14ac:dyDescent="0.2">
      <c r="A202" s="832"/>
      <c r="B202" s="990" t="s">
        <v>1496</v>
      </c>
      <c r="C202" s="832"/>
      <c r="D202" s="832"/>
      <c r="E202" s="832"/>
      <c r="F202" s="994">
        <f>E44</f>
        <v>1.5</v>
      </c>
      <c r="G202" s="990" t="s">
        <v>24</v>
      </c>
      <c r="H202" s="832"/>
      <c r="I202" s="832"/>
      <c r="J202" s="832"/>
      <c r="K202" s="832"/>
      <c r="L202" s="832"/>
      <c r="M202" s="832"/>
      <c r="N202" s="832"/>
      <c r="O202" s="832"/>
      <c r="P202" s="832"/>
      <c r="Q202" s="832"/>
      <c r="R202" s="832"/>
      <c r="S202" s="832"/>
      <c r="T202" s="832"/>
    </row>
    <row r="203" spans="1:20" x14ac:dyDescent="0.2">
      <c r="A203" s="832"/>
      <c r="B203" s="990" t="s">
        <v>1497</v>
      </c>
      <c r="C203" s="832"/>
      <c r="D203" s="832"/>
      <c r="E203" s="832"/>
      <c r="F203" s="997">
        <f>'Basin (RS)'!F11</f>
        <v>1</v>
      </c>
      <c r="G203" s="832"/>
      <c r="H203" s="832"/>
      <c r="I203" s="832"/>
      <c r="J203" s="832"/>
      <c r="K203" s="832"/>
      <c r="L203" s="832"/>
      <c r="M203" s="832"/>
      <c r="N203" s="832"/>
      <c r="O203" s="832"/>
      <c r="P203" s="832"/>
      <c r="Q203" s="832"/>
      <c r="R203" s="832"/>
      <c r="S203" s="832"/>
      <c r="T203" s="832"/>
    </row>
    <row r="204" spans="1:20" x14ac:dyDescent="0.2">
      <c r="A204" s="832"/>
      <c r="B204" s="832"/>
      <c r="C204" s="832"/>
      <c r="D204" s="832"/>
      <c r="E204" s="832"/>
      <c r="F204" s="832"/>
      <c r="G204" s="832"/>
      <c r="H204" s="832"/>
      <c r="I204" s="832"/>
      <c r="J204" s="832"/>
      <c r="K204" s="832"/>
      <c r="L204" s="832"/>
      <c r="M204" s="832"/>
      <c r="N204" s="832"/>
      <c r="O204" s="832"/>
      <c r="P204" s="832"/>
      <c r="Q204" s="832"/>
      <c r="R204" s="832"/>
      <c r="S204" s="832"/>
      <c r="T204" s="832"/>
    </row>
    <row r="205" spans="1:20" x14ac:dyDescent="0.2">
      <c r="A205" s="832"/>
      <c r="B205" s="990" t="s">
        <v>1498</v>
      </c>
      <c r="C205" s="832"/>
      <c r="D205" s="832"/>
      <c r="E205" s="994">
        <f>IF($F$203=1,D196*$F$201*$F$202^2,IF($F$203=2,E196*$F$201*$F$202^2,F196*$F$201*$F$202^2))</f>
        <v>18.432832446808515</v>
      </c>
      <c r="F205" s="990" t="s">
        <v>58</v>
      </c>
      <c r="G205" s="832"/>
      <c r="H205" s="832"/>
      <c r="I205" s="832"/>
      <c r="J205" s="832"/>
      <c r="K205" s="832"/>
      <c r="L205" s="832"/>
      <c r="M205" s="832"/>
      <c r="N205" s="832"/>
      <c r="O205" s="832"/>
      <c r="P205" s="832"/>
      <c r="Q205" s="832"/>
      <c r="R205" s="832"/>
      <c r="S205" s="832"/>
      <c r="T205" s="832"/>
    </row>
    <row r="206" spans="1:20" x14ac:dyDescent="0.2">
      <c r="A206" s="832"/>
      <c r="B206" s="990" t="s">
        <v>1499</v>
      </c>
      <c r="C206" s="832"/>
      <c r="D206" s="832"/>
      <c r="E206" s="994">
        <f>IF($F$203=1,D197*$F$201*$F$202^2,IF($F$203=2,E197*$F$201*$F$202^2,F197*$F$201*$F$202^2))</f>
        <v>16.128728390957448</v>
      </c>
      <c r="F206" s="990" t="s">
        <v>58</v>
      </c>
      <c r="G206" s="832"/>
      <c r="H206" s="832"/>
      <c r="I206" s="832"/>
      <c r="J206" s="832"/>
      <c r="K206" s="832"/>
      <c r="L206" s="832"/>
      <c r="M206" s="832"/>
      <c r="N206" s="832"/>
      <c r="O206" s="832"/>
      <c r="P206" s="832"/>
      <c r="Q206" s="832"/>
      <c r="R206" s="832"/>
      <c r="S206" s="832"/>
      <c r="T206" s="832"/>
    </row>
    <row r="207" spans="1:20" x14ac:dyDescent="0.2">
      <c r="A207" s="832"/>
      <c r="B207" s="832"/>
      <c r="C207" s="832"/>
      <c r="D207" s="832"/>
      <c r="E207" s="832"/>
      <c r="F207" s="832"/>
      <c r="G207" s="832"/>
      <c r="H207" s="832"/>
      <c r="I207" s="832"/>
      <c r="J207" s="832"/>
      <c r="K207" s="832"/>
      <c r="L207" s="832"/>
      <c r="M207" s="832"/>
      <c r="N207" s="832"/>
      <c r="O207" s="832"/>
      <c r="P207" s="832"/>
      <c r="Q207" s="832"/>
      <c r="R207" s="832"/>
      <c r="S207" s="832"/>
      <c r="T207" s="832"/>
    </row>
    <row r="208" spans="1:20" x14ac:dyDescent="0.2">
      <c r="A208" s="832"/>
      <c r="B208" s="990" t="s">
        <v>1500</v>
      </c>
      <c r="C208" s="832"/>
      <c r="D208" s="832"/>
      <c r="E208" s="994">
        <f>IF($F$203=1,D199*$F$201*$F$202/2,IF($F$203=2,E199*$F$201*$F$202/2,F199*$F$201*$F$202/2))</f>
        <v>98.922867464539024</v>
      </c>
      <c r="F208" s="990" t="s">
        <v>57</v>
      </c>
      <c r="G208" s="832"/>
      <c r="H208" s="832"/>
      <c r="I208" s="832"/>
      <c r="J208" s="832"/>
      <c r="K208" s="832"/>
      <c r="L208" s="832"/>
      <c r="M208" s="832"/>
      <c r="N208" s="832"/>
      <c r="O208" s="832"/>
      <c r="P208" s="832"/>
      <c r="Q208" s="832"/>
      <c r="R208" s="832"/>
      <c r="S208" s="832"/>
      <c r="T208" s="832"/>
    </row>
    <row r="209" spans="1:20" x14ac:dyDescent="0.2">
      <c r="A209" s="990" t="s">
        <v>950</v>
      </c>
      <c r="B209" s="832"/>
      <c r="C209" s="832"/>
      <c r="D209" s="832"/>
      <c r="E209" s="832"/>
      <c r="F209" s="832"/>
      <c r="G209" s="832"/>
      <c r="H209" s="832"/>
      <c r="I209" s="832"/>
      <c r="J209" s="832"/>
      <c r="K209" s="832"/>
      <c r="L209" s="832"/>
      <c r="M209" s="832"/>
      <c r="N209" s="832"/>
      <c r="O209" s="832"/>
      <c r="P209" s="832"/>
      <c r="Q209" s="832"/>
      <c r="R209" s="832"/>
      <c r="S209" s="832"/>
      <c r="T209" s="832"/>
    </row>
    <row r="210" spans="1:20" x14ac:dyDescent="0.2">
      <c r="A210" s="990" t="s">
        <v>59</v>
      </c>
      <c r="B210" s="832"/>
      <c r="C210" s="832"/>
      <c r="D210" s="832"/>
      <c r="E210" s="832"/>
      <c r="F210" s="832"/>
      <c r="G210" s="832"/>
      <c r="H210" s="832"/>
      <c r="I210" s="832"/>
      <c r="J210" s="832"/>
      <c r="K210" s="832"/>
      <c r="L210" s="832"/>
      <c r="M210" s="832"/>
      <c r="N210" s="832"/>
      <c r="O210" s="832"/>
      <c r="P210" s="832"/>
      <c r="Q210" s="832"/>
      <c r="R210" s="832"/>
      <c r="S210" s="832"/>
      <c r="T210" s="832"/>
    </row>
    <row r="211" spans="1:20" x14ac:dyDescent="0.2">
      <c r="A211" s="1000" t="s">
        <v>1467</v>
      </c>
      <c r="B211" s="832"/>
      <c r="C211" s="832"/>
      <c r="D211" s="832"/>
      <c r="E211" s="832"/>
      <c r="F211" s="832"/>
      <c r="G211" s="832"/>
      <c r="H211" s="832"/>
      <c r="I211" s="832"/>
      <c r="J211" s="832"/>
      <c r="K211" s="832"/>
      <c r="L211" s="832"/>
      <c r="M211" s="832"/>
      <c r="N211" s="832"/>
      <c r="O211" s="832"/>
      <c r="P211" s="832"/>
      <c r="Q211" s="832"/>
      <c r="R211" s="832"/>
      <c r="S211" s="832"/>
      <c r="T211" s="832"/>
    </row>
    <row r="212" spans="1:20" x14ac:dyDescent="0.2">
      <c r="A212" s="832"/>
      <c r="B212" s="990" t="s">
        <v>499</v>
      </c>
      <c r="C212" s="832"/>
      <c r="D212" s="832"/>
      <c r="E212" s="832"/>
      <c r="F212" s="832"/>
      <c r="G212" s="832"/>
      <c r="H212" s="832"/>
      <c r="I212" s="832"/>
      <c r="J212" s="832"/>
      <c r="K212" s="832"/>
      <c r="L212" s="832"/>
      <c r="M212" s="832"/>
      <c r="N212" s="832"/>
      <c r="O212" s="832"/>
      <c r="P212" s="832"/>
      <c r="Q212" s="832"/>
      <c r="R212" s="832"/>
      <c r="S212" s="832"/>
      <c r="T212" s="832"/>
    </row>
    <row r="213" spans="1:20" x14ac:dyDescent="0.2">
      <c r="A213" s="832"/>
      <c r="B213" s="990" t="s">
        <v>1926</v>
      </c>
      <c r="C213" s="832"/>
      <c r="D213" s="832"/>
      <c r="E213" s="832"/>
      <c r="F213" s="832"/>
      <c r="G213" s="832"/>
      <c r="H213" s="832"/>
      <c r="I213" s="832"/>
      <c r="J213" s="832"/>
      <c r="K213" s="832"/>
      <c r="L213" s="832"/>
      <c r="M213" s="832"/>
      <c r="N213" s="832"/>
      <c r="O213" s="832"/>
      <c r="P213" s="832"/>
      <c r="Q213" s="832"/>
      <c r="R213" s="832"/>
      <c r="S213" s="832"/>
      <c r="T213" s="832"/>
    </row>
    <row r="214" spans="1:20" x14ac:dyDescent="0.2">
      <c r="A214" s="832"/>
      <c r="B214" s="990"/>
      <c r="C214" s="832"/>
      <c r="D214" s="832"/>
      <c r="E214" s="832"/>
      <c r="F214" s="832"/>
      <c r="G214" s="832"/>
      <c r="H214" s="832"/>
      <c r="I214" s="832"/>
      <c r="J214" s="832"/>
      <c r="K214" s="832"/>
      <c r="L214" s="832"/>
      <c r="M214" s="832"/>
      <c r="N214" s="832"/>
      <c r="O214" s="832"/>
      <c r="P214" s="832"/>
      <c r="Q214" s="832"/>
      <c r="R214" s="832"/>
      <c r="S214" s="832"/>
      <c r="T214" s="832"/>
    </row>
    <row r="215" spans="1:20" x14ac:dyDescent="0.2">
      <c r="A215" s="832"/>
      <c r="B215" s="990" t="s">
        <v>1150</v>
      </c>
      <c r="C215" s="832"/>
      <c r="D215" s="832"/>
      <c r="E215" s="832"/>
      <c r="F215" s="832"/>
      <c r="G215" s="832"/>
      <c r="H215" s="832"/>
      <c r="I215" s="832"/>
      <c r="J215" s="832"/>
      <c r="K215" s="832"/>
      <c r="L215" s="832"/>
      <c r="M215" s="832"/>
      <c r="N215" s="832"/>
      <c r="O215" s="832"/>
      <c r="P215" s="832"/>
      <c r="Q215" s="832"/>
      <c r="R215" s="832"/>
      <c r="S215" s="832"/>
      <c r="T215" s="832"/>
    </row>
    <row r="216" spans="1:20" x14ac:dyDescent="0.2">
      <c r="A216" s="832"/>
      <c r="B216" s="990" t="s">
        <v>500</v>
      </c>
      <c r="C216" s="832"/>
      <c r="D216" s="832"/>
      <c r="E216" s="994">
        <f>MAX(E205:E206)</f>
        <v>18.432832446808515</v>
      </c>
      <c r="F216" s="990" t="s">
        <v>58</v>
      </c>
      <c r="G216" s="832"/>
      <c r="H216" s="832"/>
      <c r="I216" s="832"/>
      <c r="J216" s="832"/>
      <c r="K216" s="832"/>
      <c r="L216" s="832"/>
      <c r="M216" s="832"/>
      <c r="N216" s="832"/>
      <c r="O216" s="832"/>
      <c r="P216" s="832"/>
      <c r="Q216" s="832"/>
      <c r="R216" s="832"/>
      <c r="S216" s="832"/>
      <c r="T216" s="832"/>
    </row>
    <row r="217" spans="1:20" x14ac:dyDescent="0.2">
      <c r="A217" s="832"/>
      <c r="B217" s="990" t="s">
        <v>1151</v>
      </c>
      <c r="C217" s="832"/>
      <c r="D217" s="832"/>
      <c r="E217" s="999">
        <f>$F$128</f>
        <v>1252.9941383359403</v>
      </c>
      <c r="F217" s="990" t="s">
        <v>35</v>
      </c>
      <c r="G217" s="832"/>
      <c r="H217" s="832"/>
      <c r="I217" s="832"/>
      <c r="J217" s="832"/>
      <c r="K217" s="832"/>
      <c r="L217" s="832"/>
      <c r="M217" s="832"/>
      <c r="N217" s="832"/>
      <c r="O217" s="832"/>
      <c r="P217" s="832"/>
      <c r="Q217" s="832"/>
      <c r="R217" s="832"/>
      <c r="S217" s="832"/>
      <c r="T217" s="832"/>
    </row>
    <row r="218" spans="1:20" x14ac:dyDescent="0.2">
      <c r="A218" s="832"/>
      <c r="B218" s="990" t="s">
        <v>2192</v>
      </c>
      <c r="C218" s="832"/>
      <c r="D218" s="832"/>
      <c r="E218" s="832">
        <v>1</v>
      </c>
      <c r="F218" s="832" t="s">
        <v>24</v>
      </c>
      <c r="G218" s="832"/>
      <c r="H218" s="832"/>
      <c r="I218" s="832"/>
      <c r="J218" s="832"/>
      <c r="K218" s="832"/>
      <c r="L218" s="832"/>
      <c r="M218" s="832"/>
      <c r="N218" s="832"/>
      <c r="O218" s="832"/>
      <c r="P218" s="832"/>
      <c r="Q218" s="832"/>
      <c r="R218" s="832"/>
      <c r="S218" s="832"/>
      <c r="T218" s="832"/>
    </row>
    <row r="219" spans="1:20" x14ac:dyDescent="0.2">
      <c r="A219" s="832"/>
      <c r="B219" s="990" t="s">
        <v>60</v>
      </c>
      <c r="C219" s="832"/>
      <c r="D219" s="832"/>
      <c r="E219" s="997">
        <f>SQRT(E216/E217)*1000</f>
        <v>121.28902866292043</v>
      </c>
      <c r="F219" s="990" t="s">
        <v>43</v>
      </c>
      <c r="G219" s="832"/>
      <c r="H219" s="832"/>
      <c r="I219" s="832"/>
      <c r="J219" s="832"/>
      <c r="K219" s="832"/>
      <c r="L219" s="832"/>
      <c r="M219" s="832"/>
      <c r="N219" s="832"/>
      <c r="O219" s="832"/>
      <c r="P219" s="832"/>
      <c r="Q219" s="832"/>
      <c r="R219" s="832"/>
      <c r="S219" s="832"/>
      <c r="T219" s="832"/>
    </row>
    <row r="220" spans="1:20" x14ac:dyDescent="0.2">
      <c r="A220" s="832"/>
      <c r="B220" s="832"/>
      <c r="C220" s="832"/>
      <c r="D220" s="832"/>
      <c r="E220" s="832"/>
      <c r="F220" s="832"/>
      <c r="G220" s="832"/>
      <c r="H220" s="832"/>
      <c r="I220" s="832"/>
      <c r="J220" s="832"/>
      <c r="K220" s="832"/>
      <c r="L220" s="832"/>
      <c r="M220" s="832"/>
      <c r="N220" s="832"/>
      <c r="O220" s="832"/>
      <c r="P220" s="832"/>
      <c r="Q220" s="832"/>
      <c r="R220" s="832"/>
      <c r="S220" s="832"/>
      <c r="T220" s="832"/>
    </row>
    <row r="221" spans="1:20" x14ac:dyDescent="0.2">
      <c r="A221" s="832"/>
      <c r="B221" s="990" t="s">
        <v>1153</v>
      </c>
      <c r="C221" s="832"/>
      <c r="D221" s="832"/>
      <c r="E221" s="832"/>
      <c r="F221" s="832"/>
      <c r="G221" s="832"/>
      <c r="H221" s="832"/>
      <c r="I221" s="832"/>
      <c r="J221" s="832"/>
      <c r="K221" s="832"/>
      <c r="L221" s="832"/>
      <c r="M221" s="832"/>
      <c r="N221" s="832"/>
      <c r="O221" s="832"/>
      <c r="P221" s="832"/>
      <c r="Q221" s="832"/>
      <c r="R221" s="832"/>
      <c r="S221" s="832"/>
      <c r="T221" s="832"/>
    </row>
    <row r="222" spans="1:20" x14ac:dyDescent="0.2">
      <c r="A222" s="832"/>
      <c r="B222" s="990" t="s">
        <v>501</v>
      </c>
      <c r="C222" s="832"/>
      <c r="D222" s="832"/>
      <c r="E222" s="832"/>
      <c r="F222" s="994">
        <f>E208</f>
        <v>98.922867464539024</v>
      </c>
      <c r="G222" s="990" t="s">
        <v>57</v>
      </c>
      <c r="H222" s="832"/>
      <c r="I222" s="832"/>
      <c r="J222" s="832"/>
      <c r="K222" s="832"/>
      <c r="L222" s="832"/>
      <c r="M222" s="832"/>
      <c r="N222" s="832"/>
      <c r="O222" s="832"/>
      <c r="P222" s="832"/>
      <c r="Q222" s="832"/>
      <c r="R222" s="832"/>
      <c r="S222" s="832"/>
      <c r="T222" s="832"/>
    </row>
    <row r="223" spans="1:20" x14ac:dyDescent="0.2">
      <c r="A223" s="832"/>
      <c r="B223" s="990" t="s">
        <v>1154</v>
      </c>
      <c r="C223" s="832"/>
      <c r="D223" s="832"/>
      <c r="E223" s="832"/>
      <c r="F223" s="999">
        <f>$G$57</f>
        <v>428.65627255412932</v>
      </c>
      <c r="G223" s="990" t="s">
        <v>35</v>
      </c>
      <c r="H223" s="832"/>
      <c r="I223" s="832"/>
      <c r="J223" s="832"/>
      <c r="K223" s="832"/>
      <c r="L223" s="832"/>
      <c r="M223" s="832"/>
      <c r="N223" s="832"/>
      <c r="O223" s="832"/>
      <c r="P223" s="832"/>
      <c r="Q223" s="832"/>
      <c r="R223" s="832"/>
      <c r="S223" s="832"/>
      <c r="T223" s="832"/>
    </row>
    <row r="224" spans="1:20" x14ac:dyDescent="0.2">
      <c r="A224" s="832"/>
      <c r="B224" s="990" t="s">
        <v>61</v>
      </c>
      <c r="C224" s="832"/>
      <c r="D224" s="832"/>
      <c r="E224" s="832"/>
      <c r="F224" s="997">
        <f>F222/F223*1000</f>
        <v>230.77433785142472</v>
      </c>
      <c r="G224" s="990" t="s">
        <v>43</v>
      </c>
      <c r="H224" s="832"/>
      <c r="I224" s="832"/>
      <c r="J224" s="832"/>
      <c r="K224" s="832"/>
      <c r="L224" s="832"/>
      <c r="M224" s="832"/>
      <c r="N224" s="832"/>
      <c r="O224" s="832"/>
      <c r="P224" s="832"/>
      <c r="Q224" s="832"/>
      <c r="R224" s="832"/>
      <c r="S224" s="832"/>
      <c r="T224" s="832"/>
    </row>
    <row r="225" spans="1:20" x14ac:dyDescent="0.2">
      <c r="A225" s="832"/>
      <c r="B225" s="832"/>
      <c r="C225" s="832"/>
      <c r="D225" s="832"/>
      <c r="E225" s="832"/>
      <c r="F225" s="832"/>
      <c r="G225" s="832"/>
      <c r="H225" s="832"/>
      <c r="I225" s="832"/>
      <c r="J225" s="832"/>
      <c r="K225" s="832"/>
      <c r="L225" s="832"/>
      <c r="M225" s="832"/>
      <c r="N225" s="832"/>
      <c r="O225" s="832"/>
      <c r="P225" s="832"/>
      <c r="Q225" s="832"/>
      <c r="R225" s="832"/>
      <c r="S225" s="832"/>
      <c r="T225" s="832"/>
    </row>
    <row r="226" spans="1:20" x14ac:dyDescent="0.2">
      <c r="A226" s="832"/>
      <c r="B226" s="990" t="s">
        <v>1927</v>
      </c>
      <c r="C226" s="832"/>
      <c r="D226" s="832"/>
      <c r="E226" s="832"/>
      <c r="F226" s="832"/>
      <c r="G226" s="832"/>
      <c r="H226" s="832"/>
      <c r="I226" s="832"/>
      <c r="J226" s="832"/>
      <c r="K226" s="832"/>
      <c r="L226" s="832"/>
      <c r="M226" s="832"/>
      <c r="N226" s="832"/>
      <c r="O226" s="832"/>
      <c r="P226" s="832"/>
      <c r="Q226" s="832"/>
      <c r="R226" s="832"/>
      <c r="S226" s="832"/>
      <c r="T226" s="832"/>
    </row>
    <row r="227" spans="1:20" x14ac:dyDescent="0.2">
      <c r="A227" s="832"/>
      <c r="B227" s="832"/>
      <c r="C227" s="832"/>
      <c r="D227" s="832"/>
      <c r="E227" s="832"/>
      <c r="F227" s="832"/>
      <c r="G227" s="832"/>
      <c r="H227" s="832"/>
      <c r="I227" s="832"/>
      <c r="J227" s="832"/>
      <c r="K227" s="832"/>
      <c r="L227" s="832"/>
      <c r="M227" s="832"/>
      <c r="N227" s="832"/>
      <c r="O227" s="832"/>
      <c r="P227" s="832"/>
      <c r="Q227" s="832"/>
      <c r="R227" s="832"/>
      <c r="S227" s="832"/>
      <c r="T227" s="832"/>
    </row>
    <row r="228" spans="1:20" x14ac:dyDescent="0.2">
      <c r="A228" s="832"/>
      <c r="B228" s="994" t="str">
        <f>IF(E219&gt;=F224,"dr(Moment)  &gt;  dr(Shear)","dr(Moment)  &lt;  dr(Shear)")</f>
        <v>dr(Moment)  &lt;  dr(Shear)</v>
      </c>
      <c r="C228" s="832"/>
      <c r="D228" s="832"/>
      <c r="E228" s="990" t="s">
        <v>1156</v>
      </c>
      <c r="F228" s="832"/>
      <c r="G228" s="997">
        <f>IF(E219&gt;=F224,E219,F224)</f>
        <v>230.77433785142472</v>
      </c>
      <c r="H228" s="990" t="s">
        <v>62</v>
      </c>
      <c r="I228" s="832"/>
      <c r="J228" s="832"/>
      <c r="K228" s="832"/>
      <c r="L228" s="832"/>
      <c r="M228" s="832"/>
      <c r="N228" s="832"/>
      <c r="O228" s="832"/>
      <c r="P228" s="832"/>
      <c r="Q228" s="832"/>
      <c r="R228" s="832"/>
      <c r="S228" s="832"/>
      <c r="T228" s="832"/>
    </row>
    <row r="229" spans="1:20" x14ac:dyDescent="0.2">
      <c r="A229" s="832"/>
      <c r="B229" s="990" t="s">
        <v>1501</v>
      </c>
      <c r="C229" s="832"/>
      <c r="D229" s="832"/>
      <c r="E229" s="832"/>
      <c r="F229" s="832"/>
      <c r="G229" s="997">
        <f>$G$62</f>
        <v>75</v>
      </c>
      <c r="H229" s="990" t="s">
        <v>43</v>
      </c>
      <c r="I229" s="832"/>
      <c r="J229" s="832"/>
      <c r="K229" s="832"/>
      <c r="L229" s="832"/>
      <c r="M229" s="832"/>
      <c r="N229" s="832"/>
      <c r="O229" s="832"/>
      <c r="P229" s="832"/>
      <c r="Q229" s="832"/>
      <c r="R229" s="832"/>
      <c r="S229" s="832"/>
      <c r="T229" s="832"/>
    </row>
    <row r="230" spans="1:20" x14ac:dyDescent="0.2">
      <c r="A230" s="832"/>
      <c r="B230" s="990" t="s">
        <v>63</v>
      </c>
      <c r="C230" s="832"/>
      <c r="D230" s="997"/>
      <c r="E230" s="990"/>
      <c r="F230" s="997"/>
      <c r="G230" s="997">
        <f>G228+G229</f>
        <v>305.77433785142472</v>
      </c>
      <c r="H230" s="990" t="s">
        <v>43</v>
      </c>
      <c r="I230" s="832"/>
      <c r="J230" s="832"/>
      <c r="K230" s="832"/>
      <c r="L230" s="832"/>
      <c r="M230" s="832"/>
      <c r="N230" s="832"/>
      <c r="O230" s="832"/>
      <c r="P230" s="832"/>
      <c r="Q230" s="832"/>
      <c r="R230" s="832"/>
      <c r="S230" s="832"/>
      <c r="T230" s="832"/>
    </row>
    <row r="231" spans="1:20" x14ac:dyDescent="0.2">
      <c r="A231" s="832"/>
      <c r="B231" s="990" t="s">
        <v>574</v>
      </c>
      <c r="C231" s="832"/>
      <c r="D231" s="832"/>
      <c r="E231" s="832"/>
      <c r="F231" s="832"/>
      <c r="G231" s="997">
        <f>E34</f>
        <v>750</v>
      </c>
      <c r="H231" s="990" t="s">
        <v>43</v>
      </c>
      <c r="I231" s="832"/>
      <c r="J231" s="832"/>
      <c r="K231" s="832"/>
      <c r="L231" s="832"/>
      <c r="M231" s="832"/>
      <c r="N231" s="832"/>
      <c r="O231" s="832"/>
      <c r="P231" s="832"/>
      <c r="Q231" s="832"/>
      <c r="R231" s="832"/>
      <c r="S231" s="832"/>
      <c r="T231" s="832"/>
    </row>
    <row r="232" spans="1:20" x14ac:dyDescent="0.2">
      <c r="A232" s="832"/>
      <c r="B232" s="832"/>
      <c r="C232" s="832"/>
      <c r="D232" s="832"/>
      <c r="E232" s="832"/>
      <c r="F232" s="832"/>
      <c r="G232" s="832"/>
      <c r="H232" s="832"/>
      <c r="I232" s="832"/>
      <c r="J232" s="832"/>
      <c r="K232" s="832"/>
      <c r="L232" s="832"/>
      <c r="M232" s="832"/>
      <c r="N232" s="832"/>
      <c r="O232" s="832"/>
      <c r="P232" s="832"/>
      <c r="Q232" s="832"/>
      <c r="R232" s="832"/>
      <c r="S232" s="832"/>
      <c r="T232" s="832"/>
    </row>
    <row r="233" spans="1:20" x14ac:dyDescent="0.2">
      <c r="A233" s="832"/>
      <c r="B233" s="1013" t="str">
        <f>IF(G231&gt;=G230,"ta  &gt;  tr     Design is OK.","ta  &lt;  tr     Design is Not OK.")</f>
        <v>ta  &gt;  tr     Design is OK.</v>
      </c>
      <c r="C233" s="832"/>
      <c r="D233" s="832"/>
      <c r="E233" s="832"/>
      <c r="F233" s="990" t="s">
        <v>64</v>
      </c>
      <c r="G233" s="832"/>
      <c r="H233" s="832"/>
      <c r="I233" s="832"/>
      <c r="J233" s="832"/>
      <c r="K233" s="832"/>
      <c r="L233" s="832"/>
      <c r="M233" s="832"/>
      <c r="N233" s="832"/>
      <c r="O233" s="832"/>
      <c r="P233" s="832"/>
      <c r="Q233" s="832"/>
      <c r="R233" s="832"/>
      <c r="S233" s="832"/>
      <c r="T233" s="832"/>
    </row>
    <row r="234" spans="1:20" x14ac:dyDescent="0.2">
      <c r="A234" s="832"/>
      <c r="B234" s="832"/>
      <c r="C234" s="832"/>
      <c r="D234" s="832"/>
      <c r="E234" s="832"/>
      <c r="F234" s="832"/>
      <c r="G234" s="832"/>
      <c r="H234" s="832"/>
      <c r="I234" s="832"/>
      <c r="J234" s="832"/>
      <c r="K234" s="832"/>
      <c r="L234" s="832"/>
      <c r="M234" s="832"/>
      <c r="N234" s="832"/>
      <c r="O234" s="832"/>
      <c r="P234" s="832"/>
      <c r="Q234" s="832"/>
      <c r="R234" s="832"/>
      <c r="S234" s="832"/>
      <c r="T234" s="832"/>
    </row>
    <row r="235" spans="1:20" x14ac:dyDescent="0.2">
      <c r="A235" s="990" t="s">
        <v>950</v>
      </c>
      <c r="B235" s="832"/>
      <c r="C235" s="832"/>
      <c r="D235" s="832"/>
      <c r="E235" s="832"/>
      <c r="F235" s="832"/>
      <c r="G235" s="832"/>
      <c r="H235" s="832"/>
      <c r="I235" s="832"/>
      <c r="J235" s="832"/>
      <c r="K235" s="832"/>
      <c r="L235" s="832"/>
      <c r="M235" s="832"/>
      <c r="N235" s="832"/>
      <c r="O235" s="832"/>
      <c r="P235" s="832"/>
      <c r="Q235" s="832"/>
      <c r="R235" s="832"/>
      <c r="S235" s="832"/>
      <c r="T235" s="832"/>
    </row>
    <row r="236" spans="1:20" x14ac:dyDescent="0.2">
      <c r="A236" s="990" t="s">
        <v>123</v>
      </c>
      <c r="B236" s="832"/>
      <c r="C236" s="832"/>
      <c r="D236" s="832"/>
      <c r="E236" s="832"/>
      <c r="F236" s="832"/>
      <c r="G236" s="832"/>
      <c r="H236" s="832"/>
      <c r="I236" s="832"/>
      <c r="J236" s="832"/>
      <c r="K236" s="832"/>
      <c r="L236" s="832"/>
      <c r="M236" s="832"/>
      <c r="N236" s="832"/>
      <c r="O236" s="832"/>
      <c r="P236" s="832"/>
      <c r="Q236" s="832"/>
      <c r="R236" s="832"/>
      <c r="S236" s="832"/>
      <c r="T236" s="832"/>
    </row>
    <row r="237" spans="1:20" x14ac:dyDescent="0.2">
      <c r="A237" s="1000" t="s">
        <v>1467</v>
      </c>
      <c r="B237" s="832"/>
      <c r="C237" s="832"/>
      <c r="D237" s="832"/>
      <c r="E237" s="832"/>
      <c r="F237" s="832"/>
      <c r="G237" s="832"/>
      <c r="H237" s="832"/>
      <c r="I237" s="832"/>
      <c r="J237" s="832"/>
      <c r="K237" s="832"/>
      <c r="L237" s="832"/>
      <c r="M237" s="832"/>
      <c r="N237" s="832"/>
      <c r="O237" s="832"/>
      <c r="P237" s="832"/>
      <c r="Q237" s="832"/>
      <c r="R237" s="832"/>
      <c r="S237" s="832"/>
      <c r="T237" s="832"/>
    </row>
    <row r="238" spans="1:20" x14ac:dyDescent="0.2">
      <c r="A238" s="832"/>
      <c r="B238" s="990" t="s">
        <v>503</v>
      </c>
      <c r="C238" s="832"/>
      <c r="D238" s="832"/>
      <c r="E238" s="832"/>
      <c r="F238" s="832"/>
      <c r="G238" s="832"/>
      <c r="H238" s="832"/>
      <c r="I238" s="832"/>
      <c r="J238" s="832"/>
      <c r="K238" s="832"/>
      <c r="L238" s="832"/>
      <c r="M238" s="832"/>
      <c r="N238" s="832"/>
      <c r="O238" s="832"/>
      <c r="P238" s="832"/>
      <c r="Q238" s="832"/>
      <c r="R238" s="832"/>
      <c r="S238" s="832"/>
      <c r="T238" s="832"/>
    </row>
    <row r="239" spans="1:20" x14ac:dyDescent="0.2">
      <c r="A239" s="832"/>
      <c r="B239" s="990" t="s">
        <v>504</v>
      </c>
      <c r="C239" s="832"/>
      <c r="D239" s="832"/>
      <c r="E239" s="832"/>
      <c r="F239" s="832"/>
      <c r="G239" s="832"/>
      <c r="H239" s="832"/>
      <c r="I239" s="832"/>
      <c r="J239" s="832"/>
      <c r="K239" s="832"/>
      <c r="L239" s="832"/>
      <c r="M239" s="832"/>
      <c r="N239" s="832"/>
      <c r="O239" s="832"/>
      <c r="P239" s="832"/>
      <c r="Q239" s="832"/>
      <c r="R239" s="832"/>
      <c r="S239" s="832"/>
      <c r="T239" s="832"/>
    </row>
    <row r="240" spans="1:20" x14ac:dyDescent="0.2">
      <c r="A240" s="832"/>
      <c r="B240" s="990" t="s">
        <v>505</v>
      </c>
      <c r="C240" s="832"/>
      <c r="D240" s="832"/>
      <c r="E240" s="832"/>
      <c r="F240" s="832"/>
      <c r="G240" s="832"/>
      <c r="H240" s="832"/>
      <c r="I240" s="832"/>
      <c r="J240" s="832"/>
      <c r="K240" s="832"/>
      <c r="L240" s="990" t="s">
        <v>66</v>
      </c>
      <c r="M240" s="832"/>
      <c r="N240" s="997">
        <v>12</v>
      </c>
      <c r="O240" s="997">
        <v>16</v>
      </c>
      <c r="P240" s="997">
        <v>20</v>
      </c>
      <c r="Q240" s="997">
        <v>22</v>
      </c>
      <c r="R240" s="997">
        <v>25</v>
      </c>
      <c r="S240" s="832"/>
      <c r="T240" s="832"/>
    </row>
    <row r="241" spans="1:20" x14ac:dyDescent="0.2">
      <c r="A241" s="832"/>
      <c r="B241" s="832"/>
      <c r="C241" s="832"/>
      <c r="D241" s="832"/>
      <c r="E241" s="832"/>
      <c r="F241" s="832"/>
      <c r="G241" s="832"/>
      <c r="H241" s="832"/>
      <c r="I241" s="832"/>
      <c r="J241" s="832"/>
      <c r="K241" s="832"/>
      <c r="L241" s="990" t="s">
        <v>67</v>
      </c>
      <c r="M241" s="832"/>
      <c r="N241" s="997">
        <f>IF(H250=0,100000000,TRUNC(785.4*N240^2/H250/25)*25)</f>
        <v>100</v>
      </c>
      <c r="O241" s="997">
        <f>IF(H250=0,100000000,TRUNC(785.4*O240^2/H250/25)*25)</f>
        <v>200</v>
      </c>
      <c r="P241" s="997">
        <f>IF(H250=0,100000000,TRUNC(785.4*P240^2/H250/25)*25)</f>
        <v>325</v>
      </c>
      <c r="Q241" s="997">
        <f>IF(H250=0,100000000,TRUNC(785.4*Q240^2/H250/25)*25)</f>
        <v>400</v>
      </c>
      <c r="R241" s="997">
        <f>IF(H250=0,100000000,TRUNC(785.4*R240^2/H250/25)*25)</f>
        <v>500</v>
      </c>
      <c r="S241" s="832"/>
      <c r="T241" s="832"/>
    </row>
    <row r="242" spans="1:20" x14ac:dyDescent="0.2">
      <c r="A242" s="832"/>
      <c r="B242" s="990" t="s">
        <v>1158</v>
      </c>
      <c r="C242" s="832"/>
      <c r="D242" s="832"/>
      <c r="E242" s="832"/>
      <c r="F242" s="832"/>
      <c r="G242" s="832"/>
      <c r="H242" s="832"/>
      <c r="I242" s="832"/>
      <c r="J242" s="832"/>
      <c r="K242" s="832"/>
      <c r="L242" s="990" t="s">
        <v>68</v>
      </c>
      <c r="M242" s="832"/>
      <c r="N242" s="997">
        <f>785.4*N240^2/N241</f>
        <v>1130.9759999999999</v>
      </c>
      <c r="O242" s="997">
        <f>785.4*O240^2/O241</f>
        <v>1005.312</v>
      </c>
      <c r="P242" s="997">
        <f>785.4*P240^2/P241</f>
        <v>966.64615384615388</v>
      </c>
      <c r="Q242" s="997">
        <f>785.4*Q240^2/Q241</f>
        <v>950.33399999999995</v>
      </c>
      <c r="R242" s="997">
        <f>785.4*R240^2/R241</f>
        <v>981.75</v>
      </c>
      <c r="S242" s="832"/>
      <c r="T242" s="832"/>
    </row>
    <row r="243" spans="1:20" x14ac:dyDescent="0.2">
      <c r="A243" s="832"/>
      <c r="B243" s="990" t="s">
        <v>1159</v>
      </c>
      <c r="C243" s="832"/>
      <c r="D243" s="832"/>
      <c r="E243" s="832"/>
      <c r="F243" s="832"/>
      <c r="G243" s="832"/>
      <c r="H243" s="832"/>
      <c r="I243" s="832"/>
      <c r="J243" s="832"/>
      <c r="K243" s="832"/>
      <c r="L243" s="990" t="s">
        <v>69</v>
      </c>
      <c r="M243" s="832"/>
      <c r="N243" s="997">
        <f>IF(OR(N241&gt;300,N241&lt;100),100000000,N242-H250)</f>
        <v>180.97599999999977</v>
      </c>
      <c r="O243" s="997">
        <f>IF(OR(O241&gt;300,O241&lt;100),100000001,O242-H250)</f>
        <v>55.311999999999898</v>
      </c>
      <c r="P243" s="997">
        <f>IF(OR(P241&gt;300,P241&lt;100),100000001,P242-H250)</f>
        <v>100000001</v>
      </c>
      <c r="Q243" s="997">
        <f>IF(OR(Q241&gt;300,Q241&lt;100),100000001,Q242-H250)</f>
        <v>100000001</v>
      </c>
      <c r="R243" s="997">
        <f>IF(OR(R241&gt;300,R241&lt;100),100000001,R242-H250)</f>
        <v>100000001</v>
      </c>
      <c r="S243" s="832"/>
      <c r="T243" s="832"/>
    </row>
    <row r="244" spans="1:20" x14ac:dyDescent="0.2">
      <c r="A244" s="832"/>
      <c r="B244" s="832"/>
      <c r="C244" s="832"/>
      <c r="D244" s="832"/>
      <c r="E244" s="832"/>
      <c r="F244" s="832"/>
      <c r="G244" s="832"/>
      <c r="H244" s="832"/>
      <c r="I244" s="832"/>
      <c r="J244" s="832"/>
      <c r="K244" s="832"/>
      <c r="L244" s="990" t="s">
        <v>70</v>
      </c>
      <c r="M244" s="832"/>
      <c r="N244" s="997">
        <f>IF(R241&lt;100,25,IF(MIN(N243:R243)=N243,12,IF(MIN(N243:R243)=O243,16,IF(MIN(N243:R243)=P243,20,IF(MIN(N243:R243)=Q243,22,IF(MIN(N243:R243)=R243,25,0))))))</f>
        <v>16</v>
      </c>
      <c r="O244" s="990" t="s">
        <v>71</v>
      </c>
      <c r="P244" s="997">
        <f>IF(N244=12,N241,IF(N244=16,O241,IF(N244=20,P241,IF(N244=22,Q241,IF(N244=25,R241,0)))))</f>
        <v>200</v>
      </c>
      <c r="Q244" s="990" t="s">
        <v>72</v>
      </c>
      <c r="R244" s="832"/>
      <c r="S244" s="832"/>
      <c r="T244" s="832"/>
    </row>
    <row r="245" spans="1:20" x14ac:dyDescent="0.2">
      <c r="A245" s="832"/>
      <c r="B245" s="990" t="s">
        <v>508</v>
      </c>
      <c r="C245" s="832" t="s">
        <v>235</v>
      </c>
      <c r="D245" s="832" t="s">
        <v>233</v>
      </c>
      <c r="E245" s="832"/>
      <c r="F245" s="990" t="s">
        <v>1182</v>
      </c>
      <c r="G245" s="832"/>
      <c r="H245" s="832"/>
      <c r="I245" s="994">
        <f>$E$70</f>
        <v>14.100000000000001</v>
      </c>
      <c r="J245" s="990" t="s">
        <v>24</v>
      </c>
      <c r="K245" s="832"/>
      <c r="L245" s="832"/>
      <c r="M245" s="832"/>
      <c r="N245" s="832"/>
      <c r="O245" s="832"/>
      <c r="P245" s="832"/>
      <c r="Q245" s="832"/>
      <c r="R245" s="832"/>
      <c r="S245" s="832"/>
      <c r="T245" s="832"/>
    </row>
    <row r="246" spans="1:20" x14ac:dyDescent="0.2">
      <c r="A246" s="832"/>
      <c r="B246" s="990" t="s">
        <v>1761</v>
      </c>
      <c r="C246" s="832" t="s">
        <v>232</v>
      </c>
      <c r="D246" s="832" t="s">
        <v>232</v>
      </c>
      <c r="E246" s="832"/>
      <c r="F246" s="990" t="s">
        <v>2193</v>
      </c>
      <c r="G246" s="832"/>
      <c r="H246" s="832"/>
      <c r="I246" s="997">
        <f>G231</f>
        <v>750</v>
      </c>
      <c r="J246" s="832" t="s">
        <v>43</v>
      </c>
      <c r="K246" s="990" t="s">
        <v>43</v>
      </c>
      <c r="L246" s="832"/>
      <c r="M246" s="832"/>
      <c r="N246" s="832"/>
      <c r="O246" s="832"/>
      <c r="P246" s="832"/>
      <c r="Q246" s="832"/>
      <c r="R246" s="832"/>
      <c r="S246" s="832"/>
      <c r="T246" s="832"/>
    </row>
    <row r="247" spans="1:20" x14ac:dyDescent="0.2">
      <c r="A247" s="832"/>
      <c r="B247" s="990" t="s">
        <v>75</v>
      </c>
      <c r="C247" s="1014">
        <v>2E-3</v>
      </c>
      <c r="D247" s="1014">
        <v>1E-3</v>
      </c>
      <c r="E247" s="832"/>
      <c r="F247" s="990" t="s">
        <v>1930</v>
      </c>
      <c r="G247" s="832"/>
      <c r="H247" s="832"/>
      <c r="I247" s="832">
        <v>1</v>
      </c>
      <c r="J247" s="832" t="s">
        <v>24</v>
      </c>
      <c r="K247" s="832"/>
      <c r="L247" s="832"/>
      <c r="M247" s="832"/>
      <c r="N247" s="832"/>
      <c r="O247" s="832"/>
      <c r="P247" s="832"/>
      <c r="Q247" s="832"/>
      <c r="R247" s="832"/>
      <c r="S247" s="832"/>
      <c r="T247" s="832"/>
    </row>
    <row r="248" spans="1:20" x14ac:dyDescent="0.2">
      <c r="A248" s="832"/>
      <c r="B248" s="990" t="s">
        <v>76</v>
      </c>
      <c r="C248" s="1014">
        <v>2.5000000000000001E-3</v>
      </c>
      <c r="D248" s="1014">
        <v>1.5E-3</v>
      </c>
      <c r="E248" s="832"/>
      <c r="F248" s="832"/>
      <c r="G248" s="832"/>
      <c r="H248" s="832"/>
      <c r="I248" s="832"/>
      <c r="J248" s="832"/>
      <c r="K248" s="832"/>
      <c r="L248" s="832"/>
      <c r="M248" s="832"/>
      <c r="N248" s="832"/>
      <c r="O248" s="832"/>
      <c r="P248" s="832"/>
      <c r="Q248" s="832"/>
      <c r="R248" s="832"/>
      <c r="S248" s="832"/>
      <c r="T248" s="832"/>
    </row>
    <row r="249" spans="1:20" x14ac:dyDescent="0.2">
      <c r="A249" s="832"/>
      <c r="B249" s="832"/>
      <c r="C249" s="832"/>
      <c r="D249" s="832"/>
      <c r="E249" s="832"/>
      <c r="F249" s="832"/>
      <c r="G249" s="832"/>
      <c r="H249" s="832"/>
      <c r="I249" s="832"/>
      <c r="J249" s="832"/>
      <c r="K249" s="832"/>
      <c r="L249" s="832"/>
      <c r="M249" s="832"/>
      <c r="N249" s="832"/>
      <c r="O249" s="832"/>
      <c r="P249" s="832"/>
      <c r="Q249" s="832"/>
      <c r="R249" s="832"/>
      <c r="S249" s="832"/>
      <c r="T249" s="832"/>
    </row>
    <row r="250" spans="1:20" x14ac:dyDescent="0.2">
      <c r="A250" s="832"/>
      <c r="B250" s="990" t="s">
        <v>1829</v>
      </c>
      <c r="C250" s="832"/>
      <c r="D250" s="832"/>
      <c r="E250" s="1015"/>
      <c r="F250" s="990"/>
      <c r="G250" s="997"/>
      <c r="H250" s="874">
        <f>IF(I245&lt;=9,C247,C248)*IF(I246&lt;380,I246,380)*1000</f>
        <v>950.00000000000011</v>
      </c>
      <c r="I250" s="832" t="s">
        <v>81</v>
      </c>
      <c r="J250" s="997"/>
      <c r="K250" s="990" t="s">
        <v>78</v>
      </c>
      <c r="L250" s="990" t="s">
        <v>66</v>
      </c>
      <c r="M250" s="832"/>
      <c r="N250" s="997">
        <v>12</v>
      </c>
      <c r="O250" s="997">
        <v>16</v>
      </c>
      <c r="P250" s="997">
        <v>20</v>
      </c>
      <c r="Q250" s="997">
        <v>22</v>
      </c>
      <c r="R250" s="997">
        <v>25</v>
      </c>
      <c r="S250" s="832"/>
      <c r="T250" s="832"/>
    </row>
    <row r="251" spans="1:20" x14ac:dyDescent="0.2">
      <c r="A251" s="832"/>
      <c r="B251" s="990" t="s">
        <v>79</v>
      </c>
      <c r="C251" s="997">
        <f>IF(D1507=0,N244,D1507)</f>
        <v>16</v>
      </c>
      <c r="D251" s="990" t="s">
        <v>71</v>
      </c>
      <c r="E251" s="997">
        <f>IF(D1507=0,IF(P244&gt;300,300,P244),E1507)</f>
        <v>200</v>
      </c>
      <c r="F251" s="990" t="s">
        <v>80</v>
      </c>
      <c r="G251" s="832"/>
      <c r="H251" s="997">
        <f>785.4*C251^2/E251</f>
        <v>1005.312</v>
      </c>
      <c r="I251" s="990" t="s">
        <v>81</v>
      </c>
      <c r="J251" s="832"/>
      <c r="K251" s="832"/>
      <c r="L251" s="990" t="s">
        <v>67</v>
      </c>
      <c r="M251" s="832"/>
      <c r="N251" s="997">
        <f>IF(H253=0,100000000,TRUNC(785.4*N250^2/H253/25)*25)</f>
        <v>175</v>
      </c>
      <c r="O251" s="997">
        <f>IF(H253=0,100000000,TRUNC(785.4*O250^2/H253/25)*25)</f>
        <v>350</v>
      </c>
      <c r="P251" s="997">
        <f>IF(H253=0,100000000,TRUNC(785.4*P250^2/H253/25)*25)</f>
        <v>550</v>
      </c>
      <c r="Q251" s="997">
        <f>IF(H253=0,100000000,TRUNC(785.4*Q250^2/H253/25)*25)</f>
        <v>650</v>
      </c>
      <c r="R251" s="997">
        <f>IF(H253=0,100000000,TRUNC(785.4*R250^2/H253/25)*25)</f>
        <v>850</v>
      </c>
      <c r="S251" s="832"/>
      <c r="T251" s="832"/>
    </row>
    <row r="252" spans="1:20" x14ac:dyDescent="0.2">
      <c r="A252" s="832"/>
      <c r="B252" s="832"/>
      <c r="C252" s="832"/>
      <c r="D252" s="832"/>
      <c r="E252" s="832"/>
      <c r="F252" s="832"/>
      <c r="G252" s="832"/>
      <c r="H252" s="832"/>
      <c r="I252" s="832"/>
      <c r="J252" s="832"/>
      <c r="K252" s="832"/>
      <c r="L252" s="990" t="s">
        <v>68</v>
      </c>
      <c r="M252" s="832"/>
      <c r="N252" s="997">
        <f>785.4*N250^2/N251</f>
        <v>646.27199999999993</v>
      </c>
      <c r="O252" s="997">
        <f>785.4*O250^2/O251</f>
        <v>574.46399999999994</v>
      </c>
      <c r="P252" s="997">
        <f>785.4*P250^2/P251</f>
        <v>571.20000000000005</v>
      </c>
      <c r="Q252" s="997">
        <f>785.4*Q250^2/Q251</f>
        <v>584.82092307692301</v>
      </c>
      <c r="R252" s="997">
        <f>785.4*R250^2/R251</f>
        <v>577.5</v>
      </c>
      <c r="S252" s="832"/>
      <c r="T252" s="832"/>
    </row>
    <row r="253" spans="1:20" ht="15" x14ac:dyDescent="0.2">
      <c r="A253" s="832"/>
      <c r="B253" s="990" t="s">
        <v>1830</v>
      </c>
      <c r="C253" s="832"/>
      <c r="D253" s="832"/>
      <c r="E253" s="1015"/>
      <c r="F253" s="990"/>
      <c r="G253" s="997"/>
      <c r="H253" s="874">
        <f>IF(I245&lt;=9,D247,D248)*IF(I246&lt;380,I246,380)*1000</f>
        <v>570.00000000000011</v>
      </c>
      <c r="I253" s="832" t="s">
        <v>2501</v>
      </c>
      <c r="J253" s="832"/>
      <c r="K253" s="832"/>
      <c r="L253" s="990" t="s">
        <v>69</v>
      </c>
      <c r="M253" s="832"/>
      <c r="N253" s="997">
        <f>IF(OR(N251&gt;300,N251&lt;100),100000000,N252-H253)</f>
        <v>76.271999999999821</v>
      </c>
      <c r="O253" s="997">
        <f>IF(OR(O251&gt;300,O251&lt;100),100000001,O252-H253)</f>
        <v>100000001</v>
      </c>
      <c r="P253" s="997">
        <f>IF(OR(P251&gt;300,P251&lt;100),100000001,P252-H253)</f>
        <v>100000001</v>
      </c>
      <c r="Q253" s="997">
        <f>IF(OR(Q251&gt;300,Q251&lt;100),100000001,Q252-H253)</f>
        <v>100000001</v>
      </c>
      <c r="R253" s="997">
        <f>IF(OR(R251&gt;300,R251&lt;100),100000001,R252-H253)</f>
        <v>100000001</v>
      </c>
      <c r="S253" s="832"/>
      <c r="T253" s="832"/>
    </row>
    <row r="254" spans="1:20" x14ac:dyDescent="0.2">
      <c r="A254" s="832"/>
      <c r="B254" s="990" t="s">
        <v>79</v>
      </c>
      <c r="C254" s="997">
        <v>12</v>
      </c>
      <c r="D254" s="990" t="s">
        <v>71</v>
      </c>
      <c r="E254" s="997">
        <v>175</v>
      </c>
      <c r="F254" s="990" t="s">
        <v>80</v>
      </c>
      <c r="G254" s="832"/>
      <c r="H254" s="997">
        <f>785.4*C254^2/E254</f>
        <v>646.27199999999993</v>
      </c>
      <c r="I254" s="990" t="s">
        <v>81</v>
      </c>
      <c r="J254" s="832"/>
      <c r="K254" s="832"/>
      <c r="L254" s="990" t="s">
        <v>70</v>
      </c>
      <c r="M254" s="832"/>
      <c r="N254" s="997">
        <f>IF(R251&lt;100,25,IF(MIN(N253:R253)=N253,12,IF(MIN(N253:R253)=O253,16,IF(MIN(N253:R253)=P253,20,IF(MIN(N253:R253)=Q253,22,IF(MIN(N253:R253)=R253,25,0))))))</f>
        <v>12</v>
      </c>
      <c r="O254" s="990" t="s">
        <v>71</v>
      </c>
      <c r="P254" s="997">
        <f>IF(N254=12,N251,IF(N254=16,O251,IF(N254=20,P251,IF(N254=22,Q251,IF(N254=25,R251,0)))))</f>
        <v>175</v>
      </c>
      <c r="Q254" s="990" t="s">
        <v>72</v>
      </c>
      <c r="R254" s="832"/>
      <c r="S254" s="832"/>
      <c r="T254" s="832"/>
    </row>
    <row r="255" spans="1:20" x14ac:dyDescent="0.2">
      <c r="A255" s="832"/>
      <c r="B255" s="832"/>
      <c r="C255" s="832"/>
      <c r="D255" s="832"/>
      <c r="E255" s="832"/>
      <c r="F255" s="832"/>
      <c r="G255" s="832"/>
      <c r="H255" s="832"/>
      <c r="I255" s="832"/>
      <c r="J255" s="997"/>
      <c r="K255" s="990" t="s">
        <v>78</v>
      </c>
      <c r="L255" s="832"/>
      <c r="M255" s="832"/>
      <c r="N255" s="832"/>
      <c r="O255" s="832"/>
      <c r="P255" s="832"/>
      <c r="Q255" s="832"/>
      <c r="R255" s="832"/>
      <c r="S255" s="832"/>
      <c r="T255" s="832"/>
    </row>
    <row r="256" spans="1:20" x14ac:dyDescent="0.2">
      <c r="A256" s="990" t="s">
        <v>950</v>
      </c>
      <c r="B256" s="832"/>
      <c r="C256" s="832"/>
      <c r="D256" s="832"/>
      <c r="E256" s="832"/>
      <c r="F256" s="832"/>
      <c r="G256" s="832"/>
      <c r="H256" s="832"/>
      <c r="I256" s="832"/>
      <c r="J256" s="832"/>
      <c r="K256" s="832"/>
      <c r="L256" s="832"/>
      <c r="M256" s="832"/>
      <c r="N256" s="832"/>
      <c r="O256" s="832"/>
      <c r="P256" s="832"/>
      <c r="Q256" s="832"/>
      <c r="R256" s="832"/>
      <c r="S256" s="832"/>
      <c r="T256" s="832"/>
    </row>
    <row r="257" spans="1:20" x14ac:dyDescent="0.2">
      <c r="A257" s="990" t="s">
        <v>125</v>
      </c>
      <c r="B257" s="832"/>
      <c r="C257" s="832"/>
      <c r="D257" s="832"/>
      <c r="E257" s="832"/>
      <c r="F257" s="832"/>
      <c r="G257" s="832"/>
      <c r="H257" s="832"/>
      <c r="I257" s="832"/>
      <c r="J257" s="832"/>
      <c r="K257" s="832"/>
      <c r="L257" s="832"/>
      <c r="M257" s="832"/>
      <c r="N257" s="832"/>
      <c r="O257" s="832"/>
      <c r="P257" s="832"/>
      <c r="Q257" s="832"/>
      <c r="R257" s="832"/>
      <c r="S257" s="832"/>
      <c r="T257" s="832"/>
    </row>
    <row r="258" spans="1:20" x14ac:dyDescent="0.2">
      <c r="A258" s="1000" t="s">
        <v>1467</v>
      </c>
      <c r="B258" s="832"/>
      <c r="C258" s="832"/>
      <c r="D258" s="832"/>
      <c r="E258" s="832"/>
      <c r="F258" s="990"/>
      <c r="G258" s="832"/>
      <c r="H258" s="832"/>
      <c r="I258" s="832"/>
      <c r="J258" s="832"/>
      <c r="K258" s="832"/>
      <c r="L258" s="832"/>
      <c r="M258" s="832"/>
      <c r="N258" s="832"/>
      <c r="O258" s="832"/>
      <c r="P258" s="832"/>
      <c r="Q258" s="832"/>
      <c r="R258" s="832"/>
      <c r="S258" s="832"/>
      <c r="T258" s="832"/>
    </row>
    <row r="259" spans="1:20" x14ac:dyDescent="0.2">
      <c r="A259" s="832"/>
      <c r="B259" s="990" t="s">
        <v>1831</v>
      </c>
      <c r="C259" s="832"/>
      <c r="D259" s="832"/>
      <c r="E259" s="832"/>
      <c r="F259" s="832"/>
      <c r="G259" s="832"/>
      <c r="H259" s="832"/>
      <c r="I259" s="832"/>
      <c r="J259" s="832"/>
      <c r="K259" s="832"/>
      <c r="L259" s="832"/>
      <c r="M259" s="832"/>
      <c r="N259" s="832"/>
      <c r="O259" s="832"/>
      <c r="P259" s="832"/>
      <c r="Q259" s="832"/>
      <c r="R259" s="832"/>
      <c r="S259" s="832"/>
      <c r="T259" s="832"/>
    </row>
    <row r="260" spans="1:20" x14ac:dyDescent="0.2">
      <c r="A260" s="832"/>
      <c r="B260" s="832"/>
      <c r="C260" s="832"/>
      <c r="D260" s="832"/>
      <c r="E260" s="832"/>
      <c r="F260" s="990"/>
      <c r="G260" s="832"/>
      <c r="H260" s="832"/>
      <c r="I260" s="832"/>
      <c r="J260" s="832"/>
      <c r="K260" s="832"/>
      <c r="L260" s="832"/>
      <c r="M260" s="832"/>
      <c r="N260" s="832"/>
      <c r="O260" s="832"/>
      <c r="P260" s="832"/>
      <c r="Q260" s="832"/>
      <c r="R260" s="832"/>
      <c r="S260" s="832"/>
      <c r="T260" s="832"/>
    </row>
    <row r="261" spans="1:20" x14ac:dyDescent="0.2">
      <c r="A261" s="832"/>
      <c r="B261" s="990" t="s">
        <v>86</v>
      </c>
      <c r="C261" s="832"/>
      <c r="D261" s="832"/>
      <c r="E261" s="832"/>
      <c r="F261" s="994">
        <f>E205</f>
        <v>18.432832446808515</v>
      </c>
      <c r="G261" s="990" t="s">
        <v>58</v>
      </c>
      <c r="H261" s="832"/>
      <c r="I261" s="832"/>
      <c r="J261" s="832"/>
      <c r="K261" s="832"/>
      <c r="L261" s="832"/>
      <c r="M261" s="832"/>
      <c r="N261" s="832"/>
      <c r="O261" s="832"/>
      <c r="P261" s="832"/>
      <c r="Q261" s="832"/>
      <c r="R261" s="832"/>
      <c r="S261" s="832"/>
      <c r="T261" s="832"/>
    </row>
    <row r="262" spans="1:20" x14ac:dyDescent="0.2">
      <c r="A262" s="832"/>
      <c r="B262" s="990" t="s">
        <v>1505</v>
      </c>
      <c r="C262" s="832"/>
      <c r="D262" s="832"/>
      <c r="E262" s="832"/>
      <c r="F262" s="999">
        <f>$G$54</f>
        <v>186300</v>
      </c>
      <c r="G262" s="990" t="s">
        <v>35</v>
      </c>
      <c r="H262" s="832"/>
      <c r="I262" s="832"/>
      <c r="J262" s="832"/>
      <c r="K262" s="832"/>
      <c r="L262" s="832"/>
      <c r="M262" s="832"/>
      <c r="N262" s="832"/>
      <c r="O262" s="832"/>
      <c r="P262" s="832"/>
      <c r="Q262" s="832"/>
      <c r="R262" s="832"/>
      <c r="S262" s="832"/>
      <c r="T262" s="832"/>
    </row>
    <row r="263" spans="1:20" x14ac:dyDescent="0.2">
      <c r="A263" s="832"/>
      <c r="B263" s="990" t="s">
        <v>1506</v>
      </c>
      <c r="C263" s="832"/>
      <c r="D263" s="832"/>
      <c r="E263" s="832"/>
      <c r="F263" s="998">
        <f>$F$127</f>
        <v>0.89379715799027371</v>
      </c>
      <c r="G263" s="832"/>
      <c r="H263" s="832"/>
      <c r="I263" s="832"/>
      <c r="J263" s="832"/>
      <c r="K263" s="832"/>
      <c r="L263" s="832"/>
      <c r="M263" s="832"/>
      <c r="N263" s="832"/>
      <c r="O263" s="832"/>
      <c r="P263" s="832"/>
      <c r="Q263" s="832"/>
      <c r="R263" s="832"/>
      <c r="S263" s="832"/>
      <c r="T263" s="832"/>
    </row>
    <row r="264" spans="1:20" x14ac:dyDescent="0.2">
      <c r="A264" s="832"/>
      <c r="B264" s="832"/>
      <c r="C264" s="832"/>
      <c r="D264" s="832"/>
      <c r="E264" s="832"/>
      <c r="F264" s="832"/>
      <c r="G264" s="832"/>
      <c r="H264" s="832"/>
      <c r="I264" s="832"/>
      <c r="J264" s="832"/>
      <c r="K264" s="832"/>
      <c r="L264" s="832"/>
      <c r="M264" s="832"/>
      <c r="N264" s="832"/>
      <c r="O264" s="832"/>
      <c r="P264" s="832"/>
      <c r="Q264" s="832"/>
      <c r="R264" s="832"/>
      <c r="S264" s="832"/>
      <c r="T264" s="832"/>
    </row>
    <row r="265" spans="1:20" x14ac:dyDescent="0.2">
      <c r="A265" s="832"/>
      <c r="B265" s="990" t="s">
        <v>1507</v>
      </c>
      <c r="C265" s="832"/>
      <c r="D265" s="832"/>
      <c r="E265" s="832"/>
      <c r="F265" s="832"/>
      <c r="G265" s="832"/>
      <c r="H265" s="832"/>
      <c r="I265" s="832"/>
      <c r="J265" s="832"/>
      <c r="K265" s="832"/>
      <c r="L265" s="832"/>
      <c r="M265" s="832"/>
      <c r="N265" s="832"/>
      <c r="O265" s="832"/>
      <c r="P265" s="832"/>
      <c r="Q265" s="832"/>
      <c r="R265" s="832"/>
      <c r="S265" s="832"/>
      <c r="T265" s="832"/>
    </row>
    <row r="266" spans="1:20" x14ac:dyDescent="0.2">
      <c r="A266" s="832"/>
      <c r="B266" s="990" t="s">
        <v>1508</v>
      </c>
      <c r="C266" s="832"/>
      <c r="D266" s="832"/>
      <c r="E266" s="832"/>
      <c r="F266" s="832"/>
      <c r="G266" s="832"/>
      <c r="H266" s="832"/>
      <c r="I266" s="832"/>
      <c r="J266" s="832"/>
      <c r="K266" s="832"/>
      <c r="L266" s="832"/>
      <c r="M266" s="832"/>
      <c r="N266" s="832"/>
      <c r="O266" s="832"/>
      <c r="P266" s="832"/>
      <c r="Q266" s="832"/>
      <c r="R266" s="832"/>
      <c r="S266" s="832"/>
      <c r="T266" s="832"/>
    </row>
    <row r="267" spans="1:20" x14ac:dyDescent="0.2">
      <c r="A267" s="832"/>
      <c r="B267" s="990" t="s">
        <v>1509</v>
      </c>
      <c r="C267" s="832"/>
      <c r="D267" s="997"/>
      <c r="E267" s="990"/>
      <c r="F267" s="997"/>
      <c r="G267" s="990"/>
      <c r="H267" s="997">
        <f>G231-G62</f>
        <v>675</v>
      </c>
      <c r="I267" s="990" t="s">
        <v>43</v>
      </c>
      <c r="J267" s="832"/>
      <c r="K267" s="832"/>
      <c r="L267" s="832"/>
      <c r="M267" s="832"/>
      <c r="N267" s="832"/>
      <c r="O267" s="832"/>
      <c r="P267" s="832"/>
      <c r="Q267" s="832"/>
      <c r="R267" s="832"/>
      <c r="S267" s="832"/>
      <c r="T267" s="832"/>
    </row>
    <row r="268" spans="1:20" x14ac:dyDescent="0.2">
      <c r="A268" s="832"/>
      <c r="B268" s="990" t="s">
        <v>1832</v>
      </c>
      <c r="C268" s="832"/>
      <c r="D268" s="832"/>
      <c r="E268" s="832"/>
      <c r="F268" s="832"/>
      <c r="G268" s="832"/>
      <c r="H268" s="874">
        <f>F261/(F262*F263*H267)*1000000000</f>
        <v>163.99721701978137</v>
      </c>
      <c r="I268" s="990" t="s">
        <v>78</v>
      </c>
      <c r="J268" s="832"/>
      <c r="K268" s="832"/>
      <c r="L268" s="832"/>
      <c r="M268" s="832"/>
      <c r="N268" s="832"/>
      <c r="O268" s="832"/>
      <c r="P268" s="832"/>
      <c r="Q268" s="832"/>
      <c r="R268" s="832"/>
      <c r="S268" s="832"/>
      <c r="T268" s="832"/>
    </row>
    <row r="269" spans="1:20" x14ac:dyDescent="0.2">
      <c r="A269" s="990" t="s">
        <v>986</v>
      </c>
      <c r="B269" s="832"/>
      <c r="C269" s="832"/>
      <c r="D269" s="832"/>
      <c r="E269" s="832"/>
      <c r="F269" s="832"/>
      <c r="G269" s="832"/>
      <c r="H269" s="832"/>
      <c r="I269" s="832"/>
      <c r="J269" s="832"/>
      <c r="K269" s="832"/>
      <c r="L269" s="832"/>
      <c r="M269" s="832"/>
      <c r="N269" s="832"/>
      <c r="O269" s="832"/>
      <c r="P269" s="832"/>
      <c r="Q269" s="832"/>
      <c r="R269" s="832"/>
      <c r="S269" s="832"/>
      <c r="T269" s="832"/>
    </row>
    <row r="270" spans="1:20" x14ac:dyDescent="0.2">
      <c r="A270" s="832"/>
      <c r="B270" s="990" t="s">
        <v>87</v>
      </c>
      <c r="C270" s="832"/>
      <c r="D270" s="832"/>
      <c r="E270" s="832"/>
      <c r="F270" s="832"/>
      <c r="G270" s="832"/>
      <c r="H270" s="832"/>
      <c r="I270" s="832"/>
      <c r="J270" s="832"/>
      <c r="K270" s="832"/>
      <c r="L270" s="832"/>
      <c r="M270" s="832"/>
      <c r="N270" s="832"/>
      <c r="O270" s="832"/>
      <c r="P270" s="832"/>
      <c r="Q270" s="832"/>
      <c r="R270" s="832"/>
      <c r="S270" s="832"/>
      <c r="T270" s="832"/>
    </row>
    <row r="271" spans="1:20" x14ac:dyDescent="0.2">
      <c r="A271" s="832"/>
      <c r="B271" s="832"/>
      <c r="C271" s="832"/>
      <c r="D271" s="832"/>
      <c r="E271" s="832"/>
      <c r="F271" s="832"/>
      <c r="G271" s="832"/>
      <c r="H271" s="832"/>
      <c r="I271" s="832"/>
      <c r="J271" s="832"/>
      <c r="K271" s="832"/>
      <c r="L271" s="832"/>
      <c r="M271" s="832"/>
      <c r="N271" s="832"/>
      <c r="O271" s="832"/>
      <c r="P271" s="832"/>
      <c r="Q271" s="832"/>
      <c r="R271" s="832"/>
      <c r="S271" s="832"/>
      <c r="T271" s="832"/>
    </row>
    <row r="272" spans="1:20" x14ac:dyDescent="0.2">
      <c r="A272" s="832"/>
      <c r="B272" s="990" t="s">
        <v>1833</v>
      </c>
      <c r="C272" s="832"/>
      <c r="D272" s="832"/>
      <c r="E272" s="832"/>
      <c r="F272" s="994">
        <f>$E$70</f>
        <v>14.100000000000001</v>
      </c>
      <c r="G272" s="994" t="str">
        <f>IF(F272&lt;=9,"m  &lt;  9 m","m  &gt;  9 m")</f>
        <v>m  &gt;  9 m</v>
      </c>
      <c r="H272" s="832"/>
      <c r="I272" s="832"/>
      <c r="J272" s="832"/>
      <c r="K272" s="832"/>
      <c r="L272" s="832"/>
      <c r="M272" s="832"/>
      <c r="N272" s="832"/>
      <c r="O272" s="832"/>
      <c r="P272" s="832"/>
      <c r="Q272" s="832"/>
      <c r="R272" s="832"/>
      <c r="S272" s="832"/>
      <c r="T272" s="832"/>
    </row>
    <row r="273" spans="1:20" x14ac:dyDescent="0.2">
      <c r="A273" s="832"/>
      <c r="B273" s="990" t="s">
        <v>1170</v>
      </c>
      <c r="C273" s="832"/>
      <c r="D273" s="832"/>
      <c r="E273" s="832"/>
      <c r="F273" s="997">
        <f>G231</f>
        <v>750</v>
      </c>
      <c r="G273" s="994" t="str">
        <f>IF(F273&lt;=380,"mm  &lt;  380 mm","mm  &gt;  380 mm")</f>
        <v>mm  &gt;  380 mm</v>
      </c>
      <c r="H273" s="832"/>
      <c r="I273" s="832"/>
      <c r="J273" s="832"/>
      <c r="K273" s="832"/>
      <c r="L273" s="990" t="s">
        <v>66</v>
      </c>
      <c r="M273" s="832"/>
      <c r="N273" s="997">
        <v>12</v>
      </c>
      <c r="O273" s="997">
        <v>16</v>
      </c>
      <c r="P273" s="997">
        <v>20</v>
      </c>
      <c r="Q273" s="997">
        <v>22</v>
      </c>
      <c r="R273" s="997">
        <v>25</v>
      </c>
      <c r="S273" s="832"/>
      <c r="T273" s="832"/>
    </row>
    <row r="274" spans="1:20" x14ac:dyDescent="0.2">
      <c r="A274" s="832"/>
      <c r="B274" s="990"/>
      <c r="C274" s="832"/>
      <c r="D274" s="832"/>
      <c r="E274" s="1015"/>
      <c r="F274" s="832"/>
      <c r="G274" s="832"/>
      <c r="H274" s="832"/>
      <c r="I274" s="832"/>
      <c r="J274" s="832"/>
      <c r="K274" s="832"/>
      <c r="L274" s="990" t="s">
        <v>67</v>
      </c>
      <c r="M274" s="832"/>
      <c r="N274" s="997">
        <f>IF(H277=0,100000000,TRUNC(785.4*N273^2/H277/25)*25)</f>
        <v>100</v>
      </c>
      <c r="O274" s="997">
        <f>IF(H277=0,100000000,TRUNC(785.4*O273^2/H277/25)*25)</f>
        <v>200</v>
      </c>
      <c r="P274" s="997">
        <f>IF(H277=0,100000000,TRUNC(785.4*P273^2/H277/25)*25)</f>
        <v>325</v>
      </c>
      <c r="Q274" s="997">
        <f>IF(H277=0,100000000,TRUNC(785.4*Q273^2/H277/25)*25)</f>
        <v>400</v>
      </c>
      <c r="R274" s="997">
        <f>IF(H277=0,100000000,TRUNC(785.4*R273^2/H277/25)*25)</f>
        <v>500</v>
      </c>
      <c r="S274" s="832"/>
      <c r="T274" s="832"/>
    </row>
    <row r="275" spans="1:20" x14ac:dyDescent="0.2">
      <c r="A275" s="832"/>
      <c r="B275" s="990" t="s">
        <v>84</v>
      </c>
      <c r="C275" s="1015"/>
      <c r="D275" s="990"/>
      <c r="E275" s="997"/>
      <c r="F275" s="990"/>
      <c r="G275" s="832"/>
      <c r="H275" s="874">
        <f>IF(F272&lt;=9,C247,C248)*IF(F273&lt;380,F273,380)*1000</f>
        <v>950.00000000000011</v>
      </c>
      <c r="I275" s="990" t="s">
        <v>78</v>
      </c>
      <c r="J275" s="832"/>
      <c r="K275" s="832"/>
      <c r="L275" s="990" t="s">
        <v>68</v>
      </c>
      <c r="M275" s="832"/>
      <c r="N275" s="997">
        <f>785.4*N273^2/N274</f>
        <v>1130.9759999999999</v>
      </c>
      <c r="O275" s="997">
        <f>785.4*O273^2/O274</f>
        <v>1005.312</v>
      </c>
      <c r="P275" s="997">
        <f>785.4*P273^2/P274</f>
        <v>966.64615384615388</v>
      </c>
      <c r="Q275" s="997">
        <f>785.4*Q273^2/Q274</f>
        <v>950.33399999999995</v>
      </c>
      <c r="R275" s="997">
        <f>785.4*R273^2/R274</f>
        <v>981.75</v>
      </c>
      <c r="S275" s="832"/>
      <c r="T275" s="832"/>
    </row>
    <row r="276" spans="1:20" x14ac:dyDescent="0.2">
      <c r="A276" s="832"/>
      <c r="B276" s="832"/>
      <c r="C276" s="832"/>
      <c r="D276" s="832"/>
      <c r="E276" s="832"/>
      <c r="F276" s="832"/>
      <c r="G276" s="832"/>
      <c r="H276" s="832"/>
      <c r="I276" s="832"/>
      <c r="J276" s="832"/>
      <c r="K276" s="832"/>
      <c r="L276" s="990" t="s">
        <v>69</v>
      </c>
      <c r="M276" s="832"/>
      <c r="N276" s="997">
        <f>IF(OR(N274&gt;300,N274&lt;100),100000000,N275-H277)</f>
        <v>180.97599999999977</v>
      </c>
      <c r="O276" s="997">
        <f>IF(OR(O274&gt;300,O274&lt;100),100000001,O275-H277)</f>
        <v>55.311999999999898</v>
      </c>
      <c r="P276" s="997">
        <f>IF(OR(P274&gt;300,P274&lt;100),100000001,P275-H277)</f>
        <v>100000001</v>
      </c>
      <c r="Q276" s="997">
        <f>IF(OR(Q274&gt;300,Q274&lt;100),100000001,Q275-H277)</f>
        <v>100000001</v>
      </c>
      <c r="R276" s="997">
        <f>IF(OR(R274&gt;300,R274&lt;100),100000001,R275-H277)</f>
        <v>100000001</v>
      </c>
      <c r="S276" s="832"/>
      <c r="T276" s="832"/>
    </row>
    <row r="277" spans="1:20" x14ac:dyDescent="0.2">
      <c r="A277" s="832"/>
      <c r="B277" s="994" t="str">
        <f>IF(H268&gt;H275,"Ast(Moment)  &gt;  Ast(Shrinkage)","Ast(Moment)  &lt;  Ast(Shrinkage)")</f>
        <v>Ast(Moment)  &lt;  Ast(Shrinkage)</v>
      </c>
      <c r="C277" s="832"/>
      <c r="D277" s="832"/>
      <c r="E277" s="832"/>
      <c r="F277" s="990" t="s">
        <v>88</v>
      </c>
      <c r="G277" s="832"/>
      <c r="H277" s="997">
        <f>IF(H268&gt;H275,H268,H275)</f>
        <v>950.00000000000011</v>
      </c>
      <c r="I277" s="990" t="s">
        <v>89</v>
      </c>
      <c r="J277" s="832"/>
      <c r="K277" s="832"/>
      <c r="L277" s="990" t="s">
        <v>70</v>
      </c>
      <c r="M277" s="832"/>
      <c r="N277" s="997">
        <f>IF(R274&lt;100,25,IF(MIN(N276:R276)=N276,12,IF(MIN(N276:R276)=O276,16,IF(MIN(N276:R276)=P276,20,IF(MIN(N276:R276)=Q276,22,IF(MIN(N276:R276)=R276,25,0))))))</f>
        <v>16</v>
      </c>
      <c r="O277" s="990" t="s">
        <v>71</v>
      </c>
      <c r="P277" s="997">
        <f>IF(N277=12,N274,IF(N277=16,O274,IF(N277=20,P274,IF(N277=22,Q274,IF(N277=25,R274,0)))))</f>
        <v>200</v>
      </c>
      <c r="Q277" s="990" t="s">
        <v>72</v>
      </c>
      <c r="R277" s="832"/>
      <c r="S277" s="832"/>
      <c r="T277" s="832"/>
    </row>
    <row r="278" spans="1:20" x14ac:dyDescent="0.2">
      <c r="A278" s="832"/>
      <c r="B278" s="990" t="s">
        <v>79</v>
      </c>
      <c r="C278" s="997">
        <f>IF(L1507=0,N277,L1507)</f>
        <v>16</v>
      </c>
      <c r="D278" s="990" t="s">
        <v>71</v>
      </c>
      <c r="E278" s="997">
        <f>IF(L1507=0,IF(P277&gt;300,300,P277),M1507)</f>
        <v>200</v>
      </c>
      <c r="F278" s="990" t="s">
        <v>80</v>
      </c>
      <c r="G278" s="832"/>
      <c r="H278" s="997">
        <f>785.4*C278^2/E278</f>
        <v>1005.312</v>
      </c>
      <c r="I278" s="990" t="s">
        <v>81</v>
      </c>
      <c r="J278" s="832"/>
      <c r="K278" s="832"/>
      <c r="L278" s="832"/>
      <c r="M278" s="832"/>
      <c r="N278" s="832"/>
      <c r="O278" s="832"/>
      <c r="P278" s="832"/>
      <c r="Q278" s="832"/>
      <c r="R278" s="832"/>
      <c r="S278" s="832"/>
      <c r="T278" s="832"/>
    </row>
    <row r="279" spans="1:20" x14ac:dyDescent="0.2">
      <c r="A279" s="832"/>
      <c r="B279" s="832"/>
      <c r="C279" s="832"/>
      <c r="D279" s="832"/>
      <c r="E279" s="832"/>
      <c r="F279" s="832"/>
      <c r="G279" s="832"/>
      <c r="H279" s="832"/>
      <c r="I279" s="832"/>
      <c r="J279" s="832"/>
      <c r="K279" s="832"/>
      <c r="L279" s="832"/>
      <c r="M279" s="832"/>
      <c r="N279" s="832"/>
      <c r="O279" s="832"/>
      <c r="P279" s="832"/>
      <c r="Q279" s="832"/>
      <c r="R279" s="832"/>
      <c r="S279" s="832"/>
      <c r="T279" s="832"/>
    </row>
    <row r="280" spans="1:20" x14ac:dyDescent="0.2">
      <c r="A280" s="990" t="s">
        <v>950</v>
      </c>
      <c r="B280" s="832"/>
      <c r="C280" s="832"/>
      <c r="D280" s="832"/>
      <c r="E280" s="832"/>
      <c r="F280" s="832"/>
      <c r="G280" s="832"/>
      <c r="H280" s="832"/>
      <c r="I280" s="832"/>
      <c r="J280" s="832"/>
      <c r="K280" s="832"/>
      <c r="L280" s="832"/>
      <c r="M280" s="832"/>
      <c r="N280" s="832"/>
      <c r="O280" s="832"/>
      <c r="P280" s="832"/>
      <c r="Q280" s="832"/>
      <c r="R280" s="832"/>
      <c r="S280" s="832"/>
      <c r="T280" s="832"/>
    </row>
    <row r="281" spans="1:20" x14ac:dyDescent="0.2">
      <c r="A281" s="990" t="s">
        <v>126</v>
      </c>
      <c r="B281" s="832"/>
      <c r="C281" s="832"/>
      <c r="D281" s="832"/>
      <c r="E281" s="832"/>
      <c r="F281" s="832"/>
      <c r="G281" s="832"/>
      <c r="H281" s="832"/>
      <c r="I281" s="832"/>
      <c r="J281" s="832"/>
      <c r="K281" s="832"/>
      <c r="L281" s="832"/>
      <c r="M281" s="832"/>
      <c r="N281" s="832"/>
      <c r="O281" s="832"/>
      <c r="P281" s="832"/>
      <c r="Q281" s="832"/>
      <c r="R281" s="832"/>
      <c r="S281" s="832"/>
      <c r="T281" s="832"/>
    </row>
    <row r="282" spans="1:20" x14ac:dyDescent="0.2">
      <c r="A282" s="1000" t="s">
        <v>1467</v>
      </c>
      <c r="B282" s="832"/>
      <c r="C282" s="832"/>
      <c r="D282" s="832"/>
      <c r="E282" s="832"/>
      <c r="F282" s="832"/>
      <c r="G282" s="832"/>
      <c r="H282" s="832"/>
      <c r="I282" s="832"/>
      <c r="J282" s="832"/>
      <c r="K282" s="832"/>
      <c r="L282" s="832"/>
      <c r="M282" s="832"/>
      <c r="N282" s="832"/>
      <c r="O282" s="832"/>
      <c r="P282" s="832"/>
      <c r="Q282" s="832"/>
      <c r="R282" s="832"/>
      <c r="S282" s="832"/>
      <c r="T282" s="832"/>
    </row>
    <row r="283" spans="1:20" x14ac:dyDescent="0.2">
      <c r="A283" s="832"/>
      <c r="B283" s="832"/>
      <c r="C283" s="832"/>
      <c r="D283" s="832"/>
      <c r="E283" s="832"/>
      <c r="F283" s="990"/>
      <c r="G283" s="832"/>
      <c r="H283" s="832"/>
      <c r="I283" s="832"/>
      <c r="J283" s="832"/>
      <c r="K283" s="832"/>
      <c r="L283" s="832"/>
      <c r="M283" s="832"/>
      <c r="N283" s="832"/>
      <c r="O283" s="832"/>
      <c r="P283" s="832"/>
      <c r="Q283" s="832"/>
      <c r="R283" s="832"/>
      <c r="S283" s="832"/>
      <c r="T283" s="832"/>
    </row>
    <row r="284" spans="1:20" x14ac:dyDescent="0.2">
      <c r="A284" s="832"/>
      <c r="B284" s="990" t="s">
        <v>603</v>
      </c>
      <c r="C284" s="832"/>
      <c r="D284" s="832"/>
      <c r="E284" s="832"/>
      <c r="F284" s="832"/>
      <c r="G284" s="832"/>
      <c r="H284" s="874">
        <f>E206/(F262*F263*H267)*1000000000</f>
        <v>143.49756489230867</v>
      </c>
      <c r="I284" s="990" t="s">
        <v>78</v>
      </c>
      <c r="J284" s="832"/>
      <c r="K284" s="832"/>
      <c r="L284" s="832"/>
      <c r="M284" s="832"/>
      <c r="N284" s="832"/>
      <c r="O284" s="832"/>
      <c r="P284" s="832"/>
      <c r="Q284" s="832"/>
      <c r="R284" s="832"/>
      <c r="S284" s="832"/>
      <c r="T284" s="832"/>
    </row>
    <row r="285" spans="1:20" x14ac:dyDescent="0.2">
      <c r="A285" s="832"/>
      <c r="B285" s="832"/>
      <c r="C285" s="832"/>
      <c r="D285" s="832"/>
      <c r="E285" s="832"/>
      <c r="F285" s="990"/>
      <c r="G285" s="832"/>
      <c r="H285" s="832"/>
      <c r="I285" s="832"/>
      <c r="J285" s="832"/>
      <c r="K285" s="832"/>
      <c r="L285" s="832"/>
      <c r="M285" s="832"/>
      <c r="N285" s="832"/>
      <c r="O285" s="832"/>
      <c r="P285" s="832"/>
      <c r="Q285" s="832"/>
      <c r="R285" s="832"/>
      <c r="S285" s="832"/>
      <c r="T285" s="832"/>
    </row>
    <row r="286" spans="1:20" x14ac:dyDescent="0.2">
      <c r="A286" s="832"/>
      <c r="B286" s="990" t="s">
        <v>87</v>
      </c>
      <c r="C286" s="832"/>
      <c r="D286" s="832"/>
      <c r="E286" s="832"/>
      <c r="F286" s="832"/>
      <c r="G286" s="832"/>
      <c r="H286" s="832"/>
      <c r="I286" s="832"/>
      <c r="J286" s="832"/>
      <c r="K286" s="832"/>
      <c r="L286" s="832"/>
      <c r="M286" s="832"/>
      <c r="N286" s="832"/>
      <c r="O286" s="832"/>
      <c r="P286" s="832"/>
      <c r="Q286" s="832"/>
      <c r="R286" s="832"/>
      <c r="S286" s="832"/>
      <c r="T286" s="832"/>
    </row>
    <row r="287" spans="1:20" x14ac:dyDescent="0.2">
      <c r="A287" s="832"/>
      <c r="B287" s="832"/>
      <c r="C287" s="832"/>
      <c r="D287" s="832"/>
      <c r="E287" s="832"/>
      <c r="F287" s="832"/>
      <c r="G287" s="832"/>
      <c r="H287" s="832"/>
      <c r="I287" s="832"/>
      <c r="J287" s="832"/>
      <c r="K287" s="832"/>
      <c r="L287" s="832"/>
      <c r="M287" s="832"/>
      <c r="N287" s="832"/>
      <c r="O287" s="832"/>
      <c r="P287" s="832"/>
      <c r="Q287" s="832"/>
      <c r="R287" s="832"/>
      <c r="S287" s="832"/>
      <c r="T287" s="832"/>
    </row>
    <row r="288" spans="1:20" x14ac:dyDescent="0.2">
      <c r="A288" s="832"/>
      <c r="B288" s="990" t="s">
        <v>1833</v>
      </c>
      <c r="C288" s="832"/>
      <c r="D288" s="832"/>
      <c r="E288" s="832"/>
      <c r="F288" s="994">
        <f>$E$70</f>
        <v>14.100000000000001</v>
      </c>
      <c r="G288" s="994" t="str">
        <f>IF(F288&lt;=9,"m  &lt;  9 m","m  &gt;  9 m")</f>
        <v>m  &gt;  9 m</v>
      </c>
      <c r="H288" s="832"/>
      <c r="I288" s="832"/>
      <c r="J288" s="832"/>
      <c r="K288" s="832"/>
      <c r="L288" s="832"/>
      <c r="M288" s="832"/>
      <c r="N288" s="832"/>
      <c r="O288" s="832"/>
      <c r="P288" s="832"/>
      <c r="Q288" s="832"/>
      <c r="R288" s="832"/>
      <c r="S288" s="832"/>
      <c r="T288" s="832"/>
    </row>
    <row r="289" spans="1:20" x14ac:dyDescent="0.2">
      <c r="A289" s="832"/>
      <c r="B289" s="990" t="s">
        <v>1170</v>
      </c>
      <c r="C289" s="832"/>
      <c r="D289" s="832"/>
      <c r="E289" s="832"/>
      <c r="F289" s="997">
        <f>G231</f>
        <v>750</v>
      </c>
      <c r="G289" s="994" t="str">
        <f>IF(F289&lt;=380,"mm  &lt;  380 mm","mm  &gt;  380 mm")</f>
        <v>mm  &gt;  380 mm</v>
      </c>
      <c r="H289" s="832"/>
      <c r="I289" s="832"/>
      <c r="J289" s="832"/>
      <c r="K289" s="832"/>
      <c r="L289" s="832"/>
      <c r="M289" s="832"/>
      <c r="N289" s="832"/>
      <c r="O289" s="832"/>
      <c r="P289" s="832"/>
      <c r="Q289" s="832"/>
      <c r="R289" s="832"/>
      <c r="S289" s="832"/>
      <c r="T289" s="832"/>
    </row>
    <row r="290" spans="1:20" x14ac:dyDescent="0.2">
      <c r="A290" s="832"/>
      <c r="B290" s="832"/>
      <c r="C290" s="832"/>
      <c r="D290" s="832"/>
      <c r="E290" s="832"/>
      <c r="F290" s="832"/>
      <c r="G290" s="832"/>
      <c r="H290" s="832"/>
      <c r="I290" s="832"/>
      <c r="J290" s="832"/>
      <c r="K290" s="832"/>
      <c r="L290" s="990" t="s">
        <v>66</v>
      </c>
      <c r="M290" s="832"/>
      <c r="N290" s="997">
        <v>12</v>
      </c>
      <c r="O290" s="997">
        <v>16</v>
      </c>
      <c r="P290" s="997">
        <v>20</v>
      </c>
      <c r="Q290" s="997">
        <v>22</v>
      </c>
      <c r="R290" s="997">
        <v>25</v>
      </c>
      <c r="S290" s="832"/>
      <c r="T290" s="832"/>
    </row>
    <row r="291" spans="1:20" x14ac:dyDescent="0.2">
      <c r="A291" s="832"/>
      <c r="B291" s="990" t="s">
        <v>84</v>
      </c>
      <c r="C291" s="1015"/>
      <c r="D291" s="990"/>
      <c r="E291" s="997"/>
      <c r="F291" s="990"/>
      <c r="G291" s="832"/>
      <c r="H291" s="874">
        <f>IF(F288&lt;=9,D247,D248)*IF(F289&lt;380,F289,380)*1000</f>
        <v>570.00000000000011</v>
      </c>
      <c r="I291" s="990" t="s">
        <v>78</v>
      </c>
      <c r="J291" s="832"/>
      <c r="K291" s="832"/>
      <c r="L291" s="990" t="s">
        <v>67</v>
      </c>
      <c r="M291" s="832"/>
      <c r="N291" s="997">
        <f>IF(H293=0,100000000,TRUNC(785.4*N290^2/H293/25)*25)</f>
        <v>175</v>
      </c>
      <c r="O291" s="997">
        <f>IF(H293=0,100000000,TRUNC(785.4*O290^2/H293/25)*25)</f>
        <v>350</v>
      </c>
      <c r="P291" s="997">
        <f>IF(H293=0,100000000,TRUNC(785.4*P290^2/H293/25)*25)</f>
        <v>550</v>
      </c>
      <c r="Q291" s="997">
        <f>IF(H293=0,100000000,TRUNC(785.4*Q290^2/H293/25)*25)</f>
        <v>650</v>
      </c>
      <c r="R291" s="997">
        <f>IF(H293=0,100000000,TRUNC(785.4*R290^2/H293/25)*25)</f>
        <v>850</v>
      </c>
      <c r="S291" s="832"/>
      <c r="T291" s="832"/>
    </row>
    <row r="292" spans="1:20" x14ac:dyDescent="0.2">
      <c r="A292" s="832"/>
      <c r="B292" s="832"/>
      <c r="C292" s="832"/>
      <c r="D292" s="832"/>
      <c r="E292" s="832"/>
      <c r="F292" s="832"/>
      <c r="G292" s="832"/>
      <c r="H292" s="832"/>
      <c r="I292" s="832"/>
      <c r="J292" s="832"/>
      <c r="K292" s="832"/>
      <c r="L292" s="990" t="s">
        <v>68</v>
      </c>
      <c r="M292" s="832"/>
      <c r="N292" s="997">
        <f>785.4*N290^2/N291</f>
        <v>646.27199999999993</v>
      </c>
      <c r="O292" s="997">
        <f>785.4*O290^2/O291</f>
        <v>574.46399999999994</v>
      </c>
      <c r="P292" s="997">
        <f>785.4*P290^2/P291</f>
        <v>571.20000000000005</v>
      </c>
      <c r="Q292" s="997">
        <f>785.4*Q290^2/Q291</f>
        <v>584.82092307692301</v>
      </c>
      <c r="R292" s="997">
        <f>785.4*R290^2/R291</f>
        <v>577.5</v>
      </c>
      <c r="S292" s="832"/>
      <c r="T292" s="832"/>
    </row>
    <row r="293" spans="1:20" x14ac:dyDescent="0.2">
      <c r="A293" s="832"/>
      <c r="B293" s="994" t="str">
        <f>IF(H284&gt;H291,"Ast(Moment)  &gt;  Ast(Shrinkage)","Ast(Moment)  &lt;  Ast(Shrinkage)")</f>
        <v>Ast(Moment)  &lt;  Ast(Shrinkage)</v>
      </c>
      <c r="C293" s="832"/>
      <c r="D293" s="832"/>
      <c r="E293" s="832"/>
      <c r="F293" s="990" t="s">
        <v>88</v>
      </c>
      <c r="G293" s="832"/>
      <c r="H293" s="997">
        <f>IF(H284&gt;H291,H284,H291)</f>
        <v>570.00000000000011</v>
      </c>
      <c r="I293" s="990" t="s">
        <v>89</v>
      </c>
      <c r="J293" s="832"/>
      <c r="K293" s="832"/>
      <c r="L293" s="990" t="s">
        <v>69</v>
      </c>
      <c r="M293" s="832"/>
      <c r="N293" s="997">
        <f>IF(OR(N291&gt;300,N291&lt;100),100000000,N292-H293)</f>
        <v>76.271999999999821</v>
      </c>
      <c r="O293" s="997">
        <f>IF(OR(O291&gt;300,O291&lt;100),100000001,O292-H293)</f>
        <v>100000001</v>
      </c>
      <c r="P293" s="997">
        <f>IF(OR(P291&gt;300,P291&lt;100),100000001,P292-H293)</f>
        <v>100000001</v>
      </c>
      <c r="Q293" s="997">
        <f>IF(OR(Q291&gt;300,Q291&lt;100),100000001,Q292-H293)</f>
        <v>100000001</v>
      </c>
      <c r="R293" s="997">
        <f>IF(OR(R291&gt;300,R291&lt;100),100000001,R292-H293)</f>
        <v>100000001</v>
      </c>
      <c r="S293" s="832"/>
      <c r="T293" s="832"/>
    </row>
    <row r="294" spans="1:20" x14ac:dyDescent="0.2">
      <c r="A294" s="832"/>
      <c r="B294" s="990" t="s">
        <v>79</v>
      </c>
      <c r="C294" s="997">
        <v>16</v>
      </c>
      <c r="D294" s="990" t="s">
        <v>71</v>
      </c>
      <c r="E294" s="997">
        <v>200</v>
      </c>
      <c r="F294" s="990" t="s">
        <v>80</v>
      </c>
      <c r="G294" s="832"/>
      <c r="H294" s="997">
        <f>785.4*C294^2/E294</f>
        <v>1005.312</v>
      </c>
      <c r="I294" s="990" t="s">
        <v>81</v>
      </c>
      <c r="J294" s="832"/>
      <c r="K294" s="832"/>
      <c r="L294" s="990" t="s">
        <v>70</v>
      </c>
      <c r="M294" s="832"/>
      <c r="N294" s="997">
        <f>IF(R291&lt;100,25,IF(MIN(N293:R293)=N293,12,IF(MIN(N293:R293)=O293,16,IF(MIN(N293:R293)=P293,20,IF(MIN(N293:R293)=Q293,22,IF(MIN(N293:R293)=R293,25,0))))))</f>
        <v>12</v>
      </c>
      <c r="O294" s="990" t="s">
        <v>71</v>
      </c>
      <c r="P294" s="997">
        <f>IF(N294=12,N291,IF(N294=16,O291,IF(N294=20,P291,IF(N294=22,Q291,IF(N294=25,R291,0)))))</f>
        <v>175</v>
      </c>
      <c r="Q294" s="990" t="s">
        <v>72</v>
      </c>
      <c r="R294" s="832"/>
      <c r="S294" s="832"/>
      <c r="T294" s="832"/>
    </row>
    <row r="295" spans="1:20" x14ac:dyDescent="0.2">
      <c r="A295" s="990" t="s">
        <v>986</v>
      </c>
      <c r="B295" s="832"/>
      <c r="C295" s="832"/>
      <c r="D295" s="832"/>
      <c r="E295" s="832"/>
      <c r="F295" s="832"/>
      <c r="G295" s="832"/>
      <c r="H295" s="832"/>
      <c r="I295" s="832"/>
      <c r="J295" s="832"/>
      <c r="K295" s="832"/>
      <c r="L295" s="832"/>
      <c r="M295" s="832"/>
      <c r="N295" s="832"/>
      <c r="O295" s="832"/>
      <c r="P295" s="832"/>
      <c r="Q295" s="832"/>
      <c r="R295" s="832"/>
      <c r="S295" s="832"/>
      <c r="T295" s="832"/>
    </row>
    <row r="296" spans="1:20" x14ac:dyDescent="0.2">
      <c r="A296" s="990" t="s">
        <v>950</v>
      </c>
      <c r="B296" s="832"/>
      <c r="C296" s="832"/>
      <c r="D296" s="832"/>
      <c r="E296" s="832"/>
      <c r="F296" s="832"/>
      <c r="G296" s="832"/>
      <c r="H296" s="832"/>
      <c r="I296" s="832"/>
      <c r="J296" s="832"/>
      <c r="K296" s="832"/>
      <c r="L296" s="832"/>
      <c r="M296" s="832"/>
      <c r="N296" s="832"/>
      <c r="O296" s="832"/>
      <c r="P296" s="832"/>
      <c r="Q296" s="832"/>
      <c r="R296" s="832"/>
      <c r="S296" s="832"/>
      <c r="T296" s="832"/>
    </row>
    <row r="297" spans="1:20" x14ac:dyDescent="0.2">
      <c r="A297" s="990" t="s">
        <v>1513</v>
      </c>
      <c r="B297" s="832"/>
      <c r="C297" s="832"/>
      <c r="D297" s="832"/>
      <c r="E297" s="832"/>
      <c r="F297" s="832"/>
      <c r="G297" s="832"/>
      <c r="H297" s="832"/>
      <c r="I297" s="832"/>
      <c r="J297" s="832"/>
      <c r="K297" s="832"/>
      <c r="L297" s="832"/>
      <c r="M297" s="832"/>
      <c r="N297" s="832"/>
      <c r="O297" s="832"/>
      <c r="P297" s="832"/>
      <c r="Q297" s="832"/>
      <c r="R297" s="832"/>
      <c r="S297" s="832"/>
      <c r="T297" s="832"/>
    </row>
    <row r="298" spans="1:20" x14ac:dyDescent="0.2">
      <c r="A298" s="832"/>
      <c r="B298" s="832"/>
      <c r="C298" s="832"/>
      <c r="D298" s="832"/>
      <c r="E298" s="832"/>
      <c r="F298" s="832"/>
      <c r="G298" s="832"/>
      <c r="H298" s="832"/>
      <c r="I298" s="832"/>
      <c r="J298" s="832"/>
      <c r="K298" s="832"/>
      <c r="L298" s="832"/>
      <c r="M298" s="832"/>
      <c r="N298" s="832"/>
      <c r="O298" s="832"/>
      <c r="P298" s="832"/>
      <c r="Q298" s="832"/>
      <c r="R298" s="832"/>
      <c r="S298" s="832"/>
      <c r="T298" s="832"/>
    </row>
    <row r="299" spans="1:20" x14ac:dyDescent="0.2">
      <c r="A299" s="832"/>
      <c r="B299" s="990" t="s">
        <v>1974</v>
      </c>
      <c r="C299" s="832"/>
      <c r="D299" s="832"/>
      <c r="E299" s="832"/>
      <c r="F299" s="832"/>
      <c r="G299" s="832"/>
      <c r="H299" s="832"/>
      <c r="I299" s="832"/>
      <c r="J299" s="832"/>
      <c r="K299" s="832"/>
      <c r="L299" s="832"/>
      <c r="M299" s="832"/>
      <c r="N299" s="832"/>
      <c r="O299" s="832"/>
      <c r="P299" s="832"/>
      <c r="Q299" s="832"/>
      <c r="R299" s="832"/>
      <c r="S299" s="832"/>
      <c r="T299" s="832"/>
    </row>
    <row r="300" spans="1:20" x14ac:dyDescent="0.2">
      <c r="A300" s="832"/>
      <c r="B300" s="990" t="s">
        <v>1975</v>
      </c>
      <c r="C300" s="832"/>
      <c r="D300" s="832"/>
      <c r="E300" s="832"/>
      <c r="F300" s="832"/>
      <c r="G300" s="832"/>
      <c r="H300" s="832"/>
      <c r="I300" s="832"/>
      <c r="J300" s="832"/>
      <c r="K300" s="832"/>
      <c r="L300" s="832"/>
      <c r="M300" s="832"/>
      <c r="N300" s="832"/>
      <c r="O300" s="832"/>
      <c r="P300" s="832"/>
      <c r="Q300" s="832"/>
      <c r="R300" s="832"/>
      <c r="S300" s="832"/>
      <c r="T300" s="832"/>
    </row>
    <row r="301" spans="1:20" x14ac:dyDescent="0.2">
      <c r="A301" s="832"/>
      <c r="B301" s="990" t="s">
        <v>1976</v>
      </c>
      <c r="C301" s="832"/>
      <c r="D301" s="832"/>
      <c r="E301" s="832"/>
      <c r="F301" s="832"/>
      <c r="G301" s="832"/>
      <c r="H301" s="832"/>
      <c r="I301" s="832"/>
      <c r="J301" s="832"/>
      <c r="K301" s="832"/>
      <c r="L301" s="832"/>
      <c r="M301" s="832"/>
      <c r="N301" s="832"/>
      <c r="O301" s="832"/>
      <c r="P301" s="832"/>
      <c r="Q301" s="832"/>
      <c r="R301" s="832"/>
      <c r="S301" s="832"/>
      <c r="T301" s="832"/>
    </row>
    <row r="302" spans="1:20" x14ac:dyDescent="0.2">
      <c r="A302" s="832"/>
      <c r="B302" s="832"/>
      <c r="C302" s="832"/>
      <c r="D302" s="832"/>
      <c r="E302" s="832"/>
      <c r="F302" s="832"/>
      <c r="G302" s="832"/>
      <c r="H302" s="832"/>
      <c r="I302" s="832"/>
      <c r="J302" s="832"/>
      <c r="K302" s="832"/>
      <c r="L302" s="832"/>
      <c r="M302" s="832"/>
      <c r="N302" s="832"/>
      <c r="O302" s="832"/>
      <c r="P302" s="832"/>
      <c r="Q302" s="832"/>
      <c r="R302" s="832"/>
      <c r="S302" s="832"/>
      <c r="T302" s="832"/>
    </row>
    <row r="303" spans="1:20" x14ac:dyDescent="0.2">
      <c r="A303" s="990" t="s">
        <v>950</v>
      </c>
      <c r="B303" s="832"/>
      <c r="C303" s="832"/>
      <c r="D303" s="832"/>
      <c r="E303" s="832"/>
      <c r="F303" s="832"/>
      <c r="G303" s="832"/>
      <c r="H303" s="832"/>
      <c r="I303" s="832"/>
      <c r="J303" s="832"/>
      <c r="K303" s="832"/>
      <c r="L303" s="832"/>
      <c r="M303" s="832"/>
      <c r="N303" s="832"/>
      <c r="O303" s="832"/>
      <c r="P303" s="832"/>
      <c r="Q303" s="832"/>
      <c r="R303" s="832"/>
      <c r="S303" s="832"/>
      <c r="T303" s="832"/>
    </row>
    <row r="304" spans="1:20" x14ac:dyDescent="0.2">
      <c r="A304" s="990" t="s">
        <v>1514</v>
      </c>
      <c r="B304" s="832"/>
      <c r="C304" s="832"/>
      <c r="D304" s="832"/>
      <c r="E304" s="832"/>
      <c r="F304" s="832"/>
      <c r="G304" s="832"/>
      <c r="H304" s="832"/>
      <c r="I304" s="832"/>
      <c r="J304" s="832"/>
      <c r="K304" s="832"/>
      <c r="L304" s="832"/>
      <c r="M304" s="832"/>
      <c r="N304" s="832"/>
      <c r="O304" s="832"/>
      <c r="P304" s="832"/>
      <c r="Q304" s="832"/>
      <c r="R304" s="832"/>
      <c r="S304" s="832"/>
      <c r="T304" s="832"/>
    </row>
    <row r="305" spans="1:20" x14ac:dyDescent="0.2">
      <c r="A305" s="832"/>
      <c r="B305" s="832"/>
      <c r="C305" s="832"/>
      <c r="D305" s="832"/>
      <c r="E305" s="832"/>
      <c r="F305" s="832"/>
      <c r="G305" s="832"/>
      <c r="H305" s="832"/>
      <c r="I305" s="832"/>
      <c r="J305" s="832"/>
      <c r="K305" s="832"/>
      <c r="L305" s="832"/>
      <c r="M305" s="832"/>
      <c r="N305" s="832"/>
      <c r="O305" s="832"/>
      <c r="P305" s="832"/>
      <c r="Q305" s="832"/>
      <c r="R305" s="832"/>
      <c r="S305" s="832"/>
      <c r="T305" s="832"/>
    </row>
    <row r="306" spans="1:20" x14ac:dyDescent="0.2">
      <c r="A306" s="990" t="s">
        <v>950</v>
      </c>
      <c r="B306" s="832"/>
      <c r="C306" s="832"/>
      <c r="D306" s="832"/>
      <c r="E306" s="832"/>
      <c r="F306" s="832"/>
      <c r="G306" s="832"/>
      <c r="H306" s="832"/>
      <c r="I306" s="832"/>
      <c r="J306" s="832"/>
      <c r="K306" s="832"/>
      <c r="L306" s="832"/>
      <c r="M306" s="832"/>
      <c r="N306" s="832"/>
      <c r="O306" s="832"/>
      <c r="P306" s="832"/>
      <c r="Q306" s="832"/>
      <c r="R306" s="832"/>
      <c r="S306" s="832"/>
      <c r="T306" s="832"/>
    </row>
    <row r="307" spans="1:20" x14ac:dyDescent="0.2">
      <c r="A307" s="990" t="s">
        <v>122</v>
      </c>
      <c r="B307" s="832"/>
      <c r="C307" s="832"/>
      <c r="D307" s="832"/>
      <c r="E307" s="832"/>
      <c r="F307" s="832"/>
      <c r="G307" s="832"/>
      <c r="H307" s="832"/>
      <c r="I307" s="832"/>
      <c r="J307" s="832"/>
      <c r="K307" s="832"/>
      <c r="L307" s="832"/>
      <c r="M307" s="832"/>
      <c r="N307" s="832"/>
      <c r="O307" s="832"/>
      <c r="P307" s="832"/>
      <c r="Q307" s="832"/>
      <c r="R307" s="832"/>
      <c r="S307" s="832"/>
      <c r="T307" s="832"/>
    </row>
    <row r="308" spans="1:20" x14ac:dyDescent="0.2">
      <c r="A308" s="996" t="s">
        <v>1515</v>
      </c>
      <c r="B308" s="832"/>
      <c r="C308" s="832"/>
      <c r="D308" s="832"/>
      <c r="E308" s="832"/>
      <c r="F308" s="832"/>
      <c r="G308" s="832"/>
      <c r="H308" s="832"/>
      <c r="I308" s="832"/>
      <c r="J308" s="832"/>
      <c r="K308" s="832"/>
      <c r="L308" s="832"/>
      <c r="M308" s="832"/>
      <c r="N308" s="832"/>
      <c r="O308" s="832"/>
      <c r="P308" s="832"/>
      <c r="Q308" s="832"/>
      <c r="R308" s="832"/>
      <c r="S308" s="832"/>
      <c r="T308" s="832"/>
    </row>
    <row r="309" spans="1:20" x14ac:dyDescent="0.2">
      <c r="A309" s="832"/>
      <c r="B309" s="990" t="s">
        <v>1516</v>
      </c>
      <c r="C309" s="832"/>
      <c r="D309" s="832"/>
      <c r="E309" s="832"/>
      <c r="F309" s="832"/>
      <c r="G309" s="832"/>
      <c r="H309" s="832"/>
      <c r="I309" s="832"/>
      <c r="J309" s="832"/>
      <c r="K309" s="832"/>
      <c r="L309" s="832"/>
      <c r="M309" s="832"/>
      <c r="N309" s="832"/>
      <c r="O309" s="832"/>
      <c r="P309" s="832"/>
      <c r="Q309" s="832"/>
      <c r="R309" s="832"/>
      <c r="S309" s="832"/>
      <c r="T309" s="832"/>
    </row>
    <row r="310" spans="1:20" x14ac:dyDescent="0.2">
      <c r="A310" s="832"/>
      <c r="B310" s="990" t="s">
        <v>1517</v>
      </c>
      <c r="C310" s="832"/>
      <c r="D310" s="832"/>
      <c r="E310" s="832"/>
      <c r="F310" s="832"/>
      <c r="G310" s="832"/>
      <c r="H310" s="832"/>
      <c r="I310" s="832"/>
      <c r="J310" s="832"/>
      <c r="K310" s="832"/>
      <c r="L310" s="832"/>
      <c r="M310" s="832"/>
      <c r="N310" s="832"/>
      <c r="O310" s="832"/>
      <c r="P310" s="832"/>
      <c r="Q310" s="832"/>
      <c r="R310" s="832"/>
      <c r="S310" s="832"/>
      <c r="T310" s="832"/>
    </row>
    <row r="311" spans="1:20" x14ac:dyDescent="0.2">
      <c r="A311" s="832"/>
      <c r="B311" s="832"/>
      <c r="C311" s="832"/>
      <c r="D311" s="832"/>
      <c r="E311" s="832"/>
      <c r="F311" s="832"/>
      <c r="G311" s="832"/>
      <c r="H311" s="832"/>
      <c r="I311" s="832"/>
      <c r="J311" s="832"/>
      <c r="K311" s="832"/>
      <c r="L311" s="832"/>
      <c r="M311" s="832"/>
      <c r="N311" s="832"/>
      <c r="O311" s="832"/>
      <c r="P311" s="832"/>
      <c r="Q311" s="832"/>
      <c r="R311" s="832"/>
      <c r="S311" s="832"/>
      <c r="T311" s="832"/>
    </row>
    <row r="312" spans="1:20" x14ac:dyDescent="0.2">
      <c r="A312" s="832"/>
      <c r="B312" s="990" t="s">
        <v>1518</v>
      </c>
      <c r="C312" s="832"/>
      <c r="D312" s="832"/>
      <c r="E312" s="832"/>
      <c r="F312" s="832"/>
      <c r="G312" s="832"/>
      <c r="H312" s="832"/>
      <c r="I312" s="832"/>
      <c r="J312" s="832"/>
      <c r="K312" s="832"/>
      <c r="L312" s="832"/>
      <c r="M312" s="832"/>
      <c r="N312" s="832"/>
      <c r="O312" s="832"/>
      <c r="P312" s="832"/>
      <c r="Q312" s="832"/>
      <c r="R312" s="832"/>
      <c r="S312" s="832"/>
      <c r="T312" s="832"/>
    </row>
    <row r="313" spans="1:20" x14ac:dyDescent="0.2">
      <c r="A313" s="832"/>
      <c r="B313" s="990" t="s">
        <v>1519</v>
      </c>
      <c r="C313" s="832"/>
      <c r="D313" s="832"/>
      <c r="E313" s="994">
        <f>$G$22</f>
        <v>0.58879070648086362</v>
      </c>
      <c r="F313" s="990" t="s">
        <v>1012</v>
      </c>
      <c r="G313" s="994">
        <f>$E$25-$E$27</f>
        <v>6.55</v>
      </c>
      <c r="H313" s="990" t="s">
        <v>1012</v>
      </c>
      <c r="I313" s="994">
        <f>$E$11</f>
        <v>19.600000000000001</v>
      </c>
      <c r="J313" s="832"/>
      <c r="K313" s="832"/>
      <c r="L313" s="832"/>
      <c r="M313" s="832"/>
      <c r="N313" s="832"/>
      <c r="O313" s="832"/>
      <c r="P313" s="832"/>
      <c r="Q313" s="832"/>
      <c r="R313" s="832"/>
      <c r="S313" s="832"/>
      <c r="T313" s="832"/>
    </row>
    <row r="314" spans="1:20" x14ac:dyDescent="0.2">
      <c r="A314" s="832"/>
      <c r="B314" s="832"/>
      <c r="C314" s="832"/>
      <c r="D314" s="990" t="s">
        <v>1448</v>
      </c>
      <c r="E314" s="994">
        <f>E313*G313*I313</f>
        <v>75.58895089801328</v>
      </c>
      <c r="F314" s="990" t="s">
        <v>35</v>
      </c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</row>
    <row r="315" spans="1:20" x14ac:dyDescent="0.2">
      <c r="A315" s="832"/>
      <c r="B315" s="832"/>
      <c r="C315" s="832"/>
      <c r="D315" s="832"/>
      <c r="E315" s="832"/>
      <c r="F315" s="832"/>
      <c r="G315" s="832"/>
      <c r="H315" s="832"/>
      <c r="I315" s="832"/>
      <c r="J315" s="832"/>
      <c r="K315" s="832"/>
      <c r="L315" s="832"/>
      <c r="M315" s="832"/>
      <c r="N315" s="832"/>
      <c r="O315" s="832"/>
      <c r="P315" s="832"/>
      <c r="Q315" s="832"/>
      <c r="R315" s="832"/>
      <c r="S315" s="832"/>
      <c r="T315" s="832"/>
    </row>
    <row r="316" spans="1:20" x14ac:dyDescent="0.2">
      <c r="A316" s="832"/>
      <c r="B316" s="990" t="s">
        <v>1977</v>
      </c>
      <c r="C316" s="832"/>
      <c r="D316" s="832"/>
      <c r="E316" s="832"/>
      <c r="F316" s="832"/>
      <c r="G316" s="832"/>
      <c r="H316" s="832"/>
      <c r="I316" s="832"/>
      <c r="J316" s="832"/>
      <c r="K316" s="832"/>
      <c r="L316" s="832"/>
      <c r="M316" s="832"/>
      <c r="N316" s="832"/>
      <c r="O316" s="832"/>
      <c r="P316" s="832"/>
      <c r="Q316" s="832"/>
      <c r="R316" s="832"/>
      <c r="S316" s="832"/>
      <c r="T316" s="832"/>
    </row>
    <row r="317" spans="1:20" x14ac:dyDescent="0.2">
      <c r="A317" s="832"/>
      <c r="B317" s="990" t="s">
        <v>1978</v>
      </c>
      <c r="C317" s="832"/>
      <c r="D317" s="832"/>
      <c r="E317" s="832"/>
      <c r="F317" s="832"/>
      <c r="G317" s="832"/>
      <c r="H317" s="832"/>
      <c r="I317" s="832"/>
      <c r="J317" s="832"/>
      <c r="K317" s="832"/>
      <c r="L317" s="832"/>
      <c r="M317" s="832"/>
      <c r="N317" s="832"/>
      <c r="O317" s="832"/>
      <c r="P317" s="832"/>
      <c r="Q317" s="832"/>
      <c r="R317" s="832"/>
      <c r="S317" s="832"/>
      <c r="T317" s="832"/>
    </row>
    <row r="318" spans="1:20" x14ac:dyDescent="0.2">
      <c r="A318" s="832"/>
      <c r="B318" s="990" t="s">
        <v>1979</v>
      </c>
      <c r="C318" s="832"/>
      <c r="D318" s="832"/>
      <c r="E318" s="832"/>
      <c r="F318" s="832"/>
      <c r="G318" s="832"/>
      <c r="H318" s="832"/>
      <c r="I318" s="832"/>
      <c r="J318" s="832"/>
      <c r="K318" s="832"/>
      <c r="L318" s="832"/>
      <c r="M318" s="832"/>
      <c r="N318" s="832"/>
      <c r="O318" s="832"/>
      <c r="P318" s="832"/>
      <c r="Q318" s="832"/>
      <c r="R318" s="832"/>
      <c r="S318" s="832"/>
      <c r="T318" s="832"/>
    </row>
    <row r="319" spans="1:20" x14ac:dyDescent="0.2">
      <c r="A319" s="832"/>
      <c r="B319" s="832"/>
      <c r="C319" s="832"/>
      <c r="D319" s="832"/>
      <c r="E319" s="832"/>
      <c r="F319" s="832"/>
      <c r="G319" s="832"/>
      <c r="H319" s="832"/>
      <c r="I319" s="832"/>
      <c r="J319" s="832"/>
      <c r="K319" s="832"/>
      <c r="L319" s="832"/>
      <c r="M319" s="832"/>
      <c r="N319" s="832"/>
      <c r="O319" s="832"/>
      <c r="P319" s="832"/>
      <c r="Q319" s="832"/>
      <c r="R319" s="832"/>
      <c r="S319" s="832"/>
      <c r="T319" s="832"/>
    </row>
    <row r="320" spans="1:20" x14ac:dyDescent="0.2">
      <c r="A320" s="832"/>
      <c r="B320" s="990" t="s">
        <v>1523</v>
      </c>
      <c r="C320" s="832"/>
      <c r="D320" s="832"/>
      <c r="E320" s="832"/>
      <c r="F320" s="994">
        <f>$E$47</f>
        <v>2.1</v>
      </c>
      <c r="G320" s="990" t="s">
        <v>24</v>
      </c>
      <c r="H320" s="832"/>
      <c r="I320" s="832"/>
      <c r="J320" s="832"/>
      <c r="K320" s="832"/>
      <c r="L320" s="832"/>
      <c r="M320" s="832"/>
      <c r="N320" s="832"/>
      <c r="O320" s="832"/>
      <c r="P320" s="832"/>
      <c r="Q320" s="832"/>
      <c r="R320" s="832"/>
      <c r="S320" s="832"/>
      <c r="T320" s="832"/>
    </row>
    <row r="321" spans="1:20" x14ac:dyDescent="0.2">
      <c r="A321" s="832"/>
      <c r="B321" s="990" t="s">
        <v>1524</v>
      </c>
      <c r="C321" s="832"/>
      <c r="D321" s="832"/>
      <c r="E321" s="832"/>
      <c r="F321" s="994">
        <f>$E$25-$E$27</f>
        <v>6.55</v>
      </c>
      <c r="G321" s="990" t="s">
        <v>24</v>
      </c>
      <c r="H321" s="832"/>
      <c r="I321" s="832"/>
      <c r="J321" s="832"/>
      <c r="K321" s="832"/>
      <c r="L321" s="832"/>
      <c r="M321" s="832"/>
      <c r="N321" s="832"/>
      <c r="O321" s="832"/>
      <c r="P321" s="832"/>
      <c r="Q321" s="832"/>
      <c r="R321" s="832"/>
      <c r="S321" s="832"/>
      <c r="T321" s="832"/>
    </row>
    <row r="322" spans="1:20" x14ac:dyDescent="0.2">
      <c r="A322" s="832"/>
      <c r="B322" s="832"/>
      <c r="C322" s="832"/>
      <c r="D322" s="832"/>
      <c r="E322" s="832"/>
      <c r="F322" s="832"/>
      <c r="G322" s="832"/>
      <c r="H322" s="832"/>
      <c r="I322" s="832"/>
      <c r="J322" s="990" t="s">
        <v>1525</v>
      </c>
      <c r="K322" s="832"/>
      <c r="L322" s="832"/>
      <c r="M322" s="832"/>
      <c r="N322" s="832"/>
      <c r="O322" s="832"/>
      <c r="P322" s="832"/>
      <c r="Q322" s="832"/>
      <c r="R322" s="832"/>
      <c r="S322" s="832"/>
      <c r="T322" s="832"/>
    </row>
    <row r="323" spans="1:20" x14ac:dyDescent="0.2">
      <c r="A323" s="832"/>
      <c r="B323" s="990"/>
      <c r="C323" s="832"/>
      <c r="D323" s="832"/>
      <c r="E323" s="832"/>
      <c r="F323" s="832"/>
      <c r="G323" s="832"/>
      <c r="H323" s="832"/>
      <c r="I323" s="832"/>
      <c r="J323" s="996" t="s">
        <v>1056</v>
      </c>
      <c r="K323" s="832"/>
      <c r="L323" s="832"/>
      <c r="M323" s="832"/>
      <c r="N323" s="832"/>
      <c r="O323" s="832"/>
      <c r="P323" s="832"/>
      <c r="Q323" s="832"/>
      <c r="R323" s="832"/>
      <c r="S323" s="832"/>
      <c r="T323" s="832"/>
    </row>
    <row r="324" spans="1:20" x14ac:dyDescent="0.2">
      <c r="A324" s="832"/>
      <c r="B324" s="990"/>
      <c r="C324" s="1439" t="s">
        <v>2200</v>
      </c>
      <c r="D324" s="1439"/>
      <c r="E324" s="1439" t="s">
        <v>2201</v>
      </c>
      <c r="F324" s="1439"/>
      <c r="G324" s="832"/>
      <c r="H324" s="832"/>
      <c r="I324" s="832"/>
      <c r="J324" s="996" t="s">
        <v>1526</v>
      </c>
      <c r="K324" s="832"/>
      <c r="L324" s="832"/>
      <c r="M324" s="832"/>
      <c r="N324" s="832"/>
      <c r="O324" s="832"/>
      <c r="P324" s="832"/>
      <c r="Q324" s="832"/>
      <c r="R324" s="832"/>
      <c r="S324" s="832"/>
      <c r="T324" s="832"/>
    </row>
    <row r="325" spans="1:20" x14ac:dyDescent="0.2">
      <c r="A325" s="832"/>
      <c r="B325" s="990"/>
      <c r="C325" s="1439" t="s">
        <v>2199</v>
      </c>
      <c r="D325" s="1439"/>
      <c r="E325" s="1439" t="s">
        <v>2199</v>
      </c>
      <c r="F325" s="1439"/>
      <c r="G325" s="832"/>
      <c r="H325" s="832"/>
      <c r="I325" s="990" t="s">
        <v>1527</v>
      </c>
      <c r="J325" s="990" t="s">
        <v>1528</v>
      </c>
      <c r="K325" s="832"/>
      <c r="L325" s="832"/>
      <c r="M325" s="832"/>
      <c r="N325" s="832"/>
      <c r="O325" s="832"/>
      <c r="P325" s="832"/>
      <c r="Q325" s="832"/>
      <c r="R325" s="832"/>
      <c r="S325" s="832"/>
      <c r="T325" s="832"/>
    </row>
    <row r="326" spans="1:20" x14ac:dyDescent="0.2">
      <c r="A326" s="832"/>
      <c r="B326" s="1016" t="s">
        <v>2198</v>
      </c>
      <c r="C326" s="1017" t="s">
        <v>2197</v>
      </c>
      <c r="D326" s="1017" t="s">
        <v>2196</v>
      </c>
      <c r="E326" s="1017" t="s">
        <v>2197</v>
      </c>
      <c r="F326" s="1017" t="s">
        <v>2196</v>
      </c>
      <c r="G326" s="1017" t="s">
        <v>2195</v>
      </c>
      <c r="H326" s="1018" t="s">
        <v>2194</v>
      </c>
      <c r="I326" s="990" t="s">
        <v>1527</v>
      </c>
      <c r="J326" s="996" t="s">
        <v>1056</v>
      </c>
      <c r="K326" s="996" t="s">
        <v>1056</v>
      </c>
      <c r="L326" s="832"/>
      <c r="M326" s="832"/>
      <c r="N326" s="832"/>
      <c r="O326" s="832"/>
      <c r="P326" s="832"/>
      <c r="Q326" s="832"/>
      <c r="R326" s="832"/>
      <c r="S326" s="832"/>
      <c r="T326" s="832"/>
    </row>
    <row r="327" spans="1:20" x14ac:dyDescent="0.2">
      <c r="A327" s="832"/>
      <c r="B327" s="1019">
        <f>1/8</f>
        <v>0.125</v>
      </c>
      <c r="C327" s="1020">
        <v>0</v>
      </c>
      <c r="D327" s="1020">
        <v>4.0000000000000002E-4</v>
      </c>
      <c r="E327" s="1020">
        <v>5.1999999999999998E-3</v>
      </c>
      <c r="F327" s="1020">
        <v>7.1999999999999998E-3</v>
      </c>
      <c r="G327" s="1020">
        <v>9.64E-2</v>
      </c>
      <c r="H327" s="1021">
        <v>0.27060000000000001</v>
      </c>
      <c r="I327" s="990" t="s">
        <v>1529</v>
      </c>
      <c r="J327" s="996" t="s">
        <v>1056</v>
      </c>
      <c r="K327" s="996" t="s">
        <v>1056</v>
      </c>
      <c r="L327" s="832"/>
      <c r="M327" s="832"/>
      <c r="N327" s="832"/>
      <c r="O327" s="832"/>
      <c r="P327" s="832"/>
      <c r="Q327" s="832"/>
      <c r="R327" s="832"/>
      <c r="S327" s="832"/>
      <c r="T327" s="832"/>
    </row>
    <row r="328" spans="1:20" x14ac:dyDescent="0.2">
      <c r="A328" s="832"/>
      <c r="B328" s="1022">
        <f>1/4</f>
        <v>0.25</v>
      </c>
      <c r="C328" s="1023">
        <v>5.9999999999999995E-4</v>
      </c>
      <c r="D328" s="1023">
        <v>3.2000000000000002E-3</v>
      </c>
      <c r="E328" s="1023">
        <v>1.4999999999999999E-2</v>
      </c>
      <c r="F328" s="1023">
        <v>2.2100000000000002E-2</v>
      </c>
      <c r="G328" s="1023">
        <v>0.15129999999999999</v>
      </c>
      <c r="H328" s="1024">
        <v>0.42320000000000002</v>
      </c>
      <c r="I328" s="990" t="s">
        <v>1529</v>
      </c>
      <c r="J328" s="996" t="s">
        <v>1056</v>
      </c>
      <c r="K328" s="996" t="s">
        <v>1530</v>
      </c>
      <c r="L328" s="832"/>
      <c r="M328" s="832"/>
      <c r="N328" s="832"/>
      <c r="O328" s="832"/>
      <c r="P328" s="832"/>
      <c r="Q328" s="832"/>
      <c r="R328" s="832"/>
      <c r="S328" s="832"/>
      <c r="T328" s="832"/>
    </row>
    <row r="329" spans="1:20" x14ac:dyDescent="0.2">
      <c r="A329" s="832"/>
      <c r="B329" s="1022">
        <f>3/8</f>
        <v>0.375</v>
      </c>
      <c r="C329" s="1023">
        <v>1.1999999999999999E-3</v>
      </c>
      <c r="D329" s="1023">
        <v>6.7000000000000002E-3</v>
      </c>
      <c r="E329" s="1023">
        <v>2.46E-2</v>
      </c>
      <c r="F329" s="1023">
        <v>3.5400000000000001E-2</v>
      </c>
      <c r="G329" s="1023">
        <v>0.20499999999999999</v>
      </c>
      <c r="H329" s="1024">
        <v>0.41849999999999998</v>
      </c>
      <c r="I329" s="990" t="s">
        <v>1527</v>
      </c>
      <c r="J329" s="996" t="s">
        <v>1056</v>
      </c>
      <c r="K329" s="996" t="s">
        <v>1056</v>
      </c>
      <c r="L329" s="832"/>
      <c r="M329" s="832"/>
      <c r="N329" s="832"/>
      <c r="O329" s="832"/>
      <c r="P329" s="832"/>
      <c r="Q329" s="832"/>
      <c r="R329" s="832"/>
      <c r="S329" s="832"/>
      <c r="T329" s="832"/>
    </row>
    <row r="330" spans="1:20" x14ac:dyDescent="0.2">
      <c r="A330" s="832"/>
      <c r="B330" s="1022">
        <f>1/2</f>
        <v>0.5</v>
      </c>
      <c r="C330" s="1023">
        <v>2.0999999999999999E-3</v>
      </c>
      <c r="D330" s="1023">
        <v>1.09E-2</v>
      </c>
      <c r="E330" s="1023">
        <v>3.3399999999999999E-2</v>
      </c>
      <c r="F330" s="1023">
        <v>5.4600000000000003E-2</v>
      </c>
      <c r="G330" s="1023">
        <v>0.2311</v>
      </c>
      <c r="H330" s="1024">
        <v>0.48270000000000002</v>
      </c>
      <c r="I330" s="990" t="s">
        <v>1527</v>
      </c>
      <c r="J330" s="996" t="s">
        <v>1056</v>
      </c>
      <c r="K330" s="996" t="s">
        <v>1056</v>
      </c>
      <c r="L330" s="832"/>
      <c r="M330" s="832"/>
      <c r="N330" s="832"/>
      <c r="O330" s="832"/>
      <c r="P330" s="832"/>
      <c r="Q330" s="832"/>
      <c r="R330" s="832"/>
      <c r="S330" s="832"/>
      <c r="T330" s="832"/>
    </row>
    <row r="331" spans="1:20" x14ac:dyDescent="0.2">
      <c r="A331" s="832"/>
      <c r="B331" s="1022">
        <f>3/4</f>
        <v>0.75</v>
      </c>
      <c r="C331" s="1023">
        <v>3.5999999999999999E-3</v>
      </c>
      <c r="D331" s="1023">
        <v>1.55E-2</v>
      </c>
      <c r="E331" s="1023">
        <v>4.87E-2</v>
      </c>
      <c r="F331" s="1023">
        <v>8.9599999999999999E-2</v>
      </c>
      <c r="G331" s="1023">
        <v>0.23830000000000001</v>
      </c>
      <c r="H331" s="1024">
        <v>0.55049999999999999</v>
      </c>
      <c r="I331" s="990" t="s">
        <v>1529</v>
      </c>
      <c r="J331" s="996" t="s">
        <v>1056</v>
      </c>
      <c r="K331" s="996" t="s">
        <v>1531</v>
      </c>
      <c r="L331" s="832"/>
      <c r="M331" s="832"/>
      <c r="N331" s="832"/>
      <c r="O331" s="832"/>
      <c r="P331" s="832"/>
      <c r="Q331" s="832"/>
      <c r="R331" s="832"/>
      <c r="S331" s="832"/>
      <c r="T331" s="832"/>
    </row>
    <row r="332" spans="1:20" x14ac:dyDescent="0.2">
      <c r="A332" s="832"/>
      <c r="B332" s="1025">
        <f>1/1</f>
        <v>1</v>
      </c>
      <c r="C332" s="1026">
        <v>7.7000000000000002E-3</v>
      </c>
      <c r="D332" s="1026">
        <v>1.72E-2</v>
      </c>
      <c r="E332" s="1026">
        <v>6.6199999999999995E-2</v>
      </c>
      <c r="F332" s="1026">
        <v>0.1157</v>
      </c>
      <c r="G332" s="1026">
        <v>0.24809999999999999</v>
      </c>
      <c r="H332" s="1027">
        <v>0.55859999999999999</v>
      </c>
      <c r="I332" s="990" t="s">
        <v>1529</v>
      </c>
      <c r="J332" s="990" t="s">
        <v>1532</v>
      </c>
      <c r="K332" s="832"/>
      <c r="L332" s="832"/>
      <c r="M332" s="832"/>
      <c r="N332" s="832"/>
      <c r="O332" s="832"/>
      <c r="P332" s="832"/>
      <c r="Q332" s="832"/>
      <c r="R332" s="832"/>
      <c r="S332" s="832"/>
      <c r="T332" s="832"/>
    </row>
    <row r="333" spans="1:20" x14ac:dyDescent="0.2">
      <c r="A333" s="832"/>
      <c r="B333" s="1028"/>
      <c r="C333" s="1028"/>
      <c r="D333" s="1028"/>
      <c r="E333" s="1028"/>
      <c r="F333" s="1028"/>
      <c r="G333" s="1028"/>
      <c r="H333" s="1028"/>
      <c r="I333" s="990" t="s">
        <v>1533</v>
      </c>
      <c r="J333" s="832"/>
      <c r="K333" s="832"/>
      <c r="L333" s="832"/>
      <c r="M333" s="832"/>
      <c r="N333" s="832"/>
      <c r="O333" s="832"/>
      <c r="P333" s="832"/>
      <c r="Q333" s="832"/>
      <c r="R333" s="832"/>
      <c r="S333" s="832"/>
      <c r="T333" s="832"/>
    </row>
    <row r="334" spans="1:20" x14ac:dyDescent="0.2">
      <c r="A334" s="832"/>
      <c r="B334" s="990" t="s">
        <v>1534</v>
      </c>
      <c r="C334" s="994">
        <f>F320/F321</f>
        <v>0.3206106870229008</v>
      </c>
      <c r="D334" s="990" t="s">
        <v>1535</v>
      </c>
      <c r="E334" s="832"/>
      <c r="F334" s="832"/>
      <c r="G334" s="832"/>
      <c r="H334" s="994" t="str">
        <f>IF($C$334&lt;=1/8,"1/8",IF($C$334&lt;=1/4,"1/4",IF($C$334&lt;=3/8,"3/8",IF($C$334&lt;=1/2,"1/2",IF($C$334&lt;3/4,"3/4",IF($C$334&lt;=1,"1","0"))))))</f>
        <v>3/8</v>
      </c>
      <c r="I334" s="832"/>
      <c r="J334" s="832"/>
      <c r="K334" s="832"/>
      <c r="L334" s="832"/>
      <c r="M334" s="832"/>
      <c r="N334" s="832"/>
      <c r="O334" s="832"/>
      <c r="P334" s="832"/>
      <c r="Q334" s="832"/>
      <c r="R334" s="832"/>
      <c r="S334" s="832"/>
      <c r="T334" s="832"/>
    </row>
    <row r="335" spans="1:20" x14ac:dyDescent="0.2">
      <c r="A335" s="832"/>
      <c r="B335" s="832"/>
      <c r="C335" s="832"/>
      <c r="D335" s="832"/>
      <c r="E335" s="832"/>
      <c r="F335" s="832"/>
      <c r="G335" s="832"/>
      <c r="H335" s="832"/>
      <c r="I335" s="832"/>
      <c r="J335" s="832"/>
      <c r="K335" s="832"/>
      <c r="L335" s="832"/>
      <c r="M335" s="832"/>
      <c r="N335" s="832"/>
      <c r="O335" s="832"/>
      <c r="P335" s="832"/>
      <c r="Q335" s="832"/>
      <c r="R335" s="832"/>
      <c r="S335" s="832"/>
      <c r="T335" s="832"/>
    </row>
    <row r="336" spans="1:20" x14ac:dyDescent="0.2">
      <c r="A336" s="832"/>
      <c r="B336" s="990" t="s">
        <v>1536</v>
      </c>
      <c r="C336" s="832"/>
      <c r="D336" s="832"/>
      <c r="E336" s="832"/>
      <c r="F336" s="832"/>
      <c r="G336" s="832"/>
      <c r="H336" s="832"/>
      <c r="I336" s="832"/>
      <c r="J336" s="832"/>
      <c r="K336" s="832"/>
      <c r="L336" s="832"/>
      <c r="M336" s="832"/>
      <c r="N336" s="832"/>
      <c r="O336" s="832"/>
      <c r="P336" s="832"/>
      <c r="Q336" s="832"/>
      <c r="R336" s="832"/>
      <c r="S336" s="832"/>
      <c r="T336" s="832"/>
    </row>
    <row r="337" spans="1:20" x14ac:dyDescent="0.2">
      <c r="A337" s="832"/>
      <c r="B337" s="990" t="s">
        <v>1537</v>
      </c>
      <c r="C337" s="832"/>
      <c r="D337" s="1015">
        <f>C330</f>
        <v>2.0999999999999999E-3</v>
      </c>
      <c r="E337" s="990" t="s">
        <v>1012</v>
      </c>
      <c r="F337" s="994">
        <f>$E$314</f>
        <v>75.58895089801328</v>
      </c>
      <c r="G337" s="990" t="s">
        <v>1012</v>
      </c>
      <c r="H337" s="994">
        <f>$F$321</f>
        <v>6.55</v>
      </c>
      <c r="I337" s="990" t="s">
        <v>1538</v>
      </c>
      <c r="J337" s="994">
        <f>D337*F337*H337^2</f>
        <v>6.8102054283942293</v>
      </c>
      <c r="K337" s="990" t="s">
        <v>58</v>
      </c>
      <c r="L337" s="832"/>
      <c r="M337" s="832"/>
      <c r="N337" s="832"/>
      <c r="O337" s="832"/>
      <c r="P337" s="832"/>
      <c r="Q337" s="832"/>
      <c r="R337" s="832"/>
      <c r="S337" s="832"/>
      <c r="T337" s="832"/>
    </row>
    <row r="338" spans="1:20" x14ac:dyDescent="0.2">
      <c r="A338" s="832"/>
      <c r="B338" s="990" t="s">
        <v>1539</v>
      </c>
      <c r="C338" s="832"/>
      <c r="D338" s="1015">
        <f>D330</f>
        <v>1.09E-2</v>
      </c>
      <c r="E338" s="990" t="s">
        <v>1012</v>
      </c>
      <c r="F338" s="994">
        <f>$E$314</f>
        <v>75.58895089801328</v>
      </c>
      <c r="G338" s="990" t="s">
        <v>1012</v>
      </c>
      <c r="H338" s="994">
        <f>$F$321</f>
        <v>6.55</v>
      </c>
      <c r="I338" s="990" t="s">
        <v>1538</v>
      </c>
      <c r="J338" s="994">
        <f>D338*F338*H338^2</f>
        <v>35.348209128331959</v>
      </c>
      <c r="K338" s="990" t="s">
        <v>58</v>
      </c>
      <c r="L338" s="832"/>
      <c r="M338" s="832"/>
      <c r="N338" s="832"/>
      <c r="O338" s="832"/>
      <c r="P338" s="832"/>
      <c r="Q338" s="832"/>
      <c r="R338" s="832"/>
      <c r="S338" s="832"/>
      <c r="T338" s="832"/>
    </row>
    <row r="339" spans="1:20" x14ac:dyDescent="0.2">
      <c r="A339" s="832"/>
      <c r="B339" s="832"/>
      <c r="C339" s="832"/>
      <c r="D339" s="832"/>
      <c r="E339" s="832"/>
      <c r="F339" s="832"/>
      <c r="G339" s="832"/>
      <c r="H339" s="832"/>
      <c r="I339" s="832"/>
      <c r="J339" s="832"/>
      <c r="K339" s="832"/>
      <c r="L339" s="832"/>
      <c r="M339" s="832"/>
      <c r="N339" s="832"/>
      <c r="O339" s="832"/>
      <c r="P339" s="832"/>
      <c r="Q339" s="832"/>
      <c r="R339" s="832"/>
      <c r="S339" s="832"/>
      <c r="T339" s="832"/>
    </row>
    <row r="340" spans="1:20" x14ac:dyDescent="0.2">
      <c r="A340" s="832"/>
      <c r="B340" s="990" t="s">
        <v>1540</v>
      </c>
      <c r="C340" s="832"/>
      <c r="D340" s="832"/>
      <c r="E340" s="832"/>
      <c r="F340" s="832"/>
      <c r="G340" s="832"/>
      <c r="H340" s="832"/>
      <c r="I340" s="832"/>
      <c r="J340" s="832"/>
      <c r="K340" s="832"/>
      <c r="L340" s="832"/>
      <c r="M340" s="832"/>
      <c r="N340" s="832"/>
      <c r="O340" s="832"/>
      <c r="P340" s="832"/>
      <c r="Q340" s="832"/>
      <c r="R340" s="832"/>
      <c r="S340" s="832"/>
      <c r="T340" s="832"/>
    </row>
    <row r="341" spans="1:20" x14ac:dyDescent="0.2">
      <c r="A341" s="832"/>
      <c r="B341" s="990" t="s">
        <v>1537</v>
      </c>
      <c r="C341" s="832"/>
      <c r="D341" s="1015">
        <f>E330</f>
        <v>3.3399999999999999E-2</v>
      </c>
      <c r="E341" s="990" t="s">
        <v>1012</v>
      </c>
      <c r="F341" s="994">
        <f>$E$314</f>
        <v>75.58895089801328</v>
      </c>
      <c r="G341" s="990" t="s">
        <v>1012</v>
      </c>
      <c r="H341" s="994">
        <f>$F$321</f>
        <v>6.55</v>
      </c>
      <c r="I341" s="990" t="s">
        <v>1538</v>
      </c>
      <c r="J341" s="994">
        <f>D341*F341*H341^2</f>
        <v>108.31469586112729</v>
      </c>
      <c r="K341" s="990" t="s">
        <v>58</v>
      </c>
      <c r="L341" s="832"/>
      <c r="M341" s="832"/>
      <c r="N341" s="832"/>
      <c r="O341" s="832"/>
      <c r="P341" s="832"/>
      <c r="Q341" s="832"/>
      <c r="R341" s="832"/>
      <c r="S341" s="832"/>
      <c r="T341" s="832"/>
    </row>
    <row r="342" spans="1:20" x14ac:dyDescent="0.2">
      <c r="A342" s="832"/>
      <c r="B342" s="990" t="s">
        <v>1539</v>
      </c>
      <c r="C342" s="832"/>
      <c r="D342" s="1015">
        <f>F330</f>
        <v>5.4600000000000003E-2</v>
      </c>
      <c r="E342" s="990" t="s">
        <v>1012</v>
      </c>
      <c r="F342" s="994">
        <f>$E$314</f>
        <v>75.58895089801328</v>
      </c>
      <c r="G342" s="990" t="s">
        <v>1012</v>
      </c>
      <c r="H342" s="994">
        <f>$F$321</f>
        <v>6.55</v>
      </c>
      <c r="I342" s="990" t="s">
        <v>1538</v>
      </c>
      <c r="J342" s="994">
        <f>D342*F342*H342^2</f>
        <v>177.06534113825001</v>
      </c>
      <c r="K342" s="990" t="s">
        <v>58</v>
      </c>
      <c r="L342" s="832"/>
      <c r="M342" s="832"/>
      <c r="N342" s="832"/>
      <c r="O342" s="832"/>
      <c r="P342" s="832"/>
      <c r="Q342" s="832"/>
      <c r="R342" s="832"/>
      <c r="S342" s="832"/>
      <c r="T342" s="832"/>
    </row>
    <row r="343" spans="1:20" x14ac:dyDescent="0.2">
      <c r="A343" s="832"/>
      <c r="B343" s="832"/>
      <c r="C343" s="832"/>
      <c r="D343" s="832"/>
      <c r="E343" s="832"/>
      <c r="F343" s="832"/>
      <c r="G343" s="832"/>
      <c r="H343" s="832"/>
      <c r="I343" s="832"/>
      <c r="J343" s="832"/>
      <c r="K343" s="832"/>
      <c r="L343" s="832"/>
      <c r="M343" s="832"/>
      <c r="N343" s="832"/>
      <c r="O343" s="832"/>
      <c r="P343" s="832"/>
      <c r="Q343" s="832"/>
      <c r="R343" s="832"/>
      <c r="S343" s="832"/>
      <c r="T343" s="832"/>
    </row>
    <row r="344" spans="1:20" x14ac:dyDescent="0.2">
      <c r="A344" s="832"/>
      <c r="B344" s="990" t="s">
        <v>1541</v>
      </c>
      <c r="C344" s="832"/>
      <c r="D344" s="1015">
        <f>G330</f>
        <v>0.2311</v>
      </c>
      <c r="E344" s="990" t="s">
        <v>1012</v>
      </c>
      <c r="F344" s="994">
        <f>$E$314</f>
        <v>75.58895089801328</v>
      </c>
      <c r="G344" s="990" t="s">
        <v>1012</v>
      </c>
      <c r="H344" s="994">
        <f>$F$321</f>
        <v>6.55</v>
      </c>
      <c r="I344" s="990" t="s">
        <v>55</v>
      </c>
      <c r="J344" s="994">
        <f>D344*F344*H344</f>
        <v>114.41937291907719</v>
      </c>
      <c r="K344" s="990" t="s">
        <v>57</v>
      </c>
      <c r="L344" s="832"/>
      <c r="M344" s="832"/>
      <c r="N344" s="832"/>
      <c r="O344" s="832"/>
      <c r="P344" s="832"/>
      <c r="Q344" s="832"/>
      <c r="R344" s="832"/>
      <c r="S344" s="832"/>
      <c r="T344" s="832"/>
    </row>
    <row r="345" spans="1:20" x14ac:dyDescent="0.2">
      <c r="A345" s="832"/>
      <c r="B345" s="990" t="s">
        <v>1542</v>
      </c>
      <c r="C345" s="832"/>
      <c r="D345" s="1015">
        <f>H330</f>
        <v>0.48270000000000002</v>
      </c>
      <c r="E345" s="990" t="s">
        <v>1012</v>
      </c>
      <c r="F345" s="994">
        <f>$E$314</f>
        <v>75.58895089801328</v>
      </c>
      <c r="G345" s="990" t="s">
        <v>1012</v>
      </c>
      <c r="H345" s="994">
        <f>$F$321</f>
        <v>6.55</v>
      </c>
      <c r="I345" s="990" t="s">
        <v>55</v>
      </c>
      <c r="J345" s="994">
        <f>D345*F345*H345</f>
        <v>238.98845221998513</v>
      </c>
      <c r="K345" s="990" t="s">
        <v>57</v>
      </c>
      <c r="L345" s="832"/>
      <c r="M345" s="832"/>
      <c r="N345" s="832"/>
      <c r="O345" s="832"/>
      <c r="P345" s="832"/>
      <c r="Q345" s="832"/>
      <c r="R345" s="832"/>
      <c r="S345" s="832"/>
      <c r="T345" s="832"/>
    </row>
    <row r="346" spans="1:20" x14ac:dyDescent="0.2">
      <c r="A346" s="832"/>
      <c r="B346" s="832"/>
      <c r="C346" s="832"/>
      <c r="D346" s="832"/>
      <c r="E346" s="832"/>
      <c r="F346" s="832"/>
      <c r="G346" s="832"/>
      <c r="H346" s="832"/>
      <c r="I346" s="832"/>
      <c r="J346" s="832"/>
      <c r="K346" s="832"/>
      <c r="L346" s="832"/>
      <c r="M346" s="832"/>
      <c r="N346" s="832"/>
      <c r="O346" s="832"/>
      <c r="P346" s="832"/>
      <c r="Q346" s="832"/>
      <c r="R346" s="832"/>
      <c r="S346" s="832"/>
      <c r="T346" s="832"/>
    </row>
    <row r="347" spans="1:20" x14ac:dyDescent="0.2">
      <c r="A347" s="990" t="s">
        <v>986</v>
      </c>
      <c r="B347" s="832"/>
      <c r="C347" s="832"/>
      <c r="D347" s="832"/>
      <c r="E347" s="832"/>
      <c r="F347" s="832"/>
      <c r="G347" s="832"/>
      <c r="H347" s="832"/>
      <c r="I347" s="832"/>
      <c r="J347" s="832"/>
      <c r="K347" s="832"/>
      <c r="L347" s="832"/>
      <c r="M347" s="832"/>
      <c r="N347" s="832"/>
      <c r="O347" s="832"/>
      <c r="P347" s="832"/>
      <c r="Q347" s="832"/>
      <c r="R347" s="832"/>
      <c r="S347" s="832"/>
      <c r="T347" s="832"/>
    </row>
    <row r="348" spans="1:20" x14ac:dyDescent="0.2">
      <c r="A348" s="990" t="s">
        <v>950</v>
      </c>
      <c r="B348" s="832"/>
      <c r="C348" s="832"/>
      <c r="D348" s="832"/>
      <c r="E348" s="832"/>
      <c r="F348" s="832"/>
      <c r="G348" s="832"/>
      <c r="H348" s="832"/>
      <c r="I348" s="832"/>
      <c r="J348" s="832"/>
      <c r="K348" s="832"/>
      <c r="L348" s="832"/>
      <c r="M348" s="832"/>
      <c r="N348" s="832"/>
      <c r="O348" s="832"/>
      <c r="P348" s="832"/>
      <c r="Q348" s="832"/>
      <c r="R348" s="832"/>
      <c r="S348" s="832"/>
      <c r="T348" s="832"/>
    </row>
    <row r="349" spans="1:20" x14ac:dyDescent="0.2">
      <c r="A349" s="990" t="s">
        <v>59</v>
      </c>
      <c r="B349" s="832"/>
      <c r="C349" s="832"/>
      <c r="D349" s="832"/>
      <c r="E349" s="832"/>
      <c r="F349" s="832"/>
      <c r="G349" s="832"/>
      <c r="H349" s="832"/>
      <c r="I349" s="832"/>
      <c r="J349" s="832"/>
      <c r="K349" s="832"/>
      <c r="L349" s="832"/>
      <c r="M349" s="832"/>
      <c r="N349" s="832"/>
      <c r="O349" s="832"/>
      <c r="P349" s="832"/>
      <c r="Q349" s="832"/>
      <c r="R349" s="832"/>
      <c r="S349" s="832"/>
      <c r="T349" s="832"/>
    </row>
    <row r="350" spans="1:20" x14ac:dyDescent="0.2">
      <c r="A350" s="996" t="s">
        <v>1515</v>
      </c>
      <c r="B350" s="832"/>
      <c r="C350" s="832"/>
      <c r="D350" s="832"/>
      <c r="E350" s="832"/>
      <c r="F350" s="832"/>
      <c r="G350" s="832"/>
      <c r="H350" s="832"/>
      <c r="I350" s="832"/>
      <c r="J350" s="832"/>
      <c r="K350" s="832"/>
      <c r="L350" s="832"/>
      <c r="M350" s="832"/>
      <c r="N350" s="832"/>
      <c r="O350" s="832"/>
      <c r="P350" s="832"/>
      <c r="Q350" s="832"/>
      <c r="R350" s="832"/>
      <c r="S350" s="832"/>
      <c r="T350" s="832"/>
    </row>
    <row r="351" spans="1:20" x14ac:dyDescent="0.2">
      <c r="A351" s="832"/>
      <c r="B351" s="990" t="s">
        <v>1980</v>
      </c>
      <c r="C351" s="832"/>
      <c r="D351" s="832"/>
      <c r="E351" s="832"/>
      <c r="F351" s="832"/>
      <c r="G351" s="832"/>
      <c r="H351" s="832"/>
      <c r="I351" s="832"/>
      <c r="J351" s="832"/>
      <c r="K351" s="832"/>
      <c r="L351" s="832"/>
      <c r="M351" s="832"/>
      <c r="N351" s="832"/>
      <c r="O351" s="832"/>
      <c r="P351" s="832"/>
      <c r="Q351" s="832"/>
      <c r="R351" s="832"/>
      <c r="S351" s="832"/>
      <c r="T351" s="832"/>
    </row>
    <row r="352" spans="1:20" x14ac:dyDescent="0.2">
      <c r="A352" s="832"/>
      <c r="B352" s="990" t="s">
        <v>1981</v>
      </c>
      <c r="C352" s="832"/>
      <c r="D352" s="832"/>
      <c r="E352" s="832"/>
      <c r="F352" s="832"/>
      <c r="G352" s="832"/>
      <c r="H352" s="832"/>
      <c r="I352" s="832"/>
      <c r="J352" s="832"/>
      <c r="K352" s="832"/>
      <c r="L352" s="832"/>
      <c r="M352" s="832"/>
      <c r="N352" s="832"/>
      <c r="O352" s="832"/>
      <c r="P352" s="832"/>
      <c r="Q352" s="832"/>
      <c r="R352" s="832"/>
      <c r="S352" s="832"/>
      <c r="T352" s="832"/>
    </row>
    <row r="353" spans="1:20" x14ac:dyDescent="0.2">
      <c r="A353" s="832"/>
      <c r="B353" s="990" t="s">
        <v>1982</v>
      </c>
      <c r="C353" s="832"/>
      <c r="D353" s="832"/>
      <c r="E353" s="832"/>
      <c r="F353" s="832"/>
      <c r="G353" s="832"/>
      <c r="H353" s="832"/>
      <c r="I353" s="832"/>
      <c r="J353" s="832"/>
      <c r="K353" s="832"/>
      <c r="L353" s="832"/>
      <c r="M353" s="832"/>
      <c r="N353" s="832"/>
      <c r="O353" s="832"/>
      <c r="P353" s="832"/>
      <c r="Q353" s="832"/>
      <c r="R353" s="832"/>
      <c r="S353" s="832"/>
      <c r="T353" s="832"/>
    </row>
    <row r="354" spans="1:20" x14ac:dyDescent="0.2">
      <c r="A354" s="832"/>
      <c r="B354" s="990" t="s">
        <v>1983</v>
      </c>
      <c r="C354" s="832"/>
      <c r="D354" s="832"/>
      <c r="E354" s="832"/>
      <c r="F354" s="832"/>
      <c r="G354" s="832"/>
      <c r="H354" s="832"/>
      <c r="I354" s="832"/>
      <c r="J354" s="832"/>
      <c r="K354" s="832"/>
      <c r="L354" s="832"/>
      <c r="M354" s="832"/>
      <c r="N354" s="832"/>
      <c r="O354" s="832"/>
      <c r="P354" s="832"/>
      <c r="Q354" s="832"/>
      <c r="R354" s="832"/>
      <c r="S354" s="832"/>
      <c r="T354" s="832"/>
    </row>
    <row r="355" spans="1:20" x14ac:dyDescent="0.2">
      <c r="A355" s="832"/>
      <c r="B355" s="990" t="s">
        <v>1984</v>
      </c>
      <c r="C355" s="832"/>
      <c r="D355" s="832"/>
      <c r="E355" s="832"/>
      <c r="F355" s="832"/>
      <c r="G355" s="832"/>
      <c r="H355" s="832"/>
      <c r="I355" s="832"/>
      <c r="J355" s="832"/>
      <c r="K355" s="832"/>
      <c r="L355" s="832"/>
      <c r="M355" s="832"/>
      <c r="N355" s="832"/>
      <c r="O355" s="832"/>
      <c r="P355" s="832"/>
      <c r="Q355" s="832"/>
      <c r="R355" s="832"/>
      <c r="S355" s="832"/>
      <c r="T355" s="832"/>
    </row>
    <row r="356" spans="1:20" x14ac:dyDescent="0.2">
      <c r="A356" s="832"/>
      <c r="B356" s="832"/>
      <c r="C356" s="832"/>
      <c r="D356" s="832"/>
      <c r="E356" s="832"/>
      <c r="F356" s="832"/>
      <c r="G356" s="832"/>
      <c r="H356" s="832"/>
      <c r="I356" s="832"/>
      <c r="J356" s="832"/>
      <c r="K356" s="832"/>
      <c r="L356" s="832"/>
      <c r="M356" s="832"/>
      <c r="N356" s="832"/>
      <c r="O356" s="832"/>
      <c r="P356" s="832"/>
      <c r="Q356" s="832"/>
      <c r="R356" s="832"/>
      <c r="S356" s="832"/>
      <c r="T356" s="832"/>
    </row>
    <row r="357" spans="1:20" x14ac:dyDescent="0.2">
      <c r="A357" s="990" t="s">
        <v>950</v>
      </c>
      <c r="B357" s="832"/>
      <c r="C357" s="832"/>
      <c r="D357" s="832"/>
      <c r="E357" s="832"/>
      <c r="F357" s="832"/>
      <c r="G357" s="832"/>
      <c r="H357" s="832"/>
      <c r="I357" s="832"/>
      <c r="J357" s="832"/>
      <c r="K357" s="832"/>
      <c r="L357" s="832"/>
      <c r="M357" s="832"/>
      <c r="N357" s="832"/>
      <c r="O357" s="832"/>
      <c r="P357" s="832"/>
      <c r="Q357" s="832"/>
      <c r="R357" s="832"/>
      <c r="S357" s="832"/>
      <c r="T357" s="832"/>
    </row>
    <row r="358" spans="1:20" x14ac:dyDescent="0.2">
      <c r="A358" s="832"/>
      <c r="B358" s="990" t="s">
        <v>1543</v>
      </c>
      <c r="C358" s="832"/>
      <c r="D358" s="832"/>
      <c r="E358" s="832"/>
      <c r="F358" s="832"/>
      <c r="G358" s="832"/>
      <c r="H358" s="832"/>
      <c r="I358" s="832"/>
      <c r="J358" s="832"/>
      <c r="K358" s="832"/>
      <c r="L358" s="832"/>
      <c r="M358" s="832"/>
      <c r="N358" s="832"/>
      <c r="O358" s="832"/>
      <c r="P358" s="832"/>
      <c r="Q358" s="832"/>
      <c r="R358" s="832"/>
      <c r="S358" s="832"/>
      <c r="T358" s="832"/>
    </row>
    <row r="359" spans="1:20" x14ac:dyDescent="0.2">
      <c r="A359" s="832"/>
      <c r="B359" s="996" t="s">
        <v>1515</v>
      </c>
      <c r="C359" s="832"/>
      <c r="D359" s="832"/>
      <c r="E359" s="832"/>
      <c r="F359" s="832"/>
      <c r="G359" s="832"/>
      <c r="H359" s="832"/>
      <c r="I359" s="832"/>
      <c r="J359" s="832"/>
      <c r="K359" s="832"/>
      <c r="L359" s="832"/>
      <c r="M359" s="832"/>
      <c r="N359" s="832"/>
      <c r="O359" s="832"/>
      <c r="P359" s="832"/>
      <c r="Q359" s="832"/>
      <c r="R359" s="832"/>
      <c r="S359" s="832"/>
      <c r="T359" s="832"/>
    </row>
    <row r="360" spans="1:20" x14ac:dyDescent="0.2">
      <c r="A360" s="832"/>
      <c r="B360" s="990" t="s">
        <v>499</v>
      </c>
      <c r="C360" s="832"/>
      <c r="D360" s="832"/>
      <c r="E360" s="832"/>
      <c r="F360" s="832"/>
      <c r="G360" s="832"/>
      <c r="H360" s="832"/>
      <c r="I360" s="832"/>
      <c r="J360" s="832"/>
      <c r="K360" s="832"/>
      <c r="L360" s="832"/>
      <c r="M360" s="832"/>
      <c r="N360" s="832"/>
      <c r="O360" s="832"/>
      <c r="P360" s="832"/>
      <c r="Q360" s="832"/>
      <c r="R360" s="832"/>
      <c r="S360" s="832"/>
      <c r="T360" s="832"/>
    </row>
    <row r="361" spans="1:20" x14ac:dyDescent="0.2">
      <c r="A361" s="832"/>
      <c r="B361" s="832"/>
      <c r="C361" s="832"/>
      <c r="D361" s="832"/>
      <c r="E361" s="832"/>
      <c r="F361" s="832"/>
      <c r="G361" s="832"/>
      <c r="H361" s="832"/>
      <c r="I361" s="832"/>
      <c r="J361" s="832"/>
      <c r="K361" s="832"/>
      <c r="L361" s="832"/>
      <c r="M361" s="832"/>
      <c r="N361" s="832"/>
      <c r="O361" s="832"/>
      <c r="P361" s="832"/>
      <c r="Q361" s="832"/>
      <c r="R361" s="832"/>
      <c r="S361" s="832"/>
      <c r="T361" s="832"/>
    </row>
    <row r="362" spans="1:20" x14ac:dyDescent="0.2">
      <c r="A362" s="832"/>
      <c r="B362" s="990" t="s">
        <v>1150</v>
      </c>
      <c r="C362" s="832"/>
      <c r="D362" s="832"/>
      <c r="E362" s="832"/>
      <c r="F362" s="832"/>
      <c r="G362" s="832"/>
      <c r="H362" s="832"/>
      <c r="I362" s="832"/>
      <c r="J362" s="832"/>
      <c r="K362" s="832"/>
      <c r="L362" s="832"/>
      <c r="M362" s="832"/>
      <c r="N362" s="832"/>
      <c r="O362" s="832"/>
      <c r="P362" s="832"/>
      <c r="Q362" s="832"/>
      <c r="R362" s="832"/>
      <c r="S362" s="832"/>
      <c r="T362" s="832"/>
    </row>
    <row r="363" spans="1:20" x14ac:dyDescent="0.2">
      <c r="A363" s="832"/>
      <c r="B363" s="990" t="s">
        <v>500</v>
      </c>
      <c r="C363" s="832"/>
      <c r="D363" s="832"/>
      <c r="E363" s="994">
        <f>J341</f>
        <v>108.31469586112729</v>
      </c>
      <c r="F363" s="990" t="s">
        <v>58</v>
      </c>
      <c r="G363" s="832"/>
      <c r="H363" s="832"/>
      <c r="I363" s="832"/>
      <c r="J363" s="832"/>
      <c r="K363" s="832"/>
      <c r="L363" s="832"/>
      <c r="M363" s="832"/>
      <c r="N363" s="832"/>
      <c r="O363" s="832"/>
      <c r="P363" s="832"/>
      <c r="Q363" s="832"/>
      <c r="R363" s="832"/>
      <c r="S363" s="832"/>
      <c r="T363" s="832"/>
    </row>
    <row r="364" spans="1:20" x14ac:dyDescent="0.2">
      <c r="A364" s="832"/>
      <c r="B364" s="990" t="s">
        <v>1151</v>
      </c>
      <c r="C364" s="832"/>
      <c r="D364" s="832"/>
      <c r="E364" s="999">
        <f>$F$128</f>
        <v>1252.9941383359403</v>
      </c>
      <c r="F364" s="990" t="s">
        <v>35</v>
      </c>
      <c r="G364" s="832"/>
      <c r="H364" s="832"/>
      <c r="I364" s="832"/>
      <c r="J364" s="832"/>
      <c r="K364" s="832"/>
      <c r="L364" s="832"/>
      <c r="M364" s="832"/>
      <c r="N364" s="832"/>
      <c r="O364" s="832"/>
      <c r="P364" s="832"/>
      <c r="Q364" s="832"/>
      <c r="R364" s="832"/>
      <c r="S364" s="832"/>
      <c r="T364" s="832"/>
    </row>
    <row r="365" spans="1:20" x14ac:dyDescent="0.2">
      <c r="A365" s="832"/>
      <c r="B365" s="990" t="s">
        <v>1834</v>
      </c>
      <c r="C365" s="832"/>
      <c r="D365" s="832"/>
      <c r="E365" s="832"/>
      <c r="F365" s="832"/>
      <c r="G365" s="832"/>
      <c r="H365" s="832"/>
      <c r="I365" s="832"/>
      <c r="J365" s="832"/>
      <c r="K365" s="832"/>
      <c r="L365" s="832"/>
      <c r="M365" s="832"/>
      <c r="N365" s="832"/>
      <c r="O365" s="832"/>
      <c r="P365" s="832"/>
      <c r="Q365" s="832"/>
      <c r="R365" s="832"/>
      <c r="S365" s="832"/>
      <c r="T365" s="832"/>
    </row>
    <row r="366" spans="1:20" x14ac:dyDescent="0.2">
      <c r="A366" s="832"/>
      <c r="B366" s="990" t="s">
        <v>60</v>
      </c>
      <c r="C366" s="832"/>
      <c r="D366" s="832"/>
      <c r="E366" s="997">
        <f>SQRT(E363/E364)*1000</f>
        <v>294.01478668464307</v>
      </c>
      <c r="F366" s="990" t="s">
        <v>43</v>
      </c>
      <c r="G366" s="832"/>
      <c r="H366" s="832"/>
      <c r="I366" s="832"/>
      <c r="J366" s="832"/>
      <c r="K366" s="832"/>
      <c r="L366" s="832"/>
      <c r="M366" s="832"/>
      <c r="N366" s="832"/>
      <c r="O366" s="832"/>
      <c r="P366" s="832"/>
      <c r="Q366" s="832"/>
      <c r="R366" s="832"/>
      <c r="S366" s="832"/>
      <c r="T366" s="832"/>
    </row>
    <row r="367" spans="1:20" x14ac:dyDescent="0.2">
      <c r="A367" s="832"/>
      <c r="B367" s="832"/>
      <c r="C367" s="832"/>
      <c r="D367" s="832"/>
      <c r="E367" s="832"/>
      <c r="F367" s="832"/>
      <c r="G367" s="832"/>
      <c r="H367" s="832"/>
      <c r="I367" s="832"/>
      <c r="J367" s="832"/>
      <c r="K367" s="832"/>
      <c r="L367" s="832"/>
      <c r="M367" s="832"/>
      <c r="N367" s="832"/>
      <c r="O367" s="832"/>
      <c r="P367" s="832"/>
      <c r="Q367" s="832"/>
      <c r="R367" s="832"/>
      <c r="S367" s="832"/>
      <c r="T367" s="832"/>
    </row>
    <row r="368" spans="1:20" x14ac:dyDescent="0.2">
      <c r="A368" s="832"/>
      <c r="B368" s="990" t="s">
        <v>1153</v>
      </c>
      <c r="C368" s="832"/>
      <c r="D368" s="832"/>
      <c r="E368" s="832"/>
      <c r="F368" s="832"/>
      <c r="G368" s="832"/>
      <c r="H368" s="832"/>
      <c r="I368" s="832"/>
      <c r="J368" s="832"/>
      <c r="K368" s="832"/>
      <c r="L368" s="832"/>
      <c r="M368" s="832"/>
      <c r="N368" s="832"/>
      <c r="O368" s="832"/>
      <c r="P368" s="832"/>
      <c r="Q368" s="832"/>
      <c r="R368" s="832"/>
      <c r="S368" s="832"/>
      <c r="T368" s="832"/>
    </row>
    <row r="369" spans="1:20" x14ac:dyDescent="0.2">
      <c r="A369" s="832"/>
      <c r="B369" s="990" t="s">
        <v>501</v>
      </c>
      <c r="C369" s="832"/>
      <c r="D369" s="832"/>
      <c r="E369" s="994">
        <f>J344</f>
        <v>114.41937291907719</v>
      </c>
      <c r="F369" s="990" t="s">
        <v>57</v>
      </c>
      <c r="G369" s="832"/>
      <c r="H369" s="832"/>
      <c r="I369" s="832"/>
      <c r="J369" s="832"/>
      <c r="K369" s="832"/>
      <c r="L369" s="832"/>
      <c r="M369" s="832"/>
      <c r="N369" s="832"/>
      <c r="O369" s="832"/>
      <c r="P369" s="832"/>
      <c r="Q369" s="832"/>
      <c r="R369" s="832"/>
      <c r="S369" s="832"/>
      <c r="T369" s="832"/>
    </row>
    <row r="370" spans="1:20" x14ac:dyDescent="0.2">
      <c r="A370" s="832"/>
      <c r="B370" s="990" t="s">
        <v>1154</v>
      </c>
      <c r="C370" s="832"/>
      <c r="D370" s="832"/>
      <c r="E370" s="832"/>
      <c r="F370" s="999">
        <f>$G$57</f>
        <v>428.65627255412932</v>
      </c>
      <c r="G370" s="990" t="s">
        <v>35</v>
      </c>
      <c r="H370" s="832"/>
      <c r="I370" s="832"/>
      <c r="J370" s="832"/>
      <c r="K370" s="832"/>
      <c r="L370" s="832"/>
      <c r="M370" s="832"/>
      <c r="N370" s="832"/>
      <c r="O370" s="832"/>
      <c r="P370" s="832"/>
      <c r="Q370" s="832"/>
      <c r="R370" s="832"/>
      <c r="S370" s="832"/>
      <c r="T370" s="832"/>
    </row>
    <row r="371" spans="1:20" x14ac:dyDescent="0.2">
      <c r="A371" s="832"/>
      <c r="B371" s="990" t="s">
        <v>61</v>
      </c>
      <c r="C371" s="832"/>
      <c r="D371" s="997">
        <f>E369/F370*1000</f>
        <v>266.9256937203192</v>
      </c>
      <c r="E371" s="990" t="s">
        <v>43</v>
      </c>
      <c r="F371" s="832"/>
      <c r="G371" s="832"/>
      <c r="H371" s="832"/>
      <c r="I371" s="832"/>
      <c r="J371" s="832"/>
      <c r="K371" s="832"/>
      <c r="L371" s="832"/>
      <c r="M371" s="832"/>
      <c r="N371" s="832"/>
      <c r="O371" s="832"/>
      <c r="P371" s="832"/>
      <c r="Q371" s="832"/>
      <c r="R371" s="832"/>
      <c r="S371" s="832"/>
      <c r="T371" s="832"/>
    </row>
    <row r="372" spans="1:20" x14ac:dyDescent="0.2">
      <c r="A372" s="832"/>
      <c r="B372" s="832"/>
      <c r="C372" s="832"/>
      <c r="D372" s="832"/>
      <c r="E372" s="832"/>
      <c r="F372" s="832"/>
      <c r="G372" s="832"/>
      <c r="H372" s="832"/>
      <c r="I372" s="832"/>
      <c r="J372" s="832"/>
      <c r="K372" s="832"/>
      <c r="L372" s="832"/>
      <c r="M372" s="832"/>
      <c r="N372" s="832"/>
      <c r="O372" s="832"/>
      <c r="P372" s="832"/>
      <c r="Q372" s="832"/>
      <c r="R372" s="832"/>
      <c r="S372" s="832"/>
      <c r="T372" s="832"/>
    </row>
    <row r="373" spans="1:20" x14ac:dyDescent="0.2">
      <c r="A373" s="832"/>
      <c r="B373" s="832"/>
      <c r="C373" s="832"/>
      <c r="D373" s="832"/>
      <c r="E373" s="832"/>
      <c r="F373" s="832"/>
      <c r="G373" s="832"/>
      <c r="H373" s="832"/>
      <c r="I373" s="832"/>
      <c r="J373" s="832"/>
      <c r="K373" s="832"/>
      <c r="L373" s="832"/>
      <c r="M373" s="832"/>
      <c r="N373" s="832"/>
      <c r="O373" s="832"/>
      <c r="P373" s="832"/>
      <c r="Q373" s="832"/>
      <c r="R373" s="832"/>
      <c r="S373" s="832"/>
      <c r="T373" s="832"/>
    </row>
    <row r="374" spans="1:20" x14ac:dyDescent="0.2">
      <c r="A374" s="832"/>
      <c r="B374" s="994" t="str">
        <f>IF(E366&gt;=D371,"dr(Moment)  &gt;  dr(Shear)","dr(Moment)  &lt;  dr(Shear)")</f>
        <v>dr(Moment)  &gt;  dr(Shear)</v>
      </c>
      <c r="C374" s="832"/>
      <c r="D374" s="832"/>
      <c r="E374" s="990" t="s">
        <v>1156</v>
      </c>
      <c r="F374" s="832"/>
      <c r="G374" s="997">
        <f>IF(E366&gt;=D371,E366,D371)</f>
        <v>294.01478668464307</v>
      </c>
      <c r="H374" s="990" t="s">
        <v>62</v>
      </c>
      <c r="I374" s="832"/>
      <c r="J374" s="832"/>
      <c r="K374" s="832"/>
      <c r="L374" s="832"/>
      <c r="M374" s="832"/>
      <c r="N374" s="832"/>
      <c r="O374" s="832"/>
      <c r="P374" s="832"/>
      <c r="Q374" s="832"/>
      <c r="R374" s="832"/>
      <c r="S374" s="832"/>
      <c r="T374" s="832"/>
    </row>
    <row r="375" spans="1:20" x14ac:dyDescent="0.2">
      <c r="A375" s="832"/>
      <c r="B375" s="990" t="s">
        <v>1501</v>
      </c>
      <c r="C375" s="832"/>
      <c r="D375" s="832"/>
      <c r="E375" s="832"/>
      <c r="F375" s="832"/>
      <c r="G375" s="997">
        <f>$G$62</f>
        <v>75</v>
      </c>
      <c r="H375" s="990" t="s">
        <v>43</v>
      </c>
      <c r="I375" s="832"/>
      <c r="J375" s="832"/>
      <c r="K375" s="832"/>
      <c r="L375" s="832"/>
      <c r="M375" s="832"/>
      <c r="N375" s="832"/>
      <c r="O375" s="832"/>
      <c r="P375" s="832"/>
      <c r="Q375" s="832"/>
      <c r="R375" s="832"/>
      <c r="S375" s="832"/>
      <c r="T375" s="832"/>
    </row>
    <row r="376" spans="1:20" x14ac:dyDescent="0.2">
      <c r="A376" s="832"/>
      <c r="B376" s="990" t="s">
        <v>63</v>
      </c>
      <c r="C376" s="832"/>
      <c r="D376" s="997"/>
      <c r="E376" s="990"/>
      <c r="F376" s="997"/>
      <c r="G376" s="997">
        <f>G374+G375</f>
        <v>369.01478668464307</v>
      </c>
      <c r="H376" s="990" t="s">
        <v>43</v>
      </c>
      <c r="I376" s="832"/>
      <c r="J376" s="832"/>
      <c r="K376" s="832"/>
      <c r="L376" s="832"/>
      <c r="M376" s="832"/>
      <c r="N376" s="832"/>
      <c r="O376" s="832"/>
      <c r="P376" s="832"/>
      <c r="Q376" s="832"/>
      <c r="R376" s="832"/>
      <c r="S376" s="832"/>
      <c r="T376" s="832"/>
    </row>
    <row r="377" spans="1:20" x14ac:dyDescent="0.2">
      <c r="A377" s="832"/>
      <c r="B377" s="990" t="s">
        <v>574</v>
      </c>
      <c r="C377" s="832"/>
      <c r="D377" s="832"/>
      <c r="E377" s="832"/>
      <c r="F377" s="832"/>
      <c r="G377" s="997">
        <f>E35</f>
        <v>700</v>
      </c>
      <c r="H377" s="990" t="s">
        <v>43</v>
      </c>
      <c r="I377" s="832"/>
      <c r="J377" s="832"/>
      <c r="K377" s="832"/>
      <c r="L377" s="832"/>
      <c r="M377" s="832"/>
      <c r="N377" s="832"/>
      <c r="O377" s="832"/>
      <c r="P377" s="832"/>
      <c r="Q377" s="832"/>
      <c r="R377" s="832"/>
      <c r="S377" s="832"/>
      <c r="T377" s="832"/>
    </row>
    <row r="378" spans="1:20" x14ac:dyDescent="0.2">
      <c r="A378" s="832"/>
      <c r="B378" s="832"/>
      <c r="C378" s="832"/>
      <c r="D378" s="832"/>
      <c r="E378" s="832"/>
      <c r="F378" s="832"/>
      <c r="G378" s="832"/>
      <c r="H378" s="832"/>
      <c r="I378" s="832"/>
      <c r="J378" s="832"/>
      <c r="K378" s="832"/>
      <c r="L378" s="832"/>
      <c r="M378" s="832"/>
      <c r="N378" s="832"/>
      <c r="O378" s="832"/>
      <c r="P378" s="832"/>
      <c r="Q378" s="832"/>
      <c r="R378" s="832"/>
      <c r="S378" s="832"/>
      <c r="T378" s="832"/>
    </row>
    <row r="379" spans="1:20" x14ac:dyDescent="0.2">
      <c r="A379" s="832"/>
      <c r="B379" s="1013" t="str">
        <f>IF(G377&gt;=G376,"ta  &gt;  tr     Design is OK.","ta  &lt;  tr     Design is Not OK.")</f>
        <v>ta  &gt;  tr     Design is OK.</v>
      </c>
      <c r="C379" s="832"/>
      <c r="D379" s="832"/>
      <c r="E379" s="832"/>
      <c r="F379" s="990" t="s">
        <v>64</v>
      </c>
      <c r="G379" s="832"/>
      <c r="H379" s="832"/>
      <c r="I379" s="832"/>
      <c r="J379" s="832"/>
      <c r="K379" s="832"/>
      <c r="L379" s="832"/>
      <c r="M379" s="832"/>
      <c r="N379" s="832"/>
      <c r="O379" s="832"/>
      <c r="P379" s="832"/>
      <c r="Q379" s="832"/>
      <c r="R379" s="832"/>
      <c r="S379" s="832"/>
      <c r="T379" s="832"/>
    </row>
    <row r="380" spans="1:20" x14ac:dyDescent="0.2">
      <c r="A380" s="832"/>
      <c r="B380" s="1029" t="str">
        <f>IF(G377&gt;1.5*G376,"WARNING:  Actual Member Thickness is considerably larger (&gt;50%) than required.","")</f>
        <v>WARNING:  Actual Member Thickness is considerably larger (&gt;50%) than required.</v>
      </c>
      <c r="C380" s="832"/>
      <c r="D380" s="832"/>
      <c r="E380" s="832"/>
      <c r="F380" s="832"/>
      <c r="G380" s="832"/>
      <c r="H380" s="832"/>
      <c r="I380" s="832"/>
      <c r="J380" s="832"/>
      <c r="K380" s="832"/>
      <c r="L380" s="832"/>
      <c r="M380" s="832"/>
      <c r="N380" s="832"/>
      <c r="O380" s="832"/>
      <c r="P380" s="832"/>
      <c r="Q380" s="832"/>
      <c r="R380" s="832"/>
      <c r="S380" s="832"/>
      <c r="T380" s="832"/>
    </row>
    <row r="381" spans="1:20" x14ac:dyDescent="0.2">
      <c r="A381" s="990" t="s">
        <v>986</v>
      </c>
      <c r="B381" s="832"/>
      <c r="C381" s="832"/>
      <c r="D381" s="832"/>
      <c r="E381" s="832"/>
      <c r="F381" s="832"/>
      <c r="G381" s="832"/>
      <c r="H381" s="832"/>
      <c r="I381" s="832"/>
      <c r="J381" s="832"/>
      <c r="K381" s="832"/>
      <c r="L381" s="832"/>
      <c r="M381" s="832"/>
      <c r="N381" s="832"/>
      <c r="O381" s="832"/>
      <c r="P381" s="832"/>
      <c r="Q381" s="832"/>
      <c r="R381" s="832"/>
      <c r="S381" s="832"/>
      <c r="T381" s="832"/>
    </row>
    <row r="382" spans="1:20" x14ac:dyDescent="0.2">
      <c r="A382" s="990" t="s">
        <v>950</v>
      </c>
      <c r="B382" s="832"/>
      <c r="C382" s="832"/>
      <c r="D382" s="832"/>
      <c r="E382" s="832"/>
      <c r="F382" s="832"/>
      <c r="G382" s="832"/>
      <c r="H382" s="832"/>
      <c r="I382" s="832"/>
      <c r="J382" s="832"/>
      <c r="K382" s="832"/>
      <c r="L382" s="832"/>
      <c r="M382" s="832"/>
      <c r="N382" s="832"/>
      <c r="O382" s="832"/>
      <c r="P382" s="832"/>
      <c r="Q382" s="832"/>
      <c r="R382" s="832"/>
      <c r="S382" s="832"/>
      <c r="T382" s="832"/>
    </row>
    <row r="383" spans="1:20" x14ac:dyDescent="0.2">
      <c r="A383" s="832"/>
      <c r="B383" s="990" t="s">
        <v>1544</v>
      </c>
      <c r="C383" s="832"/>
      <c r="D383" s="832"/>
      <c r="E383" s="832"/>
      <c r="F383" s="832"/>
      <c r="G383" s="832"/>
      <c r="H383" s="832"/>
      <c r="I383" s="832"/>
      <c r="J383" s="832"/>
      <c r="K383" s="832"/>
      <c r="L383" s="832"/>
      <c r="M383" s="832"/>
      <c r="N383" s="832"/>
      <c r="O383" s="832"/>
      <c r="P383" s="832"/>
      <c r="Q383" s="832"/>
      <c r="R383" s="832"/>
      <c r="S383" s="832"/>
      <c r="T383" s="832"/>
    </row>
    <row r="384" spans="1:20" x14ac:dyDescent="0.2">
      <c r="A384" s="832"/>
      <c r="B384" s="996" t="s">
        <v>1515</v>
      </c>
      <c r="C384" s="832"/>
      <c r="D384" s="832"/>
      <c r="E384" s="832"/>
      <c r="F384" s="832"/>
      <c r="G384" s="832"/>
      <c r="H384" s="832"/>
      <c r="I384" s="832"/>
      <c r="J384" s="832"/>
      <c r="K384" s="832"/>
      <c r="L384" s="832"/>
      <c r="M384" s="832"/>
      <c r="N384" s="832"/>
      <c r="O384" s="832"/>
      <c r="P384" s="832"/>
      <c r="Q384" s="832"/>
      <c r="R384" s="832"/>
      <c r="S384" s="832"/>
      <c r="T384" s="832"/>
    </row>
    <row r="385" spans="1:20" x14ac:dyDescent="0.2">
      <c r="A385" s="832"/>
      <c r="B385" s="990" t="s">
        <v>499</v>
      </c>
      <c r="C385" s="832"/>
      <c r="D385" s="832"/>
      <c r="E385" s="832"/>
      <c r="F385" s="832"/>
      <c r="G385" s="832"/>
      <c r="H385" s="832"/>
      <c r="I385" s="832"/>
      <c r="J385" s="832"/>
      <c r="K385" s="832"/>
      <c r="L385" s="832"/>
      <c r="M385" s="832"/>
      <c r="N385" s="832"/>
      <c r="O385" s="832"/>
      <c r="P385" s="832"/>
      <c r="Q385" s="832"/>
      <c r="R385" s="832"/>
      <c r="S385" s="832"/>
      <c r="T385" s="832"/>
    </row>
    <row r="386" spans="1:20" x14ac:dyDescent="0.2">
      <c r="A386" s="832"/>
      <c r="B386" s="832"/>
      <c r="C386" s="832"/>
      <c r="D386" s="832"/>
      <c r="E386" s="832"/>
      <c r="F386" s="832"/>
      <c r="G386" s="832"/>
      <c r="H386" s="832"/>
      <c r="I386" s="832"/>
      <c r="J386" s="832"/>
      <c r="K386" s="832"/>
      <c r="L386" s="832"/>
      <c r="M386" s="832"/>
      <c r="N386" s="832"/>
      <c r="O386" s="832"/>
      <c r="P386" s="832"/>
      <c r="Q386" s="832"/>
      <c r="R386" s="832"/>
      <c r="S386" s="832"/>
      <c r="T386" s="832"/>
    </row>
    <row r="387" spans="1:20" x14ac:dyDescent="0.2">
      <c r="A387" s="832"/>
      <c r="B387" s="990" t="s">
        <v>1150</v>
      </c>
      <c r="C387" s="832"/>
      <c r="D387" s="832"/>
      <c r="E387" s="832"/>
      <c r="F387" s="832"/>
      <c r="G387" s="832"/>
      <c r="H387" s="832"/>
      <c r="I387" s="832"/>
      <c r="J387" s="832"/>
      <c r="K387" s="832"/>
      <c r="L387" s="832"/>
      <c r="M387" s="832"/>
      <c r="N387" s="832"/>
      <c r="O387" s="832"/>
      <c r="P387" s="832"/>
      <c r="Q387" s="832"/>
      <c r="R387" s="832"/>
      <c r="S387" s="832"/>
      <c r="T387" s="832"/>
    </row>
    <row r="388" spans="1:20" x14ac:dyDescent="0.2">
      <c r="A388" s="832"/>
      <c r="B388" s="990" t="s">
        <v>500</v>
      </c>
      <c r="C388" s="832"/>
      <c r="D388" s="832"/>
      <c r="E388" s="994">
        <f>J342</f>
        <v>177.06534113825001</v>
      </c>
      <c r="F388" s="990" t="s">
        <v>58</v>
      </c>
      <c r="G388" s="832"/>
      <c r="H388" s="832"/>
      <c r="I388" s="832"/>
      <c r="J388" s="832"/>
      <c r="K388" s="832"/>
      <c r="L388" s="832"/>
      <c r="M388" s="832"/>
      <c r="N388" s="832"/>
      <c r="O388" s="832"/>
      <c r="P388" s="832"/>
      <c r="Q388" s="832"/>
      <c r="R388" s="832"/>
      <c r="S388" s="832"/>
      <c r="T388" s="832"/>
    </row>
    <row r="389" spans="1:20" x14ac:dyDescent="0.2">
      <c r="A389" s="832"/>
      <c r="B389" s="990" t="s">
        <v>1151</v>
      </c>
      <c r="C389" s="832"/>
      <c r="D389" s="832"/>
      <c r="E389" s="999">
        <f>$F$128</f>
        <v>1252.9941383359403</v>
      </c>
      <c r="F389" s="990" t="s">
        <v>35</v>
      </c>
      <c r="G389" s="832"/>
      <c r="H389" s="832"/>
      <c r="I389" s="832"/>
      <c r="J389" s="832"/>
      <c r="K389" s="832"/>
      <c r="L389" s="832"/>
      <c r="M389" s="832"/>
      <c r="N389" s="832"/>
      <c r="O389" s="832"/>
      <c r="P389" s="832"/>
      <c r="Q389" s="832"/>
      <c r="R389" s="832"/>
      <c r="S389" s="832"/>
      <c r="T389" s="832"/>
    </row>
    <row r="390" spans="1:20" x14ac:dyDescent="0.2">
      <c r="A390" s="832"/>
      <c r="B390" s="990" t="s">
        <v>1152</v>
      </c>
      <c r="C390" s="832"/>
      <c r="D390" s="832"/>
      <c r="E390" s="832"/>
      <c r="F390" s="832"/>
      <c r="G390" s="832"/>
      <c r="H390" s="832"/>
      <c r="I390" s="832"/>
      <c r="J390" s="832"/>
      <c r="K390" s="832"/>
      <c r="L390" s="832"/>
      <c r="M390" s="832"/>
      <c r="N390" s="832"/>
      <c r="O390" s="832"/>
      <c r="P390" s="832"/>
      <c r="Q390" s="832"/>
      <c r="R390" s="832"/>
      <c r="S390" s="832"/>
      <c r="T390" s="832"/>
    </row>
    <row r="391" spans="1:20" x14ac:dyDescent="0.2">
      <c r="A391" s="832"/>
      <c r="B391" s="990" t="s">
        <v>60</v>
      </c>
      <c r="C391" s="832"/>
      <c r="D391" s="832"/>
      <c r="E391" s="997">
        <f>SQRT(E388/E389)*1000</f>
        <v>375.91725485768359</v>
      </c>
      <c r="F391" s="990" t="s">
        <v>43</v>
      </c>
      <c r="G391" s="832"/>
      <c r="H391" s="832"/>
      <c r="I391" s="832"/>
      <c r="J391" s="832"/>
      <c r="K391" s="832"/>
      <c r="L391" s="832"/>
      <c r="M391" s="832"/>
      <c r="N391" s="832"/>
      <c r="O391" s="832"/>
      <c r="P391" s="832"/>
      <c r="Q391" s="832"/>
      <c r="R391" s="832"/>
      <c r="S391" s="832"/>
      <c r="T391" s="832"/>
    </row>
    <row r="392" spans="1:20" x14ac:dyDescent="0.2">
      <c r="A392" s="832"/>
      <c r="B392" s="832"/>
      <c r="C392" s="832"/>
      <c r="D392" s="832"/>
      <c r="E392" s="832"/>
      <c r="F392" s="832"/>
      <c r="G392" s="832"/>
      <c r="H392" s="832"/>
      <c r="I392" s="832"/>
      <c r="J392" s="832"/>
      <c r="K392" s="832"/>
      <c r="L392" s="832"/>
      <c r="M392" s="832"/>
      <c r="N392" s="832"/>
      <c r="O392" s="832"/>
      <c r="P392" s="832"/>
      <c r="Q392" s="832"/>
      <c r="R392" s="832"/>
      <c r="S392" s="832"/>
      <c r="T392" s="832"/>
    </row>
    <row r="393" spans="1:20" x14ac:dyDescent="0.2">
      <c r="A393" s="832"/>
      <c r="B393" s="990" t="s">
        <v>1153</v>
      </c>
      <c r="C393" s="832"/>
      <c r="D393" s="832"/>
      <c r="E393" s="832"/>
      <c r="F393" s="832"/>
      <c r="G393" s="832"/>
      <c r="H393" s="832"/>
      <c r="I393" s="832"/>
      <c r="J393" s="832"/>
      <c r="K393" s="832"/>
      <c r="L393" s="832"/>
      <c r="M393" s="832"/>
      <c r="N393" s="832"/>
      <c r="O393" s="832"/>
      <c r="P393" s="832"/>
      <c r="Q393" s="832"/>
      <c r="R393" s="832"/>
      <c r="S393" s="832"/>
      <c r="T393" s="832"/>
    </row>
    <row r="394" spans="1:20" x14ac:dyDescent="0.2">
      <c r="A394" s="832"/>
      <c r="B394" s="990" t="s">
        <v>501</v>
      </c>
      <c r="C394" s="832"/>
      <c r="D394" s="832"/>
      <c r="E394" s="994">
        <f>J345</f>
        <v>238.98845221998513</v>
      </c>
      <c r="F394" s="990" t="s">
        <v>57</v>
      </c>
      <c r="G394" s="832"/>
      <c r="H394" s="832"/>
      <c r="I394" s="832"/>
      <c r="J394" s="832"/>
      <c r="K394" s="832"/>
      <c r="L394" s="832"/>
      <c r="M394" s="832"/>
      <c r="N394" s="832"/>
      <c r="O394" s="832"/>
      <c r="P394" s="832"/>
      <c r="Q394" s="832"/>
      <c r="R394" s="832"/>
      <c r="S394" s="832"/>
      <c r="T394" s="832"/>
    </row>
    <row r="395" spans="1:20" x14ac:dyDescent="0.2">
      <c r="A395" s="832"/>
      <c r="B395" s="990" t="s">
        <v>1154</v>
      </c>
      <c r="C395" s="832"/>
      <c r="D395" s="832"/>
      <c r="E395" s="832"/>
      <c r="F395" s="999">
        <f>$G$57</f>
        <v>428.65627255412932</v>
      </c>
      <c r="G395" s="990" t="s">
        <v>35</v>
      </c>
      <c r="H395" s="832"/>
      <c r="I395" s="832"/>
      <c r="J395" s="832"/>
      <c r="K395" s="832"/>
      <c r="L395" s="832"/>
      <c r="M395" s="832"/>
      <c r="N395" s="832"/>
      <c r="O395" s="832"/>
      <c r="P395" s="832"/>
      <c r="Q395" s="832"/>
      <c r="R395" s="832"/>
      <c r="S395" s="832"/>
      <c r="T395" s="832"/>
    </row>
    <row r="396" spans="1:20" x14ac:dyDescent="0.2">
      <c r="A396" s="832"/>
      <c r="B396" s="990" t="s">
        <v>61</v>
      </c>
      <c r="C396" s="832"/>
      <c r="D396" s="832"/>
      <c r="E396" s="997">
        <f>E394/F395*1000</f>
        <v>557.5293481557685</v>
      </c>
      <c r="F396" s="990" t="s">
        <v>43</v>
      </c>
      <c r="G396" s="832"/>
      <c r="H396" s="832"/>
      <c r="I396" s="832"/>
      <c r="J396" s="832"/>
      <c r="K396" s="832"/>
      <c r="L396" s="832"/>
      <c r="M396" s="832"/>
      <c r="N396" s="832"/>
      <c r="O396" s="832"/>
      <c r="P396" s="832"/>
      <c r="Q396" s="832"/>
      <c r="R396" s="832"/>
      <c r="S396" s="832"/>
      <c r="T396" s="832"/>
    </row>
    <row r="397" spans="1:20" x14ac:dyDescent="0.2">
      <c r="A397" s="832"/>
      <c r="B397" s="832"/>
      <c r="C397" s="832"/>
      <c r="D397" s="832"/>
      <c r="E397" s="832"/>
      <c r="F397" s="832"/>
      <c r="G397" s="832"/>
      <c r="H397" s="832"/>
      <c r="I397" s="832"/>
      <c r="J397" s="832"/>
      <c r="K397" s="832"/>
      <c r="L397" s="832"/>
      <c r="M397" s="832"/>
      <c r="N397" s="832"/>
      <c r="O397" s="832"/>
      <c r="P397" s="832"/>
      <c r="Q397" s="832"/>
      <c r="R397" s="832"/>
      <c r="S397" s="832"/>
      <c r="T397" s="832"/>
    </row>
    <row r="398" spans="1:20" x14ac:dyDescent="0.2">
      <c r="A398" s="832"/>
      <c r="B398" s="832"/>
      <c r="C398" s="832"/>
      <c r="D398" s="832"/>
      <c r="E398" s="832"/>
      <c r="F398" s="832"/>
      <c r="G398" s="832"/>
      <c r="H398" s="832"/>
      <c r="I398" s="832"/>
      <c r="J398" s="832"/>
      <c r="K398" s="832"/>
      <c r="L398" s="832"/>
      <c r="M398" s="832"/>
      <c r="N398" s="832"/>
      <c r="O398" s="832"/>
      <c r="P398" s="832"/>
      <c r="Q398" s="832"/>
      <c r="R398" s="832"/>
      <c r="S398" s="832"/>
      <c r="T398" s="832"/>
    </row>
    <row r="399" spans="1:20" x14ac:dyDescent="0.2">
      <c r="A399" s="832"/>
      <c r="B399" s="994" t="str">
        <f>IF(E391&gt;=E396,"dr(Moment)  &gt;  dr(Shear)","dr(Moment)  &lt;  dr(Shear)")</f>
        <v>dr(Moment)  &lt;  dr(Shear)</v>
      </c>
      <c r="C399" s="832"/>
      <c r="D399" s="832"/>
      <c r="E399" s="990" t="s">
        <v>1156</v>
      </c>
      <c r="F399" s="832"/>
      <c r="G399" s="997">
        <f>IF(E391&gt;=E396,E391,E396)</f>
        <v>557.5293481557685</v>
      </c>
      <c r="H399" s="990" t="s">
        <v>62</v>
      </c>
      <c r="I399" s="832"/>
      <c r="J399" s="832"/>
      <c r="K399" s="832"/>
      <c r="L399" s="832"/>
      <c r="M399" s="832"/>
      <c r="N399" s="832"/>
      <c r="O399" s="832"/>
      <c r="P399" s="832"/>
      <c r="Q399" s="832"/>
      <c r="R399" s="832"/>
      <c r="S399" s="832"/>
      <c r="T399" s="832"/>
    </row>
    <row r="400" spans="1:20" x14ac:dyDescent="0.2">
      <c r="A400" s="832"/>
      <c r="B400" s="990" t="s">
        <v>63</v>
      </c>
      <c r="C400" s="832"/>
      <c r="D400" s="997"/>
      <c r="E400" s="990"/>
      <c r="F400" s="997"/>
      <c r="G400" s="997">
        <f>G399+G62</f>
        <v>632.5293481557685</v>
      </c>
      <c r="H400" s="990" t="s">
        <v>43</v>
      </c>
      <c r="I400" s="832"/>
      <c r="J400" s="832"/>
      <c r="K400" s="832"/>
      <c r="L400" s="832"/>
      <c r="M400" s="832"/>
      <c r="N400" s="832"/>
      <c r="O400" s="832"/>
      <c r="P400" s="832"/>
      <c r="Q400" s="832"/>
      <c r="R400" s="832"/>
      <c r="S400" s="832"/>
      <c r="T400" s="832"/>
    </row>
    <row r="401" spans="1:20" x14ac:dyDescent="0.2">
      <c r="A401" s="832"/>
      <c r="B401" s="990" t="s">
        <v>574</v>
      </c>
      <c r="C401" s="832"/>
      <c r="D401" s="832"/>
      <c r="E401" s="832"/>
      <c r="F401" s="832"/>
      <c r="G401" s="997">
        <f>E37</f>
        <v>750</v>
      </c>
      <c r="H401" s="990" t="s">
        <v>43</v>
      </c>
      <c r="I401" s="832"/>
      <c r="J401" s="832"/>
      <c r="K401" s="832"/>
      <c r="L401" s="832"/>
      <c r="M401" s="832"/>
      <c r="N401" s="832"/>
      <c r="O401" s="832"/>
      <c r="P401" s="832"/>
      <c r="Q401" s="832"/>
      <c r="R401" s="832"/>
      <c r="S401" s="832"/>
      <c r="T401" s="832"/>
    </row>
    <row r="402" spans="1:20" x14ac:dyDescent="0.2">
      <c r="A402" s="832"/>
      <c r="B402" s="832"/>
      <c r="C402" s="832"/>
      <c r="D402" s="832"/>
      <c r="E402" s="832"/>
      <c r="F402" s="832"/>
      <c r="G402" s="832"/>
      <c r="H402" s="832"/>
      <c r="I402" s="832"/>
      <c r="J402" s="832"/>
      <c r="K402" s="832"/>
      <c r="L402" s="832"/>
      <c r="M402" s="832"/>
      <c r="N402" s="832"/>
      <c r="O402" s="832"/>
      <c r="P402" s="832"/>
      <c r="Q402" s="832"/>
      <c r="R402" s="832"/>
      <c r="S402" s="832"/>
      <c r="T402" s="832"/>
    </row>
    <row r="403" spans="1:20" x14ac:dyDescent="0.2">
      <c r="A403" s="832"/>
      <c r="B403" s="1013" t="str">
        <f>IF(G401&gt;=G400,"ta  &gt;  tr     Design is OK.","ta  &lt;  tr     Design is Not OK.")</f>
        <v>ta  &gt;  tr     Design is OK.</v>
      </c>
      <c r="C403" s="832"/>
      <c r="D403" s="832"/>
      <c r="E403" s="832"/>
      <c r="F403" s="990" t="s">
        <v>64</v>
      </c>
      <c r="G403" s="832"/>
      <c r="H403" s="832"/>
      <c r="I403" s="832"/>
      <c r="J403" s="832"/>
      <c r="K403" s="832"/>
      <c r="L403" s="832"/>
      <c r="M403" s="832"/>
      <c r="N403" s="832"/>
      <c r="O403" s="832"/>
      <c r="P403" s="832"/>
      <c r="Q403" s="832"/>
      <c r="R403" s="832"/>
      <c r="S403" s="832"/>
      <c r="T403" s="832"/>
    </row>
    <row r="404" spans="1:20" x14ac:dyDescent="0.2">
      <c r="A404" s="832"/>
      <c r="B404" s="994" t="str">
        <f>IF(G401&gt;1.5*G400,"WARNING:  Actual Member Thickness is considerably larger (&gt;50%) than required.","")</f>
        <v/>
      </c>
      <c r="C404" s="832"/>
      <c r="D404" s="832"/>
      <c r="E404" s="832"/>
      <c r="F404" s="832"/>
      <c r="G404" s="832"/>
      <c r="H404" s="832"/>
      <c r="I404" s="832"/>
      <c r="J404" s="832"/>
      <c r="K404" s="832"/>
      <c r="L404" s="832"/>
      <c r="M404" s="832"/>
      <c r="N404" s="832"/>
      <c r="O404" s="832"/>
      <c r="P404" s="832"/>
      <c r="Q404" s="832"/>
      <c r="R404" s="832"/>
      <c r="S404" s="832"/>
      <c r="T404" s="832"/>
    </row>
    <row r="405" spans="1:20" x14ac:dyDescent="0.2">
      <c r="A405" s="990" t="s">
        <v>950</v>
      </c>
      <c r="B405" s="832"/>
      <c r="C405" s="832"/>
      <c r="D405" s="832"/>
      <c r="E405" s="832"/>
      <c r="F405" s="832"/>
      <c r="G405" s="832"/>
      <c r="H405" s="832"/>
      <c r="I405" s="832"/>
      <c r="J405" s="832"/>
      <c r="K405" s="832"/>
      <c r="L405" s="832"/>
      <c r="M405" s="832"/>
      <c r="N405" s="832"/>
      <c r="O405" s="832"/>
      <c r="P405" s="832"/>
      <c r="Q405" s="832"/>
      <c r="R405" s="832"/>
      <c r="S405" s="832"/>
      <c r="T405" s="832"/>
    </row>
    <row r="406" spans="1:20" x14ac:dyDescent="0.2">
      <c r="A406" s="990" t="s">
        <v>1545</v>
      </c>
      <c r="B406" s="832"/>
      <c r="C406" s="832"/>
      <c r="D406" s="832"/>
      <c r="E406" s="832"/>
      <c r="F406" s="832"/>
      <c r="G406" s="832"/>
      <c r="H406" s="832"/>
      <c r="I406" s="832"/>
      <c r="J406" s="832"/>
      <c r="K406" s="832"/>
      <c r="L406" s="832"/>
      <c r="M406" s="832"/>
      <c r="N406" s="832"/>
      <c r="O406" s="832"/>
      <c r="P406" s="832"/>
      <c r="Q406" s="832"/>
      <c r="R406" s="832"/>
      <c r="S406" s="832"/>
      <c r="T406" s="832"/>
    </row>
    <row r="407" spans="1:20" x14ac:dyDescent="0.2">
      <c r="A407" s="996" t="s">
        <v>1515</v>
      </c>
      <c r="B407" s="832"/>
      <c r="C407" s="832"/>
      <c r="D407" s="832"/>
      <c r="E407" s="832"/>
      <c r="F407" s="832"/>
      <c r="G407" s="832"/>
      <c r="H407" s="832"/>
      <c r="I407" s="832"/>
      <c r="J407" s="832"/>
      <c r="K407" s="832"/>
      <c r="L407" s="832"/>
      <c r="M407" s="832"/>
      <c r="N407" s="832"/>
      <c r="O407" s="832"/>
      <c r="P407" s="832"/>
      <c r="Q407" s="832"/>
      <c r="R407" s="832"/>
      <c r="S407" s="832"/>
      <c r="T407" s="832"/>
    </row>
    <row r="408" spans="1:20" x14ac:dyDescent="0.2">
      <c r="A408" s="832"/>
      <c r="B408" s="832"/>
      <c r="C408" s="832"/>
      <c r="D408" s="832"/>
      <c r="E408" s="832"/>
      <c r="F408" s="990"/>
      <c r="G408" s="832"/>
      <c r="H408" s="832"/>
      <c r="I408" s="832"/>
      <c r="J408" s="832"/>
      <c r="K408" s="832"/>
      <c r="L408" s="832"/>
      <c r="M408" s="832"/>
      <c r="N408" s="832"/>
      <c r="O408" s="832"/>
      <c r="P408" s="832"/>
      <c r="Q408" s="832"/>
      <c r="R408" s="832"/>
      <c r="S408" s="832"/>
      <c r="T408" s="832"/>
    </row>
    <row r="409" spans="1:20" x14ac:dyDescent="0.2">
      <c r="A409" s="832"/>
      <c r="B409" s="990" t="s">
        <v>1835</v>
      </c>
      <c r="C409" s="832"/>
      <c r="D409" s="832"/>
      <c r="E409" s="832"/>
      <c r="F409" s="832"/>
      <c r="G409" s="832"/>
      <c r="H409" s="832"/>
      <c r="I409" s="832"/>
      <c r="J409" s="832"/>
      <c r="K409" s="832"/>
      <c r="L409" s="832"/>
      <c r="M409" s="832"/>
      <c r="N409" s="832"/>
      <c r="O409" s="832"/>
      <c r="P409" s="832"/>
      <c r="Q409" s="832"/>
      <c r="R409" s="832"/>
      <c r="S409" s="832"/>
      <c r="T409" s="832"/>
    </row>
    <row r="410" spans="1:20" x14ac:dyDescent="0.2">
      <c r="A410" s="832"/>
      <c r="B410" s="832"/>
      <c r="C410" s="832"/>
      <c r="D410" s="832"/>
      <c r="E410" s="832"/>
      <c r="F410" s="990"/>
      <c r="G410" s="832"/>
      <c r="H410" s="832"/>
      <c r="I410" s="832"/>
      <c r="J410" s="832"/>
      <c r="K410" s="832"/>
      <c r="L410" s="832"/>
      <c r="M410" s="832"/>
      <c r="N410" s="832"/>
      <c r="O410" s="832"/>
      <c r="P410" s="832"/>
      <c r="Q410" s="832"/>
      <c r="R410" s="832"/>
      <c r="S410" s="832"/>
      <c r="T410" s="832"/>
    </row>
    <row r="411" spans="1:20" x14ac:dyDescent="0.2">
      <c r="A411" s="832"/>
      <c r="B411" s="990" t="s">
        <v>1546</v>
      </c>
      <c r="C411" s="832"/>
      <c r="D411" s="832"/>
      <c r="E411" s="994">
        <f>J337</f>
        <v>6.8102054283942293</v>
      </c>
      <c r="F411" s="990" t="s">
        <v>58</v>
      </c>
      <c r="G411" s="832"/>
      <c r="H411" s="832"/>
      <c r="I411" s="832"/>
      <c r="J411" s="832"/>
      <c r="K411" s="832"/>
      <c r="L411" s="832"/>
      <c r="M411" s="832"/>
      <c r="N411" s="832"/>
      <c r="O411" s="832"/>
      <c r="P411" s="832"/>
      <c r="Q411" s="832"/>
      <c r="R411" s="832"/>
      <c r="S411" s="832"/>
      <c r="T411" s="832"/>
    </row>
    <row r="412" spans="1:20" x14ac:dyDescent="0.2">
      <c r="A412" s="832"/>
      <c r="B412" s="990" t="s">
        <v>1505</v>
      </c>
      <c r="C412" s="832"/>
      <c r="D412" s="832"/>
      <c r="E412" s="832"/>
      <c r="F412" s="999">
        <f>$G$54</f>
        <v>186300</v>
      </c>
      <c r="G412" s="990" t="s">
        <v>35</v>
      </c>
      <c r="H412" s="832"/>
      <c r="I412" s="832"/>
      <c r="J412" s="832"/>
      <c r="K412" s="832"/>
      <c r="L412" s="832"/>
      <c r="M412" s="832"/>
      <c r="N412" s="832"/>
      <c r="O412" s="832"/>
      <c r="P412" s="832"/>
      <c r="Q412" s="832"/>
      <c r="R412" s="832"/>
      <c r="S412" s="832"/>
      <c r="T412" s="832"/>
    </row>
    <row r="413" spans="1:20" x14ac:dyDescent="0.2">
      <c r="A413" s="832"/>
      <c r="B413" s="990" t="s">
        <v>1506</v>
      </c>
      <c r="C413" s="832"/>
      <c r="D413" s="832"/>
      <c r="E413" s="998">
        <f>$F$127</f>
        <v>0.89379715799027371</v>
      </c>
      <c r="F413" s="832"/>
      <c r="G413" s="832"/>
      <c r="H413" s="832"/>
      <c r="I413" s="832"/>
      <c r="J413" s="832"/>
      <c r="K413" s="832"/>
      <c r="L413" s="832"/>
      <c r="M413" s="832"/>
      <c r="N413" s="832"/>
      <c r="O413" s="832"/>
      <c r="P413" s="832"/>
      <c r="Q413" s="832"/>
      <c r="R413" s="832"/>
      <c r="S413" s="832"/>
      <c r="T413" s="832"/>
    </row>
    <row r="414" spans="1:20" x14ac:dyDescent="0.2">
      <c r="A414" s="832"/>
      <c r="B414" s="832"/>
      <c r="C414" s="832"/>
      <c r="D414" s="832"/>
      <c r="E414" s="832"/>
      <c r="F414" s="832"/>
      <c r="G414" s="832"/>
      <c r="H414" s="832"/>
      <c r="I414" s="832"/>
      <c r="J414" s="832"/>
      <c r="K414" s="832"/>
      <c r="L414" s="832"/>
      <c r="M414" s="832"/>
      <c r="N414" s="832"/>
      <c r="O414" s="832"/>
      <c r="P414" s="832"/>
      <c r="Q414" s="832"/>
      <c r="R414" s="832"/>
      <c r="S414" s="832"/>
      <c r="T414" s="832"/>
    </row>
    <row r="415" spans="1:20" x14ac:dyDescent="0.2">
      <c r="A415" s="832"/>
      <c r="B415" s="990" t="s">
        <v>1507</v>
      </c>
      <c r="C415" s="832"/>
      <c r="D415" s="832"/>
      <c r="E415" s="832"/>
      <c r="F415" s="832"/>
      <c r="G415" s="832"/>
      <c r="H415" s="832"/>
      <c r="I415" s="832"/>
      <c r="J415" s="832"/>
      <c r="K415" s="832"/>
      <c r="L415" s="832"/>
      <c r="M415" s="832"/>
      <c r="N415" s="832"/>
      <c r="O415" s="832"/>
      <c r="P415" s="832"/>
      <c r="Q415" s="832"/>
      <c r="R415" s="832"/>
      <c r="S415" s="832"/>
      <c r="T415" s="832"/>
    </row>
    <row r="416" spans="1:20" x14ac:dyDescent="0.2">
      <c r="A416" s="832"/>
      <c r="B416" s="990" t="s">
        <v>1508</v>
      </c>
      <c r="C416" s="832"/>
      <c r="D416" s="832"/>
      <c r="E416" s="832"/>
      <c r="F416" s="832"/>
      <c r="G416" s="832"/>
      <c r="H416" s="832"/>
      <c r="I416" s="832"/>
      <c r="J416" s="832"/>
      <c r="K416" s="832"/>
      <c r="L416" s="832"/>
      <c r="M416" s="832"/>
      <c r="N416" s="832"/>
      <c r="O416" s="832"/>
      <c r="P416" s="832"/>
      <c r="Q416" s="832"/>
      <c r="R416" s="832"/>
      <c r="S416" s="832"/>
      <c r="T416" s="832"/>
    </row>
    <row r="417" spans="1:20" x14ac:dyDescent="0.2">
      <c r="A417" s="832"/>
      <c r="B417" s="990" t="s">
        <v>1547</v>
      </c>
      <c r="C417" s="832"/>
      <c r="D417" s="832"/>
      <c r="E417" s="997"/>
      <c r="F417" s="990"/>
      <c r="G417" s="997">
        <f>G401-G62</f>
        <v>675</v>
      </c>
      <c r="H417" s="990" t="s">
        <v>43</v>
      </c>
      <c r="I417" s="832"/>
      <c r="J417" s="832"/>
      <c r="K417" s="832"/>
      <c r="L417" s="832"/>
      <c r="M417" s="832"/>
      <c r="N417" s="832"/>
      <c r="O417" s="832"/>
      <c r="P417" s="832"/>
      <c r="Q417" s="832"/>
      <c r="R417" s="832"/>
      <c r="S417" s="832"/>
      <c r="T417" s="832"/>
    </row>
    <row r="418" spans="1:20" x14ac:dyDescent="0.2">
      <c r="A418" s="832"/>
      <c r="B418" s="990" t="s">
        <v>84</v>
      </c>
      <c r="C418" s="832"/>
      <c r="D418" s="832"/>
      <c r="E418" s="832"/>
      <c r="F418" s="832"/>
      <c r="G418" s="874">
        <f>E411/(F412*E413*G417)*1000000000</f>
        <v>60.590511024963781</v>
      </c>
      <c r="H418" s="990" t="s">
        <v>78</v>
      </c>
      <c r="I418" s="832"/>
      <c r="J418" s="832"/>
      <c r="K418" s="832"/>
      <c r="L418" s="832"/>
      <c r="M418" s="832"/>
      <c r="N418" s="832"/>
      <c r="O418" s="832"/>
      <c r="P418" s="832"/>
      <c r="Q418" s="832"/>
      <c r="R418" s="832"/>
      <c r="S418" s="832"/>
      <c r="T418" s="832"/>
    </row>
    <row r="419" spans="1:20" x14ac:dyDescent="0.2">
      <c r="A419" s="990" t="s">
        <v>986</v>
      </c>
      <c r="B419" s="832"/>
      <c r="C419" s="832"/>
      <c r="D419" s="832"/>
      <c r="E419" s="832"/>
      <c r="F419" s="832"/>
      <c r="G419" s="832"/>
      <c r="H419" s="832"/>
      <c r="I419" s="832"/>
      <c r="J419" s="832"/>
      <c r="K419" s="832"/>
      <c r="L419" s="832"/>
      <c r="M419" s="832"/>
      <c r="N419" s="832"/>
      <c r="O419" s="832"/>
      <c r="P419" s="832"/>
      <c r="Q419" s="832"/>
      <c r="R419" s="832"/>
      <c r="S419" s="832"/>
      <c r="T419" s="832"/>
    </row>
    <row r="420" spans="1:20" x14ac:dyDescent="0.2">
      <c r="A420" s="832"/>
      <c r="B420" s="990" t="s">
        <v>87</v>
      </c>
      <c r="C420" s="832"/>
      <c r="D420" s="832"/>
      <c r="E420" s="832"/>
      <c r="F420" s="832"/>
      <c r="G420" s="832"/>
      <c r="H420" s="832"/>
      <c r="I420" s="832"/>
      <c r="J420" s="832"/>
      <c r="K420" s="832"/>
      <c r="L420" s="832"/>
      <c r="M420" s="832"/>
      <c r="N420" s="832"/>
      <c r="O420" s="832"/>
      <c r="P420" s="832"/>
      <c r="Q420" s="832"/>
      <c r="R420" s="832"/>
      <c r="S420" s="832"/>
      <c r="T420" s="832"/>
    </row>
    <row r="421" spans="1:20" x14ac:dyDescent="0.2">
      <c r="A421" s="832"/>
      <c r="B421" s="832"/>
      <c r="C421" s="832"/>
      <c r="D421" s="832"/>
      <c r="E421" s="832"/>
      <c r="F421" s="832"/>
      <c r="G421" s="832"/>
      <c r="H421" s="832"/>
      <c r="I421" s="832"/>
      <c r="J421" s="832"/>
      <c r="K421" s="832"/>
      <c r="L421" s="832"/>
      <c r="M421" s="832"/>
      <c r="N421" s="832"/>
      <c r="O421" s="832"/>
      <c r="P421" s="832"/>
      <c r="Q421" s="832"/>
      <c r="R421" s="832"/>
      <c r="S421" s="832"/>
      <c r="T421" s="832"/>
    </row>
    <row r="422" spans="1:20" x14ac:dyDescent="0.2">
      <c r="A422" s="832"/>
      <c r="B422" s="990" t="s">
        <v>1511</v>
      </c>
      <c r="C422" s="832"/>
      <c r="D422" s="832"/>
      <c r="E422" s="832"/>
      <c r="F422" s="832"/>
      <c r="G422" s="994">
        <f>$E$70</f>
        <v>14.100000000000001</v>
      </c>
      <c r="H422" s="994" t="str">
        <f>IF(G422&lt;=9,"m  &lt;  9 m","m  &gt;  9 m")</f>
        <v>m  &gt;  9 m</v>
      </c>
      <c r="I422" s="832"/>
      <c r="J422" s="832"/>
      <c r="K422" s="832"/>
      <c r="L422" s="832"/>
      <c r="M422" s="832"/>
      <c r="N422" s="832"/>
      <c r="O422" s="832"/>
      <c r="P422" s="832"/>
      <c r="Q422" s="832"/>
      <c r="R422" s="832"/>
      <c r="S422" s="832"/>
      <c r="T422" s="832"/>
    </row>
    <row r="423" spans="1:20" x14ac:dyDescent="0.2">
      <c r="A423" s="832"/>
      <c r="B423" s="990" t="s">
        <v>1548</v>
      </c>
      <c r="C423" s="832"/>
      <c r="D423" s="832"/>
      <c r="E423" s="832"/>
      <c r="F423" s="832"/>
      <c r="G423" s="997">
        <f>$G$401</f>
        <v>750</v>
      </c>
      <c r="H423" s="994" t="str">
        <f>IF(G423&lt;=380,"mm  &lt;  380 mm","mm  &gt;  380 mm")</f>
        <v>mm  &gt;  380 mm</v>
      </c>
      <c r="I423" s="832"/>
      <c r="J423" s="832"/>
      <c r="K423" s="832"/>
      <c r="L423" s="832"/>
      <c r="M423" s="832"/>
      <c r="N423" s="832"/>
      <c r="O423" s="832"/>
      <c r="P423" s="832"/>
      <c r="Q423" s="832"/>
      <c r="R423" s="832"/>
      <c r="S423" s="832"/>
      <c r="T423" s="832"/>
    </row>
    <row r="424" spans="1:20" x14ac:dyDescent="0.2">
      <c r="A424" s="832"/>
      <c r="B424" s="832"/>
      <c r="C424" s="832"/>
      <c r="D424" s="832"/>
      <c r="E424" s="832"/>
      <c r="F424" s="832"/>
      <c r="G424" s="832"/>
      <c r="H424" s="832"/>
      <c r="I424" s="832"/>
      <c r="J424" s="832"/>
      <c r="K424" s="832"/>
      <c r="L424" s="990" t="s">
        <v>66</v>
      </c>
      <c r="M424" s="832"/>
      <c r="N424" s="997">
        <v>12</v>
      </c>
      <c r="O424" s="997">
        <v>16</v>
      </c>
      <c r="P424" s="997">
        <v>20</v>
      </c>
      <c r="Q424" s="997">
        <v>22</v>
      </c>
      <c r="R424" s="997">
        <v>25</v>
      </c>
      <c r="S424" s="832"/>
      <c r="T424" s="832"/>
    </row>
    <row r="425" spans="1:20" x14ac:dyDescent="0.2">
      <c r="A425" s="832"/>
      <c r="B425" s="990" t="s">
        <v>1836</v>
      </c>
      <c r="C425" s="1015"/>
      <c r="D425" s="990"/>
      <c r="E425" s="997"/>
      <c r="F425" s="990"/>
      <c r="G425" s="832"/>
      <c r="H425" s="874">
        <f>IF(G422&lt;=9,C247,C248)*IF(G423&lt;380,G423,380)*1000</f>
        <v>950.00000000000011</v>
      </c>
      <c r="I425" s="990" t="s">
        <v>78</v>
      </c>
      <c r="J425" s="832"/>
      <c r="K425" s="832"/>
      <c r="L425" s="990" t="s">
        <v>67</v>
      </c>
      <c r="M425" s="832"/>
      <c r="N425" s="997">
        <f>IF(H427=0,100000000,TRUNC(785.4*N424^2/H427/25)*25)</f>
        <v>100</v>
      </c>
      <c r="O425" s="997">
        <f>IF(H427=0,100000000,TRUNC(785.4*O424^2/H427/25)*25)</f>
        <v>200</v>
      </c>
      <c r="P425" s="997">
        <f>IF(H427=0,100000000,TRUNC(785.4*P424^2/H427/25)*25)</f>
        <v>325</v>
      </c>
      <c r="Q425" s="997">
        <f>IF(H427=0,100000000,TRUNC(785.4*Q424^2/H427/25)*25)</f>
        <v>400</v>
      </c>
      <c r="R425" s="997">
        <f>IF(H427=0,100000000,TRUNC(785.4*R424^2/H427/25)*25)</f>
        <v>500</v>
      </c>
      <c r="S425" s="832"/>
      <c r="T425" s="832"/>
    </row>
    <row r="426" spans="1:20" x14ac:dyDescent="0.2">
      <c r="A426" s="832"/>
      <c r="B426" s="832"/>
      <c r="C426" s="832"/>
      <c r="D426" s="832"/>
      <c r="E426" s="832"/>
      <c r="F426" s="832"/>
      <c r="G426" s="832"/>
      <c r="H426" s="832"/>
      <c r="I426" s="832"/>
      <c r="J426" s="832"/>
      <c r="K426" s="832"/>
      <c r="L426" s="990" t="s">
        <v>68</v>
      </c>
      <c r="M426" s="832"/>
      <c r="N426" s="997">
        <f>785.4*N424^2/N425</f>
        <v>1130.9759999999999</v>
      </c>
      <c r="O426" s="997">
        <f>785.4*O424^2/O425</f>
        <v>1005.312</v>
      </c>
      <c r="P426" s="997">
        <f>785.4*P424^2/P425</f>
        <v>966.64615384615388</v>
      </c>
      <c r="Q426" s="997">
        <f>785.4*Q424^2/Q425</f>
        <v>950.33399999999995</v>
      </c>
      <c r="R426" s="997">
        <f>785.4*R424^2/R425</f>
        <v>981.75</v>
      </c>
      <c r="S426" s="832"/>
      <c r="T426" s="832"/>
    </row>
    <row r="427" spans="1:20" x14ac:dyDescent="0.2">
      <c r="A427" s="832"/>
      <c r="B427" s="994" t="str">
        <f>IF(G418&gt;H425,"Ast(Moment)  &gt;  Ast(Shrinkage)","Ast(Moment)  &lt;  Ast(Shrinkage)")</f>
        <v>Ast(Moment)  &lt;  Ast(Shrinkage)</v>
      </c>
      <c r="C427" s="832"/>
      <c r="D427" s="832"/>
      <c r="E427" s="832"/>
      <c r="F427" s="990" t="s">
        <v>88</v>
      </c>
      <c r="G427" s="832"/>
      <c r="H427" s="997">
        <f>IF(G418&gt;H425,G418,H425)</f>
        <v>950.00000000000011</v>
      </c>
      <c r="I427" s="990" t="s">
        <v>89</v>
      </c>
      <c r="J427" s="832"/>
      <c r="K427" s="832"/>
      <c r="L427" s="990" t="s">
        <v>69</v>
      </c>
      <c r="M427" s="832"/>
      <c r="N427" s="997">
        <f>IF(OR(N425&gt;300,N425&lt;100),100000000,N426-H427)</f>
        <v>180.97599999999977</v>
      </c>
      <c r="O427" s="997">
        <f>IF(OR(O425&gt;300,O425&lt;100),100000001,O426-H427)</f>
        <v>55.311999999999898</v>
      </c>
      <c r="P427" s="997">
        <f>IF(OR(P425&gt;300,P425&lt;100),100000001,P426-H427)</f>
        <v>100000001</v>
      </c>
      <c r="Q427" s="997">
        <f>IF(OR(Q425&gt;300,Q425&lt;100),100000001,Q426-H427)</f>
        <v>100000001</v>
      </c>
      <c r="R427" s="997">
        <f>IF(OR(R425&gt;300,R425&lt;100),100000001,R426-H427)</f>
        <v>100000001</v>
      </c>
      <c r="S427" s="832"/>
      <c r="T427" s="832"/>
    </row>
    <row r="428" spans="1:20" x14ac:dyDescent="0.2">
      <c r="A428" s="832"/>
      <c r="B428" s="990" t="s">
        <v>79</v>
      </c>
      <c r="C428" s="997">
        <f>IF(D1508=0,N428,D1508)</f>
        <v>16</v>
      </c>
      <c r="D428" s="990" t="s">
        <v>71</v>
      </c>
      <c r="E428" s="997">
        <f>IF(D1508=0,IF(P428&gt;300,300,P428),E1508)</f>
        <v>200</v>
      </c>
      <c r="F428" s="990" t="s">
        <v>80</v>
      </c>
      <c r="G428" s="832"/>
      <c r="H428" s="997">
        <f>785.4*C428^2/E428</f>
        <v>1005.312</v>
      </c>
      <c r="I428" s="990" t="s">
        <v>81</v>
      </c>
      <c r="J428" s="832"/>
      <c r="K428" s="832"/>
      <c r="L428" s="990" t="s">
        <v>70</v>
      </c>
      <c r="M428" s="832"/>
      <c r="N428" s="997">
        <f>IF(R425&lt;100,25,IF(MIN(N427:R427)=N427,12,IF(MIN(N427:R427)=O427,16,IF(MIN(N427:R427)=P427,20,IF(MIN(N427:R427)=Q427,22,IF(MIN(N427:R427)=R427,25,0))))))</f>
        <v>16</v>
      </c>
      <c r="O428" s="990" t="s">
        <v>71</v>
      </c>
      <c r="P428" s="997">
        <f>IF(N428=12,N425,IF(N428=16,O425,IF(N428=20,P425,IF(N428=22,Q425,IF(N428=25,R425,0)))))</f>
        <v>200</v>
      </c>
      <c r="Q428" s="990" t="s">
        <v>72</v>
      </c>
      <c r="R428" s="832"/>
      <c r="S428" s="832"/>
      <c r="T428" s="832"/>
    </row>
    <row r="429" spans="1:20" x14ac:dyDescent="0.2">
      <c r="A429" s="832"/>
      <c r="B429" s="832"/>
      <c r="C429" s="832"/>
      <c r="D429" s="832"/>
      <c r="E429" s="832"/>
      <c r="F429" s="832"/>
      <c r="G429" s="832"/>
      <c r="H429" s="832"/>
      <c r="I429" s="832"/>
      <c r="J429" s="832"/>
      <c r="K429" s="832"/>
      <c r="L429" s="832"/>
      <c r="M429" s="832"/>
      <c r="N429" s="832"/>
      <c r="O429" s="832"/>
      <c r="P429" s="832"/>
      <c r="Q429" s="832"/>
      <c r="R429" s="832"/>
      <c r="S429" s="832"/>
      <c r="T429" s="832"/>
    </row>
    <row r="430" spans="1:20" x14ac:dyDescent="0.2">
      <c r="A430" s="990" t="s">
        <v>950</v>
      </c>
      <c r="B430" s="832"/>
      <c r="C430" s="832"/>
      <c r="D430" s="832"/>
      <c r="E430" s="832"/>
      <c r="F430" s="832"/>
      <c r="G430" s="832"/>
      <c r="H430" s="832"/>
      <c r="I430" s="832"/>
      <c r="J430" s="832"/>
      <c r="K430" s="832"/>
      <c r="L430" s="832"/>
      <c r="M430" s="832"/>
      <c r="N430" s="832"/>
      <c r="O430" s="832"/>
      <c r="P430" s="832"/>
      <c r="Q430" s="832"/>
      <c r="R430" s="832"/>
      <c r="S430" s="832"/>
      <c r="T430" s="832"/>
    </row>
    <row r="431" spans="1:20" x14ac:dyDescent="0.2">
      <c r="A431" s="990" t="s">
        <v>1549</v>
      </c>
      <c r="B431" s="832"/>
      <c r="C431" s="832"/>
      <c r="D431" s="832"/>
      <c r="E431" s="832"/>
      <c r="F431" s="832"/>
      <c r="G431" s="832"/>
      <c r="H431" s="832"/>
      <c r="I431" s="832"/>
      <c r="J431" s="832"/>
      <c r="K431" s="832"/>
      <c r="L431" s="832"/>
      <c r="M431" s="832"/>
      <c r="N431" s="832"/>
      <c r="O431" s="832"/>
      <c r="P431" s="832"/>
      <c r="Q431" s="832"/>
      <c r="R431" s="832"/>
      <c r="S431" s="832"/>
      <c r="T431" s="832"/>
    </row>
    <row r="432" spans="1:20" x14ac:dyDescent="0.2">
      <c r="A432" s="996" t="s">
        <v>1515</v>
      </c>
      <c r="B432" s="832"/>
      <c r="C432" s="832"/>
      <c r="D432" s="832"/>
      <c r="E432" s="832"/>
      <c r="F432" s="832"/>
      <c r="G432" s="832"/>
      <c r="H432" s="832"/>
      <c r="I432" s="832"/>
      <c r="J432" s="832"/>
      <c r="K432" s="832"/>
      <c r="L432" s="832"/>
      <c r="M432" s="832"/>
      <c r="N432" s="832"/>
      <c r="O432" s="832"/>
      <c r="P432" s="832"/>
      <c r="Q432" s="832"/>
      <c r="R432" s="832"/>
      <c r="S432" s="832"/>
      <c r="T432" s="832"/>
    </row>
    <row r="433" spans="1:20" x14ac:dyDescent="0.2">
      <c r="A433" s="832"/>
      <c r="B433" s="990" t="s">
        <v>1546</v>
      </c>
      <c r="C433" s="832"/>
      <c r="D433" s="832"/>
      <c r="E433" s="994">
        <f>J341</f>
        <v>108.31469586112729</v>
      </c>
      <c r="F433" s="990" t="s">
        <v>58</v>
      </c>
      <c r="G433" s="832"/>
      <c r="H433" s="832"/>
      <c r="I433" s="832"/>
      <c r="J433" s="832"/>
      <c r="K433" s="832"/>
      <c r="L433" s="832"/>
      <c r="M433" s="832"/>
      <c r="N433" s="832"/>
      <c r="O433" s="832"/>
      <c r="P433" s="832"/>
      <c r="Q433" s="832"/>
      <c r="R433" s="832"/>
      <c r="S433" s="832"/>
      <c r="T433" s="832"/>
    </row>
    <row r="434" spans="1:20" x14ac:dyDescent="0.2">
      <c r="A434" s="832"/>
      <c r="B434" s="990" t="s">
        <v>1550</v>
      </c>
      <c r="C434" s="832"/>
      <c r="D434" s="997">
        <f>$G$377</f>
        <v>700</v>
      </c>
      <c r="E434" s="990" t="s">
        <v>1510</v>
      </c>
      <c r="F434" s="997">
        <f>$G$62</f>
        <v>75</v>
      </c>
      <c r="G434" s="990" t="s">
        <v>1485</v>
      </c>
      <c r="H434" s="997">
        <f>D434-F434</f>
        <v>625</v>
      </c>
      <c r="I434" s="990" t="s">
        <v>43</v>
      </c>
      <c r="J434" s="832"/>
      <c r="K434" s="832"/>
      <c r="L434" s="832"/>
      <c r="M434" s="832"/>
      <c r="N434" s="832"/>
      <c r="O434" s="832"/>
      <c r="P434" s="832"/>
      <c r="Q434" s="832"/>
      <c r="R434" s="832"/>
      <c r="S434" s="832"/>
      <c r="T434" s="832"/>
    </row>
    <row r="435" spans="1:20" x14ac:dyDescent="0.2">
      <c r="A435" s="832"/>
      <c r="B435" s="990" t="s">
        <v>1168</v>
      </c>
      <c r="C435" s="832"/>
      <c r="D435" s="832"/>
      <c r="E435" s="832"/>
      <c r="F435" s="832"/>
      <c r="G435" s="832"/>
      <c r="H435" s="874">
        <f>E433/(F412*E413*H434)*1000000000</f>
        <v>1040.7718636630925</v>
      </c>
      <c r="I435" s="990" t="s">
        <v>78</v>
      </c>
      <c r="J435" s="832"/>
      <c r="K435" s="832"/>
      <c r="L435" s="832"/>
      <c r="M435" s="832"/>
      <c r="N435" s="832"/>
      <c r="O435" s="832"/>
      <c r="P435" s="832"/>
      <c r="Q435" s="832"/>
      <c r="R435" s="832"/>
      <c r="S435" s="832"/>
      <c r="T435" s="832"/>
    </row>
    <row r="436" spans="1:20" x14ac:dyDescent="0.2">
      <c r="A436" s="832"/>
      <c r="B436" s="832"/>
      <c r="C436" s="832"/>
      <c r="D436" s="832"/>
      <c r="E436" s="832"/>
      <c r="F436" s="832"/>
      <c r="G436" s="832"/>
      <c r="H436" s="832"/>
      <c r="I436" s="832"/>
      <c r="J436" s="832"/>
      <c r="K436" s="832"/>
      <c r="L436" s="832"/>
      <c r="M436" s="832"/>
      <c r="N436" s="832"/>
      <c r="O436" s="832"/>
      <c r="P436" s="832"/>
      <c r="Q436" s="832"/>
      <c r="R436" s="832"/>
      <c r="S436" s="832"/>
      <c r="T436" s="832"/>
    </row>
    <row r="437" spans="1:20" x14ac:dyDescent="0.2">
      <c r="A437" s="832"/>
      <c r="B437" s="990" t="s">
        <v>87</v>
      </c>
      <c r="C437" s="832"/>
      <c r="D437" s="832"/>
      <c r="E437" s="832"/>
      <c r="F437" s="832"/>
      <c r="G437" s="832"/>
      <c r="H437" s="832"/>
      <c r="I437" s="832"/>
      <c r="J437" s="832"/>
      <c r="K437" s="832"/>
      <c r="L437" s="832"/>
      <c r="M437" s="832"/>
      <c r="N437" s="832"/>
      <c r="O437" s="832"/>
      <c r="P437" s="832"/>
      <c r="Q437" s="832"/>
      <c r="R437" s="832"/>
      <c r="S437" s="832"/>
      <c r="T437" s="832"/>
    </row>
    <row r="438" spans="1:20" x14ac:dyDescent="0.2">
      <c r="A438" s="832"/>
      <c r="B438" s="832"/>
      <c r="C438" s="832"/>
      <c r="D438" s="832"/>
      <c r="E438" s="832"/>
      <c r="F438" s="832"/>
      <c r="G438" s="832"/>
      <c r="H438" s="832"/>
      <c r="I438" s="832"/>
      <c r="J438" s="832"/>
      <c r="K438" s="832"/>
      <c r="L438" s="832"/>
      <c r="M438" s="832"/>
      <c r="N438" s="832"/>
      <c r="O438" s="832"/>
      <c r="P438" s="832"/>
      <c r="Q438" s="832"/>
      <c r="R438" s="832"/>
      <c r="S438" s="832"/>
      <c r="T438" s="832"/>
    </row>
    <row r="439" spans="1:20" x14ac:dyDescent="0.2">
      <c r="A439" s="832"/>
      <c r="B439" s="990" t="s">
        <v>1833</v>
      </c>
      <c r="C439" s="832"/>
      <c r="D439" s="832"/>
      <c r="E439" s="832"/>
      <c r="F439" s="994">
        <f>$E$70</f>
        <v>14.100000000000001</v>
      </c>
      <c r="G439" s="994" t="str">
        <f>IF(F439&lt;=9,"m  &lt;  9 m","m  &gt;  9 m")</f>
        <v>m  &gt;  9 m</v>
      </c>
      <c r="H439" s="832"/>
      <c r="I439" s="832"/>
      <c r="J439" s="832"/>
      <c r="K439" s="832"/>
      <c r="L439" s="832"/>
      <c r="M439" s="832"/>
      <c r="N439" s="832"/>
      <c r="O439" s="832"/>
      <c r="P439" s="832"/>
      <c r="Q439" s="832"/>
      <c r="R439" s="832"/>
      <c r="S439" s="832"/>
      <c r="T439" s="832"/>
    </row>
    <row r="440" spans="1:20" x14ac:dyDescent="0.2">
      <c r="A440" s="832"/>
      <c r="B440" s="990" t="s">
        <v>1548</v>
      </c>
      <c r="C440" s="832"/>
      <c r="D440" s="832"/>
      <c r="E440" s="832"/>
      <c r="F440" s="997">
        <f>$G$401</f>
        <v>750</v>
      </c>
      <c r="G440" s="994" t="str">
        <f>IF(F440&lt;=380,"mm  &lt;  380 mm","mm  &gt;  380 mm")</f>
        <v>mm  &gt;  380 mm</v>
      </c>
      <c r="H440" s="832"/>
      <c r="I440" s="832"/>
      <c r="J440" s="832"/>
      <c r="K440" s="832"/>
      <c r="L440" s="832"/>
      <c r="M440" s="832"/>
      <c r="N440" s="832"/>
      <c r="O440" s="832"/>
      <c r="P440" s="832"/>
      <c r="Q440" s="832"/>
      <c r="R440" s="832"/>
      <c r="S440" s="832"/>
      <c r="T440" s="832"/>
    </row>
    <row r="441" spans="1:20" x14ac:dyDescent="0.2">
      <c r="A441" s="832"/>
      <c r="B441" s="832"/>
      <c r="C441" s="832"/>
      <c r="D441" s="832"/>
      <c r="E441" s="832"/>
      <c r="F441" s="832"/>
      <c r="G441" s="832"/>
      <c r="H441" s="832"/>
      <c r="I441" s="832"/>
      <c r="J441" s="832"/>
      <c r="K441" s="832"/>
      <c r="L441" s="990" t="s">
        <v>66</v>
      </c>
      <c r="M441" s="832"/>
      <c r="N441" s="997">
        <v>12</v>
      </c>
      <c r="O441" s="997">
        <v>16</v>
      </c>
      <c r="P441" s="997">
        <v>20</v>
      </c>
      <c r="Q441" s="997">
        <v>22</v>
      </c>
      <c r="R441" s="997">
        <v>25</v>
      </c>
      <c r="S441" s="832"/>
      <c r="T441" s="832"/>
    </row>
    <row r="442" spans="1:20" x14ac:dyDescent="0.2">
      <c r="A442" s="832"/>
      <c r="B442" s="990" t="s">
        <v>1837</v>
      </c>
      <c r="C442" s="1015"/>
      <c r="D442" s="990"/>
      <c r="E442" s="997"/>
      <c r="F442" s="990"/>
      <c r="G442" s="832"/>
      <c r="H442" s="874">
        <f>IF(F439&lt;=9,D247,D248)*IF(F440&lt;380,F440,380)*1000</f>
        <v>570.00000000000011</v>
      </c>
      <c r="I442" s="990" t="s">
        <v>78</v>
      </c>
      <c r="J442" s="832"/>
      <c r="K442" s="832"/>
      <c r="L442" s="990" t="s">
        <v>67</v>
      </c>
      <c r="M442" s="832"/>
      <c r="N442" s="997">
        <f>IF(H444=0,100000000,TRUNC(785.4*N441^2/H444/25)*25)</f>
        <v>100</v>
      </c>
      <c r="O442" s="997">
        <f>IF(H444=0,100000000,TRUNC(785.4*O441^2/H444/25)*25)</f>
        <v>175</v>
      </c>
      <c r="P442" s="997">
        <f>IF(H444=0,100000000,TRUNC(785.4*P441^2/H444/25)*25)</f>
        <v>300</v>
      </c>
      <c r="Q442" s="997">
        <f>IF(H444=0,100000000,TRUNC(785.4*Q441^2/H444/25)*25)</f>
        <v>350</v>
      </c>
      <c r="R442" s="997">
        <f>IF(H444=0,100000000,TRUNC(785.4*R441^2/H444/25)*25)</f>
        <v>450</v>
      </c>
      <c r="S442" s="832"/>
      <c r="T442" s="832"/>
    </row>
    <row r="443" spans="1:20" x14ac:dyDescent="0.2">
      <c r="A443" s="832"/>
      <c r="B443" s="832"/>
      <c r="C443" s="832"/>
      <c r="D443" s="832"/>
      <c r="E443" s="832"/>
      <c r="F443" s="832"/>
      <c r="G443" s="832"/>
      <c r="H443" s="832"/>
      <c r="I443" s="832"/>
      <c r="J443" s="832"/>
      <c r="K443" s="832"/>
      <c r="L443" s="990" t="s">
        <v>68</v>
      </c>
      <c r="M443" s="832"/>
      <c r="N443" s="997">
        <f>785.4*N441^2/N442</f>
        <v>1130.9759999999999</v>
      </c>
      <c r="O443" s="997">
        <f>785.4*O441^2/O442</f>
        <v>1148.9279999999999</v>
      </c>
      <c r="P443" s="997">
        <f>785.4*P441^2/P442</f>
        <v>1047.2</v>
      </c>
      <c r="Q443" s="997">
        <f>785.4*Q441^2/Q442</f>
        <v>1086.096</v>
      </c>
      <c r="R443" s="997">
        <f>785.4*R441^2/R442</f>
        <v>1090.8333333333333</v>
      </c>
      <c r="S443" s="832"/>
      <c r="T443" s="832"/>
    </row>
    <row r="444" spans="1:20" x14ac:dyDescent="0.2">
      <c r="A444" s="832"/>
      <c r="B444" s="1033" t="str">
        <f>IF(H435&gt;H442,"Ast(Moment)  &gt;  Ast(Shrinkage)","Ast(Moment)  &lt;  Ast(Shrinkage)")</f>
        <v>Ast(Moment)  &gt;  Ast(Shrinkage)</v>
      </c>
      <c r="C444" s="1032"/>
      <c r="D444" s="1032"/>
      <c r="E444" s="1032"/>
      <c r="F444" s="1030" t="s">
        <v>88</v>
      </c>
      <c r="G444" s="1032"/>
      <c r="H444" s="1031">
        <f>IF(H435&gt;H442,H435,H442)</f>
        <v>1040.7718636630925</v>
      </c>
      <c r="I444" s="1030" t="s">
        <v>89</v>
      </c>
      <c r="J444" s="832"/>
      <c r="K444" s="832"/>
      <c r="L444" s="990" t="s">
        <v>69</v>
      </c>
      <c r="M444" s="832"/>
      <c r="N444" s="997">
        <f>IF(OR(N442&gt;300,N442&lt;100),100000000,N443-H444)</f>
        <v>90.204136336907368</v>
      </c>
      <c r="O444" s="997">
        <f>IF(OR(O442&gt;300,O442&lt;100),100000001,O443-H444)</f>
        <v>108.15613633690737</v>
      </c>
      <c r="P444" s="997">
        <f>IF(OR(P442&gt;300,P442&lt;100),100000001,P443-H444)</f>
        <v>6.4281363369075279</v>
      </c>
      <c r="Q444" s="997">
        <f>IF(OR(Q442&gt;300,Q442&lt;100),100000001,Q443-H444)</f>
        <v>100000001</v>
      </c>
      <c r="R444" s="997">
        <f>IF(OR(R442&gt;300,R442&lt;100),100000001,R443-H444)</f>
        <v>100000001</v>
      </c>
      <c r="S444" s="832"/>
      <c r="T444" s="832"/>
    </row>
    <row r="445" spans="1:20" x14ac:dyDescent="0.2">
      <c r="A445" s="832"/>
      <c r="B445" s="1030" t="s">
        <v>79</v>
      </c>
      <c r="C445" s="1031">
        <v>16</v>
      </c>
      <c r="D445" s="1030" t="s">
        <v>71</v>
      </c>
      <c r="E445" s="1031">
        <v>175</v>
      </c>
      <c r="F445" s="1030" t="s">
        <v>80</v>
      </c>
      <c r="G445" s="1032"/>
      <c r="H445" s="1031">
        <f>785.4*C445^2/E445</f>
        <v>1148.9279999999999</v>
      </c>
      <c r="I445" s="1030" t="s">
        <v>81</v>
      </c>
      <c r="J445" s="1032"/>
      <c r="K445" s="832"/>
      <c r="L445" s="990" t="s">
        <v>70</v>
      </c>
      <c r="M445" s="832"/>
      <c r="N445" s="997">
        <f>IF(R442&lt;100,25,IF(MIN(N444:R444)=N444,12,IF(MIN(N444:R444)=O444,16,IF(MIN(N444:R444)=P444,20,IF(MIN(N444:R444)=Q444,22,IF(MIN(N444:R444)=R444,25,0))))))</f>
        <v>20</v>
      </c>
      <c r="O445" s="990" t="s">
        <v>71</v>
      </c>
      <c r="P445" s="997">
        <f>IF(N445=12,N442,IF(N445=16,O442,IF(N445=20,P442,IF(N445=22,Q442,IF(N445=25,R442,0)))))</f>
        <v>300</v>
      </c>
      <c r="Q445" s="990" t="s">
        <v>72</v>
      </c>
      <c r="R445" s="832"/>
      <c r="S445" s="832"/>
      <c r="T445" s="832"/>
    </row>
    <row r="446" spans="1:20" x14ac:dyDescent="0.2">
      <c r="A446" s="832"/>
      <c r="B446" s="832"/>
      <c r="C446" s="832"/>
      <c r="D446" s="832"/>
      <c r="E446" s="832"/>
      <c r="F446" s="832"/>
      <c r="G446" s="832"/>
      <c r="H446" s="832"/>
      <c r="I446" s="832"/>
      <c r="J446" s="832"/>
      <c r="K446" s="832"/>
      <c r="L446" s="832"/>
      <c r="M446" s="832"/>
      <c r="N446" s="832"/>
      <c r="O446" s="832"/>
      <c r="P446" s="832"/>
      <c r="Q446" s="832"/>
      <c r="R446" s="832"/>
      <c r="S446" s="832"/>
      <c r="T446" s="832"/>
    </row>
    <row r="447" spans="1:20" x14ac:dyDescent="0.2">
      <c r="A447" s="990" t="s">
        <v>950</v>
      </c>
      <c r="B447" s="832"/>
      <c r="C447" s="832"/>
      <c r="D447" s="832"/>
      <c r="E447" s="832"/>
      <c r="F447" s="832"/>
      <c r="G447" s="832"/>
      <c r="H447" s="832"/>
      <c r="I447" s="832"/>
      <c r="J447" s="832"/>
      <c r="K447" s="832"/>
      <c r="L447" s="832"/>
      <c r="M447" s="832"/>
      <c r="N447" s="832"/>
      <c r="O447" s="832"/>
      <c r="P447" s="832"/>
      <c r="Q447" s="832"/>
      <c r="R447" s="832"/>
      <c r="S447" s="832"/>
      <c r="T447" s="832"/>
    </row>
    <row r="448" spans="1:20" x14ac:dyDescent="0.2">
      <c r="A448" s="990" t="s">
        <v>83</v>
      </c>
      <c r="B448" s="832"/>
      <c r="C448" s="832"/>
      <c r="D448" s="832"/>
      <c r="E448" s="832"/>
      <c r="F448" s="832"/>
      <c r="G448" s="832"/>
      <c r="H448" s="832"/>
      <c r="I448" s="832"/>
      <c r="J448" s="832"/>
      <c r="K448" s="832"/>
      <c r="L448" s="832"/>
      <c r="M448" s="832"/>
      <c r="N448" s="832"/>
      <c r="O448" s="832"/>
      <c r="P448" s="832"/>
      <c r="Q448" s="832"/>
      <c r="R448" s="832"/>
      <c r="S448" s="832"/>
      <c r="T448" s="832"/>
    </row>
    <row r="449" spans="1:20" x14ac:dyDescent="0.2">
      <c r="A449" s="996" t="s">
        <v>1515</v>
      </c>
      <c r="B449" s="832"/>
      <c r="C449" s="832"/>
      <c r="D449" s="832"/>
      <c r="E449" s="832"/>
      <c r="F449" s="832"/>
      <c r="G449" s="832"/>
      <c r="H449" s="832"/>
      <c r="I449" s="832"/>
      <c r="J449" s="832"/>
      <c r="K449" s="832"/>
      <c r="L449" s="832"/>
      <c r="M449" s="832"/>
      <c r="N449" s="832"/>
      <c r="O449" s="832"/>
      <c r="P449" s="832"/>
      <c r="Q449" s="832"/>
      <c r="R449" s="832"/>
      <c r="S449" s="832"/>
      <c r="T449" s="832"/>
    </row>
    <row r="450" spans="1:20" x14ac:dyDescent="0.2">
      <c r="A450" s="996"/>
      <c r="B450" s="832"/>
      <c r="C450" s="832"/>
      <c r="D450" s="832"/>
      <c r="E450" s="832"/>
      <c r="F450" s="832"/>
      <c r="G450" s="832"/>
      <c r="H450" s="832"/>
      <c r="I450" s="832"/>
      <c r="J450" s="832"/>
      <c r="K450" s="832"/>
      <c r="L450" s="832"/>
      <c r="M450" s="832"/>
      <c r="N450" s="832"/>
      <c r="O450" s="832"/>
      <c r="P450" s="832"/>
      <c r="Q450" s="832"/>
      <c r="R450" s="832"/>
      <c r="S450" s="832"/>
      <c r="T450" s="832"/>
    </row>
    <row r="451" spans="1:20" x14ac:dyDescent="0.2">
      <c r="A451" s="832"/>
      <c r="B451" s="990" t="s">
        <v>1839</v>
      </c>
      <c r="C451" s="832"/>
      <c r="D451" s="832"/>
      <c r="E451" s="994">
        <f>J338</f>
        <v>35.348209128331959</v>
      </c>
      <c r="F451" s="990" t="s">
        <v>58</v>
      </c>
      <c r="G451" s="832"/>
      <c r="H451" s="832"/>
      <c r="I451" s="832"/>
      <c r="J451" s="832"/>
      <c r="K451" s="832"/>
      <c r="L451" s="832"/>
      <c r="M451" s="832"/>
      <c r="N451" s="832"/>
      <c r="O451" s="832"/>
      <c r="P451" s="832"/>
      <c r="Q451" s="832"/>
      <c r="R451" s="832"/>
      <c r="S451" s="832"/>
      <c r="T451" s="832"/>
    </row>
    <row r="452" spans="1:20" x14ac:dyDescent="0.2">
      <c r="A452" s="832"/>
      <c r="B452" s="990" t="s">
        <v>1550</v>
      </c>
      <c r="C452" s="832"/>
      <c r="D452" s="997">
        <f>$G$377</f>
        <v>700</v>
      </c>
      <c r="E452" s="990" t="s">
        <v>1510</v>
      </c>
      <c r="F452" s="997">
        <f>$G$62</f>
        <v>75</v>
      </c>
      <c r="G452" s="990" t="s">
        <v>1485</v>
      </c>
      <c r="H452" s="997">
        <f>D452-F452</f>
        <v>625</v>
      </c>
      <c r="I452" s="990" t="s">
        <v>43</v>
      </c>
      <c r="J452" s="832"/>
      <c r="K452" s="832"/>
      <c r="L452" s="832"/>
      <c r="M452" s="832"/>
      <c r="N452" s="832"/>
      <c r="O452" s="832"/>
      <c r="P452" s="832"/>
      <c r="Q452" s="832"/>
      <c r="R452" s="832"/>
      <c r="S452" s="832"/>
      <c r="T452" s="832"/>
    </row>
    <row r="453" spans="1:20" x14ac:dyDescent="0.2">
      <c r="A453" s="832"/>
      <c r="B453" s="990" t="s">
        <v>1168</v>
      </c>
      <c r="C453" s="832"/>
      <c r="D453" s="832"/>
      <c r="E453" s="832"/>
      <c r="F453" s="832"/>
      <c r="G453" s="832"/>
      <c r="H453" s="874">
        <f>E451/(F412*E413*H452)*1000000000</f>
        <v>339.65309323136847</v>
      </c>
      <c r="I453" s="990" t="s">
        <v>78</v>
      </c>
      <c r="J453" s="832"/>
      <c r="K453" s="832"/>
      <c r="L453" s="832"/>
      <c r="M453" s="832"/>
      <c r="N453" s="832"/>
      <c r="O453" s="832"/>
      <c r="P453" s="832"/>
      <c r="Q453" s="832"/>
      <c r="R453" s="832"/>
      <c r="S453" s="832"/>
      <c r="T453" s="832"/>
    </row>
    <row r="454" spans="1:20" x14ac:dyDescent="0.2">
      <c r="A454" s="990" t="s">
        <v>986</v>
      </c>
      <c r="B454" s="832"/>
      <c r="C454" s="832"/>
      <c r="D454" s="832"/>
      <c r="E454" s="832"/>
      <c r="F454" s="832"/>
      <c r="G454" s="832"/>
      <c r="H454" s="832"/>
      <c r="I454" s="832"/>
      <c r="J454" s="832"/>
      <c r="K454" s="832"/>
      <c r="L454" s="832"/>
      <c r="M454" s="832"/>
      <c r="N454" s="832"/>
      <c r="O454" s="832"/>
      <c r="P454" s="832"/>
      <c r="Q454" s="832"/>
      <c r="R454" s="832"/>
      <c r="S454" s="832"/>
      <c r="T454" s="832"/>
    </row>
    <row r="455" spans="1:20" x14ac:dyDescent="0.2">
      <c r="A455" s="832"/>
      <c r="B455" s="990" t="s">
        <v>87</v>
      </c>
      <c r="C455" s="832"/>
      <c r="D455" s="832"/>
      <c r="E455" s="832"/>
      <c r="F455" s="832"/>
      <c r="G455" s="832"/>
      <c r="H455" s="832"/>
      <c r="I455" s="832"/>
      <c r="J455" s="832"/>
      <c r="K455" s="832"/>
      <c r="L455" s="832"/>
      <c r="M455" s="832"/>
      <c r="N455" s="832"/>
      <c r="O455" s="832"/>
      <c r="P455" s="832"/>
      <c r="Q455" s="832"/>
      <c r="R455" s="832"/>
      <c r="S455" s="832"/>
      <c r="T455" s="832"/>
    </row>
    <row r="456" spans="1:20" x14ac:dyDescent="0.2">
      <c r="A456" s="832"/>
      <c r="B456" s="832"/>
      <c r="C456" s="832"/>
      <c r="D456" s="832"/>
      <c r="E456" s="832"/>
      <c r="F456" s="832"/>
      <c r="G456" s="832"/>
      <c r="H456" s="832"/>
      <c r="I456" s="832"/>
      <c r="J456" s="832"/>
      <c r="K456" s="832"/>
      <c r="L456" s="832"/>
      <c r="M456" s="832"/>
      <c r="N456" s="832"/>
      <c r="O456" s="832"/>
      <c r="P456" s="832"/>
      <c r="Q456" s="832"/>
      <c r="R456" s="832"/>
      <c r="S456" s="832"/>
      <c r="T456" s="832"/>
    </row>
    <row r="457" spans="1:20" x14ac:dyDescent="0.2">
      <c r="A457" s="832"/>
      <c r="B457" s="990" t="s">
        <v>1838</v>
      </c>
      <c r="C457" s="832"/>
      <c r="D457" s="832"/>
      <c r="E457" s="832"/>
      <c r="F457" s="832"/>
      <c r="G457" s="994">
        <f>$E$25-$E$27+$E$34/1000</f>
        <v>7.3</v>
      </c>
      <c r="H457" s="994" t="str">
        <f>IF(G457&lt;=9,"m  &lt;  9 m","m  &gt;  9 m")</f>
        <v>m  &lt;  9 m</v>
      </c>
      <c r="I457" s="832"/>
      <c r="J457" s="832"/>
      <c r="K457" s="832"/>
      <c r="L457" s="832"/>
      <c r="M457" s="832"/>
      <c r="N457" s="832"/>
      <c r="O457" s="832"/>
      <c r="P457" s="832"/>
      <c r="Q457" s="832"/>
      <c r="R457" s="832"/>
      <c r="S457" s="832"/>
      <c r="T457" s="832"/>
    </row>
    <row r="458" spans="1:20" x14ac:dyDescent="0.2">
      <c r="A458" s="832"/>
      <c r="B458" s="990" t="s">
        <v>1548</v>
      </c>
      <c r="C458" s="832"/>
      <c r="D458" s="832"/>
      <c r="E458" s="832"/>
      <c r="F458" s="832"/>
      <c r="G458" s="997">
        <f>$G$401</f>
        <v>750</v>
      </c>
      <c r="H458" s="994" t="str">
        <f>IF(G458&lt;=380,"mm  &lt;  380 mm","mm  &gt;  380 mm")</f>
        <v>mm  &gt;  380 mm</v>
      </c>
      <c r="I458" s="832"/>
      <c r="J458" s="832"/>
      <c r="K458" s="832"/>
      <c r="L458" s="832"/>
      <c r="M458" s="832"/>
      <c r="N458" s="832"/>
      <c r="O458" s="832"/>
      <c r="P458" s="832"/>
      <c r="Q458" s="832"/>
      <c r="R458" s="832"/>
      <c r="S458" s="832"/>
      <c r="T458" s="832"/>
    </row>
    <row r="459" spans="1:20" x14ac:dyDescent="0.2">
      <c r="A459" s="832"/>
      <c r="B459" s="990" t="s">
        <v>1174</v>
      </c>
      <c r="C459" s="832"/>
      <c r="D459" s="832"/>
      <c r="E459" s="1015">
        <f>IF(G457&lt;=9,$C$247,$C$248)</f>
        <v>2E-3</v>
      </c>
      <c r="F459" s="832"/>
      <c r="G459" s="832"/>
      <c r="H459" s="832"/>
      <c r="I459" s="832"/>
      <c r="J459" s="832"/>
      <c r="K459" s="832"/>
      <c r="L459" s="832"/>
      <c r="M459" s="832"/>
      <c r="N459" s="832"/>
      <c r="O459" s="832"/>
      <c r="P459" s="832"/>
      <c r="Q459" s="832"/>
      <c r="R459" s="832"/>
      <c r="S459" s="832"/>
      <c r="T459" s="832"/>
    </row>
    <row r="460" spans="1:20" x14ac:dyDescent="0.2">
      <c r="A460" s="832"/>
      <c r="B460" s="832"/>
      <c r="C460" s="832"/>
      <c r="D460" s="832"/>
      <c r="E460" s="832"/>
      <c r="F460" s="832"/>
      <c r="G460" s="832"/>
      <c r="H460" s="832"/>
      <c r="I460" s="832"/>
      <c r="J460" s="832"/>
      <c r="K460" s="832"/>
      <c r="L460" s="990" t="s">
        <v>66</v>
      </c>
      <c r="M460" s="832"/>
      <c r="N460" s="997">
        <v>12</v>
      </c>
      <c r="O460" s="997">
        <v>16</v>
      </c>
      <c r="P460" s="997">
        <v>20</v>
      </c>
      <c r="Q460" s="997">
        <v>22</v>
      </c>
      <c r="R460" s="997">
        <v>25</v>
      </c>
      <c r="S460" s="832"/>
      <c r="T460" s="832"/>
    </row>
    <row r="461" spans="1:20" x14ac:dyDescent="0.2">
      <c r="A461" s="832"/>
      <c r="B461" s="990" t="s">
        <v>1836</v>
      </c>
      <c r="C461" s="1015"/>
      <c r="D461" s="990"/>
      <c r="E461" s="997"/>
      <c r="F461" s="990"/>
      <c r="G461" s="832"/>
      <c r="H461" s="874">
        <f>IF(G457&lt;=9,C247,C248)*IF(G458&lt;380,G458,380)*1000</f>
        <v>760</v>
      </c>
      <c r="I461" s="990" t="s">
        <v>78</v>
      </c>
      <c r="J461" s="832"/>
      <c r="K461" s="832"/>
      <c r="L461" s="990" t="s">
        <v>67</v>
      </c>
      <c r="M461" s="832"/>
      <c r="N461" s="997">
        <f>IF(H463=0,100000000,TRUNC(785.4*N460^2/H463/25)*25)</f>
        <v>125</v>
      </c>
      <c r="O461" s="997">
        <f>IF(H463=0,100000000,TRUNC(785.4*O460^2/H463/25)*25)</f>
        <v>250</v>
      </c>
      <c r="P461" s="997">
        <f>IF(H463=0,100000000,TRUNC(785.4*P460^2/H463/25)*25)</f>
        <v>400</v>
      </c>
      <c r="Q461" s="997">
        <f>IF(H463=0,100000000,TRUNC(785.4*Q460^2/H463/25)*25)</f>
        <v>500</v>
      </c>
      <c r="R461" s="997">
        <f>IF(H463=0,100000000,TRUNC(785.4*R460^2/H463/25)*25)</f>
        <v>625</v>
      </c>
      <c r="S461" s="832"/>
      <c r="T461" s="832"/>
    </row>
    <row r="462" spans="1:20" x14ac:dyDescent="0.2">
      <c r="A462" s="832"/>
      <c r="B462" s="832"/>
      <c r="C462" s="832"/>
      <c r="D462" s="832"/>
      <c r="E462" s="832"/>
      <c r="F462" s="832"/>
      <c r="G462" s="832"/>
      <c r="H462" s="832"/>
      <c r="I462" s="832"/>
      <c r="J462" s="832"/>
      <c r="K462" s="832"/>
      <c r="L462" s="990" t="s">
        <v>68</v>
      </c>
      <c r="M462" s="832"/>
      <c r="N462" s="997">
        <f>785.4*N460^2/N461</f>
        <v>904.78079999999989</v>
      </c>
      <c r="O462" s="997">
        <f>785.4*O460^2/O461</f>
        <v>804.24959999999999</v>
      </c>
      <c r="P462" s="997">
        <f>785.4*P460^2/P461</f>
        <v>785.4</v>
      </c>
      <c r="Q462" s="997">
        <f>785.4*Q460^2/Q461</f>
        <v>760.2672</v>
      </c>
      <c r="R462" s="997">
        <f>785.4*R460^2/R461</f>
        <v>785.4</v>
      </c>
      <c r="S462" s="832"/>
      <c r="T462" s="832"/>
    </row>
    <row r="463" spans="1:20" x14ac:dyDescent="0.2">
      <c r="A463" s="832"/>
      <c r="B463" s="994" t="str">
        <f>IF(H453&gt;H461,"Ast(Moment)  &gt;  Ast(Shrinkage)","Ast(Moment)  &lt;  Ast(Shrinkage)")</f>
        <v>Ast(Moment)  &lt;  Ast(Shrinkage)</v>
      </c>
      <c r="C463" s="832"/>
      <c r="D463" s="832"/>
      <c r="E463" s="832"/>
      <c r="F463" s="990" t="s">
        <v>88</v>
      </c>
      <c r="G463" s="832"/>
      <c r="H463" s="997">
        <f>IF(H453&gt;H461,H453,H461)</f>
        <v>760</v>
      </c>
      <c r="I463" s="990" t="s">
        <v>89</v>
      </c>
      <c r="J463" s="832"/>
      <c r="K463" s="832"/>
      <c r="L463" s="990" t="s">
        <v>69</v>
      </c>
      <c r="M463" s="832"/>
      <c r="N463" s="997">
        <f>IF(OR(N461&gt;300,N461&lt;100),100000000,N462-H463)</f>
        <v>144.78079999999989</v>
      </c>
      <c r="O463" s="997">
        <f>IF(OR(O461&gt;300,O461&lt;100),100000001,O462-H463)</f>
        <v>44.249599999999987</v>
      </c>
      <c r="P463" s="997">
        <f>IF(OR(P461&gt;300,P461&lt;100),100000001,P462-H463)</f>
        <v>100000001</v>
      </c>
      <c r="Q463" s="997">
        <f>IF(OR(Q461&gt;300,Q461&lt;100),100000001,Q462-H463)</f>
        <v>100000001</v>
      </c>
      <c r="R463" s="997">
        <f>IF(OR(R461&gt;300,R461&lt;100),100000001,R462-H463)</f>
        <v>100000001</v>
      </c>
      <c r="S463" s="832"/>
      <c r="T463" s="832"/>
    </row>
    <row r="464" spans="1:20" x14ac:dyDescent="0.2">
      <c r="A464" s="832"/>
      <c r="B464" s="990" t="s">
        <v>79</v>
      </c>
      <c r="C464" s="997">
        <f>IF(L1508=0,N464,L1508)</f>
        <v>16</v>
      </c>
      <c r="D464" s="990" t="s">
        <v>71</v>
      </c>
      <c r="E464" s="997">
        <v>200</v>
      </c>
      <c r="F464" s="990" t="s">
        <v>80</v>
      </c>
      <c r="G464" s="832"/>
      <c r="H464" s="997">
        <f>785.4*C464^2/E464</f>
        <v>1005.312</v>
      </c>
      <c r="I464" s="990" t="s">
        <v>81</v>
      </c>
      <c r="J464" s="832"/>
      <c r="K464" s="832"/>
      <c r="L464" s="990" t="s">
        <v>70</v>
      </c>
      <c r="M464" s="832"/>
      <c r="N464" s="997">
        <f>IF(R461&lt;100,25,IF(MIN(N463:R463)=N463,12,IF(MIN(N463:R463)=O463,16,IF(MIN(N463:R463)=P463,20,IF(MIN(N463:R463)=Q463,22,IF(MIN(N463:R463)=R463,25,0))))))</f>
        <v>16</v>
      </c>
      <c r="O464" s="990" t="s">
        <v>71</v>
      </c>
      <c r="P464" s="997">
        <f>IF(N464=12,N461,IF(N464=16,O461,IF(N464=20,P461,IF(N464=22,Q461,IF(N464=25,R461,0)))))</f>
        <v>250</v>
      </c>
      <c r="Q464" s="990" t="s">
        <v>72</v>
      </c>
      <c r="R464" s="832"/>
      <c r="S464" s="832"/>
      <c r="T464" s="832"/>
    </row>
    <row r="465" spans="1:20" x14ac:dyDescent="0.2">
      <c r="A465" s="832"/>
      <c r="B465" s="832"/>
      <c r="C465" s="832"/>
      <c r="D465" s="832"/>
      <c r="E465" s="832"/>
      <c r="F465" s="832"/>
      <c r="G465" s="832"/>
      <c r="H465" s="832"/>
      <c r="I465" s="832"/>
      <c r="J465" s="832"/>
      <c r="K465" s="832"/>
      <c r="L465" s="832"/>
      <c r="M465" s="832"/>
      <c r="N465" s="832"/>
      <c r="O465" s="832"/>
      <c r="P465" s="832"/>
      <c r="Q465" s="832"/>
      <c r="R465" s="832"/>
      <c r="S465" s="832"/>
      <c r="T465" s="832"/>
    </row>
    <row r="466" spans="1:20" x14ac:dyDescent="0.2">
      <c r="A466" s="990" t="s">
        <v>950</v>
      </c>
      <c r="B466" s="832"/>
      <c r="C466" s="832"/>
      <c r="D466" s="832"/>
      <c r="E466" s="832"/>
      <c r="F466" s="832"/>
      <c r="G466" s="832"/>
      <c r="H466" s="832"/>
      <c r="I466" s="832"/>
      <c r="J466" s="832"/>
      <c r="K466" s="832"/>
      <c r="L466" s="832"/>
      <c r="M466" s="832"/>
      <c r="N466" s="832"/>
      <c r="O466" s="832"/>
      <c r="P466" s="832"/>
      <c r="Q466" s="832"/>
      <c r="R466" s="832"/>
      <c r="S466" s="832"/>
      <c r="T466" s="832"/>
    </row>
    <row r="467" spans="1:20" x14ac:dyDescent="0.2">
      <c r="A467" s="990" t="s">
        <v>85</v>
      </c>
      <c r="B467" s="832"/>
      <c r="C467" s="832"/>
      <c r="D467" s="832"/>
      <c r="E467" s="832"/>
      <c r="F467" s="832"/>
      <c r="G467" s="832"/>
      <c r="H467" s="832"/>
      <c r="I467" s="832"/>
      <c r="J467" s="832"/>
      <c r="K467" s="832"/>
      <c r="L467" s="832"/>
      <c r="M467" s="832"/>
      <c r="N467" s="832"/>
      <c r="O467" s="832"/>
      <c r="P467" s="832"/>
      <c r="Q467" s="832"/>
      <c r="R467" s="832"/>
      <c r="S467" s="832"/>
      <c r="T467" s="832"/>
    </row>
    <row r="468" spans="1:20" x14ac:dyDescent="0.2">
      <c r="A468" s="996" t="s">
        <v>1515</v>
      </c>
      <c r="B468" s="832"/>
      <c r="C468" s="832"/>
      <c r="D468" s="832"/>
      <c r="E468" s="832"/>
      <c r="F468" s="832"/>
      <c r="G468" s="832"/>
      <c r="H468" s="832"/>
      <c r="I468" s="832"/>
      <c r="J468" s="832"/>
      <c r="K468" s="832"/>
      <c r="L468" s="832"/>
      <c r="M468" s="832"/>
      <c r="N468" s="832"/>
      <c r="O468" s="832"/>
      <c r="P468" s="832"/>
      <c r="Q468" s="832"/>
      <c r="R468" s="832"/>
      <c r="S468" s="832"/>
      <c r="T468" s="832"/>
    </row>
    <row r="469" spans="1:20" x14ac:dyDescent="0.2">
      <c r="A469" s="832"/>
      <c r="B469" s="990" t="s">
        <v>1553</v>
      </c>
      <c r="C469" s="832"/>
      <c r="D469" s="832"/>
      <c r="E469" s="832"/>
      <c r="F469" s="832"/>
      <c r="G469" s="832"/>
      <c r="H469" s="832"/>
      <c r="I469" s="832"/>
      <c r="J469" s="832"/>
      <c r="K469" s="832"/>
      <c r="L469" s="832"/>
      <c r="M469" s="832"/>
      <c r="N469" s="832"/>
      <c r="O469" s="832"/>
      <c r="P469" s="832"/>
      <c r="Q469" s="832"/>
      <c r="R469" s="832"/>
      <c r="S469" s="832"/>
      <c r="T469" s="832"/>
    </row>
    <row r="470" spans="1:20" x14ac:dyDescent="0.2">
      <c r="A470" s="832"/>
      <c r="B470" s="990" t="s">
        <v>1554</v>
      </c>
      <c r="C470" s="832"/>
      <c r="D470" s="832"/>
      <c r="E470" s="832"/>
      <c r="F470" s="832"/>
      <c r="G470" s="832"/>
      <c r="H470" s="832"/>
      <c r="I470" s="832"/>
      <c r="J470" s="832"/>
      <c r="K470" s="832"/>
      <c r="L470" s="832"/>
      <c r="M470" s="832"/>
      <c r="N470" s="832"/>
      <c r="O470" s="832"/>
      <c r="P470" s="832"/>
      <c r="Q470" s="832"/>
      <c r="R470" s="832"/>
      <c r="S470" s="832"/>
      <c r="T470" s="832"/>
    </row>
    <row r="471" spans="1:20" x14ac:dyDescent="0.2">
      <c r="A471" s="832"/>
      <c r="B471" s="832"/>
      <c r="C471" s="832"/>
      <c r="D471" s="832"/>
      <c r="E471" s="832"/>
      <c r="F471" s="832"/>
      <c r="G471" s="832"/>
      <c r="H471" s="832"/>
      <c r="I471" s="832"/>
      <c r="J471" s="832"/>
      <c r="K471" s="832"/>
      <c r="L471" s="832"/>
      <c r="M471" s="832"/>
      <c r="N471" s="832"/>
      <c r="O471" s="832"/>
      <c r="P471" s="832"/>
      <c r="Q471" s="832"/>
      <c r="R471" s="832"/>
      <c r="S471" s="832"/>
      <c r="T471" s="832"/>
    </row>
    <row r="472" spans="1:20" x14ac:dyDescent="0.2">
      <c r="A472" s="832"/>
      <c r="B472" s="990" t="s">
        <v>1551</v>
      </c>
      <c r="C472" s="832"/>
      <c r="D472" s="832"/>
      <c r="E472" s="994">
        <f>J342</f>
        <v>177.06534113825001</v>
      </c>
      <c r="F472" s="990" t="s">
        <v>58</v>
      </c>
      <c r="G472" s="832"/>
      <c r="H472" s="832"/>
      <c r="I472" s="832"/>
      <c r="J472" s="832"/>
      <c r="K472" s="832"/>
      <c r="L472" s="832"/>
      <c r="M472" s="832"/>
      <c r="N472" s="832"/>
      <c r="O472" s="832"/>
      <c r="P472" s="832"/>
      <c r="Q472" s="832"/>
      <c r="R472" s="832"/>
      <c r="S472" s="832"/>
      <c r="T472" s="832"/>
    </row>
    <row r="473" spans="1:20" x14ac:dyDescent="0.2">
      <c r="A473" s="832"/>
      <c r="B473" s="990" t="s">
        <v>1555</v>
      </c>
      <c r="C473" s="832"/>
      <c r="D473" s="997">
        <f>G401</f>
        <v>750</v>
      </c>
      <c r="E473" s="990" t="s">
        <v>1510</v>
      </c>
      <c r="F473" s="997">
        <f>$G$62</f>
        <v>75</v>
      </c>
      <c r="G473" s="990" t="s">
        <v>1485</v>
      </c>
      <c r="H473" s="997">
        <f>D473-F473</f>
        <v>675</v>
      </c>
      <c r="I473" s="990" t="s">
        <v>43</v>
      </c>
      <c r="J473" s="832"/>
      <c r="K473" s="832"/>
      <c r="L473" s="832"/>
      <c r="M473" s="832"/>
      <c r="N473" s="832"/>
      <c r="O473" s="832"/>
      <c r="P473" s="832"/>
      <c r="Q473" s="832"/>
      <c r="R473" s="832"/>
      <c r="S473" s="832"/>
      <c r="T473" s="832"/>
    </row>
    <row r="474" spans="1:20" x14ac:dyDescent="0.2">
      <c r="A474" s="832"/>
      <c r="B474" s="990" t="s">
        <v>1832</v>
      </c>
      <c r="C474" s="832"/>
      <c r="D474" s="832"/>
      <c r="E474" s="832"/>
      <c r="F474" s="832"/>
      <c r="G474" s="832"/>
      <c r="H474" s="874">
        <f>E472/(F412*E413*H473)*1000000000</f>
        <v>1575.3532866490589</v>
      </c>
      <c r="I474" s="990" t="s">
        <v>78</v>
      </c>
      <c r="J474" s="832"/>
      <c r="K474" s="832"/>
      <c r="L474" s="832"/>
      <c r="M474" s="832"/>
      <c r="N474" s="832"/>
      <c r="O474" s="832"/>
      <c r="P474" s="832"/>
      <c r="Q474" s="832"/>
      <c r="R474" s="832"/>
      <c r="S474" s="832"/>
      <c r="T474" s="832"/>
    </row>
    <row r="475" spans="1:20" x14ac:dyDescent="0.2">
      <c r="A475" s="832"/>
      <c r="B475" s="832"/>
      <c r="C475" s="832"/>
      <c r="D475" s="994"/>
      <c r="E475" s="990"/>
      <c r="F475" s="832"/>
      <c r="G475" s="832"/>
      <c r="H475" s="832"/>
      <c r="I475" s="832"/>
      <c r="J475" s="832"/>
      <c r="K475" s="832"/>
      <c r="L475" s="832"/>
      <c r="M475" s="832"/>
      <c r="N475" s="832"/>
      <c r="O475" s="832"/>
      <c r="P475" s="832"/>
      <c r="Q475" s="832"/>
      <c r="R475" s="832"/>
      <c r="S475" s="832"/>
      <c r="T475" s="832"/>
    </row>
    <row r="476" spans="1:20" x14ac:dyDescent="0.2">
      <c r="A476" s="832"/>
      <c r="B476" s="990" t="s">
        <v>87</v>
      </c>
      <c r="C476" s="832"/>
      <c r="D476" s="832"/>
      <c r="E476" s="832"/>
      <c r="F476" s="832"/>
      <c r="G476" s="832"/>
      <c r="H476" s="832"/>
      <c r="I476" s="832"/>
      <c r="J476" s="832"/>
      <c r="K476" s="832"/>
      <c r="L476" s="832"/>
      <c r="M476" s="832"/>
      <c r="N476" s="832"/>
      <c r="O476" s="832"/>
      <c r="P476" s="832"/>
      <c r="Q476" s="832"/>
      <c r="R476" s="832"/>
      <c r="S476" s="832"/>
      <c r="T476" s="832"/>
    </row>
    <row r="477" spans="1:20" x14ac:dyDescent="0.2">
      <c r="A477" s="832"/>
      <c r="B477" s="832"/>
      <c r="C477" s="832"/>
      <c r="D477" s="832"/>
      <c r="E477" s="832"/>
      <c r="F477" s="832"/>
      <c r="G477" s="832"/>
      <c r="H477" s="832"/>
      <c r="I477" s="832"/>
      <c r="J477" s="832"/>
      <c r="K477" s="832"/>
      <c r="L477" s="832"/>
      <c r="M477" s="832"/>
      <c r="N477" s="832"/>
      <c r="O477" s="832"/>
      <c r="P477" s="832"/>
      <c r="Q477" s="832"/>
      <c r="R477" s="832"/>
      <c r="S477" s="832"/>
      <c r="T477" s="832"/>
    </row>
    <row r="478" spans="1:20" x14ac:dyDescent="0.2">
      <c r="A478" s="832"/>
      <c r="B478" s="990" t="s">
        <v>1552</v>
      </c>
      <c r="C478" s="832"/>
      <c r="D478" s="832"/>
      <c r="E478" s="832"/>
      <c r="F478" s="832"/>
      <c r="G478" s="994">
        <f>$E$25-$E$27+$E$34/1000</f>
        <v>7.3</v>
      </c>
      <c r="H478" s="994" t="str">
        <f>IF(G478&lt;=9,"m  &lt;  9 m","m  &gt;  9 m")</f>
        <v>m  &lt;  9 m</v>
      </c>
      <c r="I478" s="832"/>
      <c r="J478" s="832"/>
      <c r="K478" s="832"/>
      <c r="L478" s="832"/>
      <c r="M478" s="832"/>
      <c r="N478" s="832"/>
      <c r="O478" s="832"/>
      <c r="P478" s="832"/>
      <c r="Q478" s="832"/>
      <c r="R478" s="832"/>
      <c r="S478" s="832"/>
      <c r="T478" s="832"/>
    </row>
    <row r="479" spans="1:20" x14ac:dyDescent="0.2">
      <c r="A479" s="832"/>
      <c r="B479" s="990" t="s">
        <v>1548</v>
      </c>
      <c r="C479" s="832"/>
      <c r="D479" s="832"/>
      <c r="E479" s="832"/>
      <c r="F479" s="832"/>
      <c r="G479" s="997">
        <f>G401</f>
        <v>750</v>
      </c>
      <c r="H479" s="994" t="str">
        <f>IF(G479&lt;=380,"mm  &lt;  380 mm","mm  &gt;  380 mm")</f>
        <v>mm  &gt;  380 mm</v>
      </c>
      <c r="I479" s="832"/>
      <c r="J479" s="832"/>
      <c r="K479" s="832"/>
      <c r="L479" s="832"/>
      <c r="M479" s="832"/>
      <c r="N479" s="832"/>
      <c r="O479" s="832"/>
      <c r="P479" s="832"/>
      <c r="Q479" s="832"/>
      <c r="R479" s="832"/>
      <c r="S479" s="832"/>
      <c r="T479" s="832"/>
    </row>
    <row r="480" spans="1:20" x14ac:dyDescent="0.2">
      <c r="A480" s="832"/>
      <c r="B480" s="990" t="s">
        <v>1171</v>
      </c>
      <c r="C480" s="832"/>
      <c r="D480" s="832"/>
      <c r="E480" s="1015">
        <f>IF(G478&lt;=9,$D$247,$D$248)</f>
        <v>1E-3</v>
      </c>
      <c r="F480" s="832"/>
      <c r="G480" s="832"/>
      <c r="H480" s="832"/>
      <c r="I480" s="832"/>
      <c r="J480" s="832"/>
      <c r="K480" s="832"/>
      <c r="L480" s="990" t="s">
        <v>66</v>
      </c>
      <c r="M480" s="832"/>
      <c r="N480" s="997">
        <v>12</v>
      </c>
      <c r="O480" s="997">
        <v>16</v>
      </c>
      <c r="P480" s="997">
        <v>20</v>
      </c>
      <c r="Q480" s="997">
        <v>22</v>
      </c>
      <c r="R480" s="997">
        <v>25</v>
      </c>
      <c r="S480" s="832"/>
      <c r="T480" s="832"/>
    </row>
    <row r="481" spans="1:20" x14ac:dyDescent="0.2">
      <c r="A481" s="832"/>
      <c r="B481" s="832"/>
      <c r="C481" s="832"/>
      <c r="D481" s="832"/>
      <c r="E481" s="832"/>
      <c r="F481" s="832"/>
      <c r="G481" s="832"/>
      <c r="H481" s="832"/>
      <c r="I481" s="832"/>
      <c r="J481" s="832"/>
      <c r="K481" s="832"/>
      <c r="L481" s="990" t="s">
        <v>67</v>
      </c>
      <c r="M481" s="832"/>
      <c r="N481" s="997">
        <f>IF(H484=0,100000000,TRUNC(785.4*N480^2/H484/25)*25)</f>
        <v>50</v>
      </c>
      <c r="O481" s="997">
        <f>IF(H484=0,100000000,TRUNC(785.4*O480^2/H484/25)*25)</f>
        <v>125</v>
      </c>
      <c r="P481" s="997">
        <f>IF(H484=0,100000000,TRUNC(785.4*P480^2/H484/25)*25)</f>
        <v>175</v>
      </c>
      <c r="Q481" s="997">
        <f>IF(H484=0,100000000,TRUNC(785.4*Q480^2/H484/25)*25)</f>
        <v>225</v>
      </c>
      <c r="R481" s="997">
        <f>IF(H484=0,100000000,TRUNC(785.4*R480^2/H484/25)*25)</f>
        <v>300</v>
      </c>
      <c r="S481" s="832"/>
      <c r="T481" s="832"/>
    </row>
    <row r="482" spans="1:20" x14ac:dyDescent="0.2">
      <c r="A482" s="832"/>
      <c r="B482" s="990" t="s">
        <v>1837</v>
      </c>
      <c r="C482" s="1015"/>
      <c r="D482" s="990"/>
      <c r="E482" s="997"/>
      <c r="F482" s="990"/>
      <c r="G482" s="832"/>
      <c r="H482" s="874">
        <f>IF(G478&lt;=9,D247,D248)*IF(G479&lt;380,G479,380)*1000</f>
        <v>380</v>
      </c>
      <c r="I482" s="990" t="s">
        <v>78</v>
      </c>
      <c r="J482" s="832"/>
      <c r="K482" s="832"/>
      <c r="L482" s="990" t="s">
        <v>68</v>
      </c>
      <c r="M482" s="832"/>
      <c r="N482" s="997">
        <f>785.4*N480^2/N481</f>
        <v>2261.9519999999998</v>
      </c>
      <c r="O482" s="997">
        <f>785.4*O480^2/O481</f>
        <v>1608.4992</v>
      </c>
      <c r="P482" s="997">
        <f>785.4*P480^2/P481</f>
        <v>1795.2</v>
      </c>
      <c r="Q482" s="997">
        <f>785.4*Q480^2/Q481</f>
        <v>1689.4826666666665</v>
      </c>
      <c r="R482" s="997">
        <f>785.4*R480^2/R481</f>
        <v>1636.25</v>
      </c>
      <c r="S482" s="832"/>
      <c r="T482" s="832"/>
    </row>
    <row r="483" spans="1:20" x14ac:dyDescent="0.2">
      <c r="A483" s="832"/>
      <c r="B483" s="832"/>
      <c r="C483" s="832"/>
      <c r="D483" s="832"/>
      <c r="E483" s="832"/>
      <c r="F483" s="832"/>
      <c r="G483" s="832"/>
      <c r="H483" s="832"/>
      <c r="I483" s="832"/>
      <c r="J483" s="832"/>
      <c r="K483" s="832"/>
      <c r="L483" s="990" t="s">
        <v>69</v>
      </c>
      <c r="M483" s="832"/>
      <c r="N483" s="997">
        <f>IF(OR(N481&gt;300,N481&lt;100),100000000,N482-H484)</f>
        <v>100000000</v>
      </c>
      <c r="O483" s="997">
        <f>IF(OR(O481&gt;300,O481&lt;100),100000001,O482-H484)</f>
        <v>33.1459133509411</v>
      </c>
      <c r="P483" s="997">
        <f>IF(OR(P481&gt;300,P481&lt;100),100000001,P482-H484)</f>
        <v>219.84671335094117</v>
      </c>
      <c r="Q483" s="997">
        <f>IF(OR(Q481&gt;300,Q481&lt;100),100000001,Q482-H484)</f>
        <v>114.12938001760767</v>
      </c>
      <c r="R483" s="997">
        <f>IF(OR(R481&gt;300,R481&lt;100),100000001,R482-H484)</f>
        <v>60.896713350941127</v>
      </c>
      <c r="S483" s="832"/>
      <c r="T483" s="832"/>
    </row>
    <row r="484" spans="1:20" x14ac:dyDescent="0.2">
      <c r="A484" s="832"/>
      <c r="B484" s="1033" t="str">
        <f>IF(H474&gt;H482,"Ast(Moment)  &gt;  Ast(Shrinkage)","Ast(Moment)  &lt;  Ast(Shrinkage)")</f>
        <v>Ast(Moment)  &gt;  Ast(Shrinkage)</v>
      </c>
      <c r="C484" s="1032"/>
      <c r="D484" s="1032"/>
      <c r="E484" s="1032"/>
      <c r="F484" s="1030" t="s">
        <v>88</v>
      </c>
      <c r="G484" s="1032"/>
      <c r="H484" s="1031">
        <f>IF(H474&gt;H482,H474,H482)</f>
        <v>1575.3532866490589</v>
      </c>
      <c r="I484" s="1030" t="s">
        <v>89</v>
      </c>
      <c r="J484" s="832"/>
      <c r="K484" s="832"/>
      <c r="L484" s="990" t="s">
        <v>70</v>
      </c>
      <c r="M484" s="832"/>
      <c r="N484" s="997">
        <f>IF(R481&lt;100,25,IF(MIN(N483:R483)=N483,12,IF(MIN(N483:R483)=O483,16,IF(MIN(N483:R483)=P483,20,IF(MIN(N483:R483)=Q483,22,IF(MIN(N483:R483)=R483,25,0))))))</f>
        <v>16</v>
      </c>
      <c r="O484" s="990" t="s">
        <v>71</v>
      </c>
      <c r="P484" s="997">
        <f>IF(N484=12,N481,IF(N484=16,O481,IF(N484=20,P481,IF(N484=22,Q481,IF(N484=25,R481,0)))))</f>
        <v>125</v>
      </c>
      <c r="Q484" s="990" t="s">
        <v>72</v>
      </c>
      <c r="R484" s="832"/>
      <c r="S484" s="832"/>
      <c r="T484" s="832"/>
    </row>
    <row r="485" spans="1:20" x14ac:dyDescent="0.2">
      <c r="A485" s="832"/>
      <c r="B485" s="1030" t="s">
        <v>79</v>
      </c>
      <c r="C485" s="1031">
        <v>20</v>
      </c>
      <c r="D485" s="1030" t="s">
        <v>71</v>
      </c>
      <c r="E485" s="1031">
        <v>125</v>
      </c>
      <c r="F485" s="1030" t="s">
        <v>80</v>
      </c>
      <c r="G485" s="1032"/>
      <c r="H485" s="1031">
        <f>785.4*C485^2/E485</f>
        <v>2513.2800000000002</v>
      </c>
      <c r="I485" s="1030" t="s">
        <v>81</v>
      </c>
      <c r="J485" s="832"/>
      <c r="K485" s="832"/>
      <c r="L485" s="832"/>
      <c r="M485" s="832"/>
      <c r="N485" s="832"/>
      <c r="O485" s="832"/>
      <c r="P485" s="832"/>
      <c r="Q485" s="832"/>
      <c r="R485" s="832"/>
      <c r="S485" s="832"/>
      <c r="T485" s="832"/>
    </row>
    <row r="486" spans="1:20" x14ac:dyDescent="0.2">
      <c r="A486" s="832"/>
      <c r="B486" s="1034"/>
      <c r="C486" s="1031"/>
      <c r="D486" s="1030"/>
      <c r="E486" s="1031"/>
      <c r="F486" s="1030"/>
      <c r="G486" s="1032"/>
      <c r="H486" s="1031"/>
      <c r="I486" s="1030"/>
      <c r="J486" s="1035"/>
      <c r="K486" s="832"/>
      <c r="L486" s="832"/>
      <c r="M486" s="832"/>
      <c r="N486" s="832"/>
      <c r="O486" s="832"/>
      <c r="P486" s="832"/>
      <c r="Q486" s="832"/>
      <c r="R486" s="832"/>
      <c r="S486" s="832"/>
      <c r="T486" s="832"/>
    </row>
    <row r="487" spans="1:20" x14ac:dyDescent="0.2">
      <c r="A487" s="990" t="s">
        <v>986</v>
      </c>
      <c r="B487" s="1036"/>
      <c r="C487" s="1037"/>
      <c r="D487" s="1038"/>
      <c r="E487" s="1037"/>
      <c r="F487" s="1038"/>
      <c r="G487" s="1039"/>
      <c r="H487" s="1037"/>
      <c r="I487" s="1038"/>
      <c r="J487" s="832"/>
      <c r="K487" s="832"/>
      <c r="L487" s="832"/>
      <c r="M487" s="832"/>
      <c r="N487" s="832"/>
      <c r="O487" s="832"/>
      <c r="P487" s="832"/>
      <c r="Q487" s="832"/>
      <c r="R487" s="832"/>
      <c r="S487" s="832"/>
      <c r="T487" s="832"/>
    </row>
    <row r="488" spans="1:20" x14ac:dyDescent="0.2">
      <c r="A488" s="990" t="s">
        <v>950</v>
      </c>
      <c r="B488" s="832"/>
      <c r="C488" s="832"/>
      <c r="D488" s="832"/>
      <c r="E488" s="832"/>
      <c r="F488" s="832"/>
      <c r="G488" s="832"/>
      <c r="H488" s="832"/>
      <c r="I488" s="832"/>
      <c r="J488" s="832"/>
      <c r="K488" s="832"/>
      <c r="L488" s="832"/>
      <c r="M488" s="832"/>
      <c r="N488" s="832"/>
      <c r="O488" s="832"/>
      <c r="P488" s="832"/>
      <c r="Q488" s="832"/>
      <c r="R488" s="832"/>
      <c r="S488" s="832"/>
      <c r="T488" s="832"/>
    </row>
    <row r="489" spans="1:20" x14ac:dyDescent="0.2">
      <c r="A489" s="990" t="s">
        <v>1556</v>
      </c>
      <c r="B489" s="832"/>
      <c r="C489" s="832"/>
      <c r="D489" s="832"/>
      <c r="E489" s="832"/>
      <c r="F489" s="832"/>
      <c r="G489" s="832"/>
      <c r="H489" s="832"/>
      <c r="I489" s="832"/>
      <c r="J489" s="832"/>
      <c r="K489" s="832"/>
      <c r="L489" s="832"/>
      <c r="M489" s="832"/>
      <c r="N489" s="832"/>
      <c r="O489" s="832"/>
      <c r="P489" s="832"/>
      <c r="Q489" s="832"/>
      <c r="R489" s="832"/>
      <c r="S489" s="832"/>
      <c r="T489" s="832"/>
    </row>
    <row r="490" spans="1:20" x14ac:dyDescent="0.2">
      <c r="A490" s="832"/>
      <c r="B490" s="832"/>
      <c r="C490" s="832"/>
      <c r="D490" s="832"/>
      <c r="E490" s="832"/>
      <c r="F490" s="832"/>
      <c r="G490" s="832"/>
      <c r="H490" s="832"/>
      <c r="I490" s="832"/>
      <c r="J490" s="832"/>
      <c r="K490" s="832"/>
      <c r="L490" s="832"/>
      <c r="M490" s="832"/>
      <c r="N490" s="832"/>
      <c r="O490" s="832"/>
      <c r="P490" s="832"/>
      <c r="Q490" s="832"/>
      <c r="R490" s="832"/>
      <c r="S490" s="832"/>
      <c r="T490" s="832"/>
    </row>
    <row r="491" spans="1:20" x14ac:dyDescent="0.2">
      <c r="A491" s="832"/>
      <c r="B491" s="990" t="s">
        <v>2202</v>
      </c>
      <c r="C491" s="832"/>
      <c r="D491" s="832"/>
      <c r="E491" s="832"/>
      <c r="F491" s="832"/>
      <c r="G491" s="832"/>
      <c r="H491" s="832"/>
      <c r="I491" s="832"/>
      <c r="J491" s="832"/>
      <c r="K491" s="832"/>
      <c r="L491" s="832"/>
      <c r="M491" s="832"/>
      <c r="N491" s="832"/>
      <c r="O491" s="832"/>
      <c r="P491" s="832"/>
      <c r="Q491" s="832"/>
      <c r="R491" s="832"/>
      <c r="S491" s="832"/>
      <c r="T491" s="832"/>
    </row>
    <row r="492" spans="1:20" x14ac:dyDescent="0.2">
      <c r="A492" s="832"/>
      <c r="B492" s="990" t="s">
        <v>2203</v>
      </c>
      <c r="C492" s="832"/>
      <c r="D492" s="832"/>
      <c r="E492" s="832"/>
      <c r="F492" s="832"/>
      <c r="G492" s="832"/>
      <c r="H492" s="832"/>
      <c r="I492" s="832"/>
      <c r="J492" s="832"/>
      <c r="K492" s="832"/>
      <c r="L492" s="832"/>
      <c r="M492" s="832"/>
      <c r="N492" s="832"/>
      <c r="O492" s="832"/>
      <c r="P492" s="832"/>
      <c r="Q492" s="832"/>
      <c r="R492" s="832"/>
      <c r="S492" s="832"/>
      <c r="T492" s="832"/>
    </row>
    <row r="493" spans="1:20" x14ac:dyDescent="0.2">
      <c r="A493" s="832"/>
      <c r="B493" s="990"/>
      <c r="C493" s="832"/>
      <c r="D493" s="832"/>
      <c r="E493" s="832"/>
      <c r="F493" s="832"/>
      <c r="G493" s="832"/>
      <c r="H493" s="832"/>
      <c r="I493" s="832"/>
      <c r="J493" s="832"/>
      <c r="K493" s="832"/>
      <c r="L493" s="832"/>
      <c r="M493" s="832"/>
      <c r="N493" s="832"/>
      <c r="O493" s="832"/>
      <c r="P493" s="832"/>
      <c r="Q493" s="832"/>
      <c r="R493" s="832"/>
      <c r="S493" s="832"/>
      <c r="T493" s="832"/>
    </row>
    <row r="494" spans="1:20" x14ac:dyDescent="0.2">
      <c r="A494" s="990" t="s">
        <v>950</v>
      </c>
      <c r="B494" s="832"/>
      <c r="C494" s="832"/>
      <c r="D494" s="832"/>
      <c r="E494" s="832"/>
      <c r="F494" s="832"/>
      <c r="G494" s="832"/>
      <c r="H494" s="832"/>
      <c r="I494" s="832"/>
      <c r="J494" s="832"/>
      <c r="K494" s="832"/>
      <c r="L494" s="832"/>
      <c r="M494" s="832"/>
      <c r="N494" s="832"/>
      <c r="O494" s="832"/>
      <c r="P494" s="832"/>
      <c r="Q494" s="832"/>
      <c r="R494" s="832"/>
      <c r="S494" s="832"/>
      <c r="T494" s="832"/>
    </row>
    <row r="495" spans="1:20" x14ac:dyDescent="0.2">
      <c r="A495" s="990" t="s">
        <v>122</v>
      </c>
      <c r="B495" s="832"/>
      <c r="C495" s="832"/>
      <c r="D495" s="832"/>
      <c r="E495" s="832"/>
      <c r="F495" s="832"/>
      <c r="G495" s="832"/>
      <c r="H495" s="832"/>
      <c r="I495" s="832"/>
      <c r="J495" s="832"/>
      <c r="K495" s="832"/>
      <c r="L495" s="832"/>
      <c r="M495" s="832"/>
      <c r="N495" s="832"/>
      <c r="O495" s="832"/>
      <c r="P495" s="832"/>
      <c r="Q495" s="832"/>
      <c r="R495" s="832"/>
      <c r="S495" s="832"/>
      <c r="T495" s="832"/>
    </row>
    <row r="496" spans="1:20" x14ac:dyDescent="0.2">
      <c r="A496" s="996" t="s">
        <v>1557</v>
      </c>
      <c r="B496" s="832"/>
      <c r="C496" s="832"/>
      <c r="D496" s="832"/>
      <c r="E496" s="832"/>
      <c r="F496" s="832"/>
      <c r="G496" s="832"/>
      <c r="H496" s="832"/>
      <c r="I496" s="832"/>
      <c r="J496" s="832"/>
      <c r="K496" s="832"/>
      <c r="L496" s="832"/>
      <c r="M496" s="832"/>
      <c r="N496" s="832"/>
      <c r="O496" s="832"/>
      <c r="P496" s="832"/>
      <c r="Q496" s="832"/>
      <c r="R496" s="832"/>
      <c r="S496" s="832"/>
      <c r="T496" s="832"/>
    </row>
    <row r="497" spans="1:20" x14ac:dyDescent="0.2">
      <c r="A497" s="832"/>
      <c r="B497" s="990" t="s">
        <v>1558</v>
      </c>
      <c r="C497" s="832"/>
      <c r="D497" s="832"/>
      <c r="E497" s="832"/>
      <c r="F497" s="832"/>
      <c r="G497" s="832"/>
      <c r="H497" s="832"/>
      <c r="I497" s="832"/>
      <c r="J497" s="832"/>
      <c r="K497" s="832"/>
      <c r="L497" s="832"/>
      <c r="M497" s="832"/>
      <c r="N497" s="832"/>
      <c r="O497" s="832"/>
      <c r="P497" s="832"/>
      <c r="Q497" s="832"/>
      <c r="R497" s="832"/>
      <c r="S497" s="832"/>
      <c r="T497" s="832"/>
    </row>
    <row r="498" spans="1:20" x14ac:dyDescent="0.2">
      <c r="A498" s="832"/>
      <c r="B498" s="990" t="s">
        <v>1559</v>
      </c>
      <c r="C498" s="832"/>
      <c r="D498" s="832"/>
      <c r="E498" s="832"/>
      <c r="F498" s="832"/>
      <c r="G498" s="832"/>
      <c r="H498" s="832"/>
      <c r="I498" s="832"/>
      <c r="J498" s="832"/>
      <c r="K498" s="832"/>
      <c r="L498" s="832"/>
      <c r="M498" s="832"/>
      <c r="N498" s="832"/>
      <c r="O498" s="832"/>
      <c r="P498" s="832"/>
      <c r="Q498" s="832"/>
      <c r="R498" s="832"/>
      <c r="S498" s="832"/>
      <c r="T498" s="832"/>
    </row>
    <row r="499" spans="1:20" x14ac:dyDescent="0.2">
      <c r="A499" s="832"/>
      <c r="B499" s="832"/>
      <c r="C499" s="832"/>
      <c r="D499" s="832"/>
      <c r="E499" s="832"/>
      <c r="F499" s="832"/>
      <c r="G499" s="832"/>
      <c r="H499" s="832"/>
      <c r="I499" s="832"/>
      <c r="J499" s="832"/>
      <c r="K499" s="832"/>
      <c r="L499" s="832"/>
      <c r="M499" s="832"/>
      <c r="N499" s="832"/>
      <c r="O499" s="832"/>
      <c r="P499" s="832"/>
      <c r="Q499" s="832"/>
      <c r="R499" s="832"/>
      <c r="S499" s="832"/>
      <c r="T499" s="832"/>
    </row>
    <row r="500" spans="1:20" x14ac:dyDescent="0.2">
      <c r="A500" s="832"/>
      <c r="B500" s="990" t="s">
        <v>1560</v>
      </c>
      <c r="C500" s="832"/>
      <c r="D500" s="832"/>
      <c r="E500" s="832"/>
      <c r="F500" s="832"/>
      <c r="G500" s="832"/>
      <c r="H500" s="832"/>
      <c r="I500" s="832"/>
      <c r="J500" s="832"/>
      <c r="K500" s="832"/>
      <c r="L500" s="832"/>
      <c r="M500" s="832"/>
      <c r="N500" s="832"/>
      <c r="O500" s="832"/>
      <c r="P500" s="832"/>
      <c r="Q500" s="832"/>
      <c r="R500" s="832"/>
      <c r="S500" s="832"/>
      <c r="T500" s="832"/>
    </row>
    <row r="501" spans="1:20" x14ac:dyDescent="0.2">
      <c r="A501" s="832"/>
      <c r="B501" s="832"/>
      <c r="C501" s="990" t="s">
        <v>1448</v>
      </c>
      <c r="D501" s="994">
        <f>$E$24-$E$25</f>
        <v>0.75</v>
      </c>
      <c r="E501" s="990" t="s">
        <v>24</v>
      </c>
      <c r="F501" s="832"/>
      <c r="G501" s="832"/>
      <c r="H501" s="832"/>
      <c r="I501" s="832"/>
      <c r="J501" s="832"/>
      <c r="K501" s="832"/>
      <c r="L501" s="832"/>
      <c r="M501" s="832"/>
      <c r="N501" s="832"/>
      <c r="O501" s="832"/>
      <c r="P501" s="832"/>
      <c r="Q501" s="832"/>
      <c r="R501" s="832"/>
      <c r="S501" s="832"/>
      <c r="T501" s="832"/>
    </row>
    <row r="502" spans="1:20" x14ac:dyDescent="0.2">
      <c r="A502" s="832"/>
      <c r="B502" s="832"/>
      <c r="C502" s="832"/>
      <c r="D502" s="832"/>
      <c r="E502" s="832"/>
      <c r="F502" s="832"/>
      <c r="G502" s="832"/>
      <c r="H502" s="832"/>
      <c r="I502" s="832"/>
      <c r="J502" s="832"/>
      <c r="K502" s="832"/>
      <c r="L502" s="832"/>
      <c r="M502" s="832"/>
      <c r="N502" s="832"/>
      <c r="O502" s="832"/>
      <c r="P502" s="832"/>
      <c r="Q502" s="832"/>
      <c r="R502" s="832"/>
      <c r="S502" s="832"/>
      <c r="T502" s="832"/>
    </row>
    <row r="503" spans="1:20" x14ac:dyDescent="0.2">
      <c r="A503" s="832"/>
      <c r="B503" s="990" t="s">
        <v>1029</v>
      </c>
      <c r="C503" s="832"/>
      <c r="D503" s="832"/>
      <c r="E503" s="832"/>
      <c r="F503" s="832"/>
      <c r="G503" s="832"/>
      <c r="H503" s="832"/>
      <c r="I503" s="832"/>
      <c r="J503" s="832"/>
      <c r="K503" s="832"/>
      <c r="L503" s="832"/>
      <c r="M503" s="832"/>
      <c r="N503" s="832"/>
      <c r="O503" s="832"/>
      <c r="P503" s="832"/>
      <c r="Q503" s="832"/>
      <c r="R503" s="832"/>
      <c r="S503" s="832"/>
      <c r="T503" s="832"/>
    </row>
    <row r="504" spans="1:20" x14ac:dyDescent="0.2">
      <c r="A504" s="832"/>
      <c r="B504" s="990" t="s">
        <v>1030</v>
      </c>
      <c r="C504" s="994" t="str">
        <f>IF(E17="H10"," For H10 Loading, the Height of Soil Surcharge is 0.60 m.",IF(E17="H20"," For H20 Loading, the Height of Soil Surcharge is 0.90 m."," The Height of Soil Surcharge is zero for no Live Vehicle Loading."))</f>
        <v xml:space="preserve"> For H20 Loading, the Height of Soil Surcharge is 0.90 m.</v>
      </c>
      <c r="D504" s="832"/>
      <c r="E504" s="832"/>
      <c r="F504" s="832"/>
      <c r="G504" s="832"/>
      <c r="H504" s="832"/>
      <c r="I504" s="832"/>
      <c r="J504" s="832"/>
      <c r="K504" s="832"/>
      <c r="L504" s="832"/>
      <c r="M504" s="832"/>
      <c r="N504" s="832"/>
      <c r="O504" s="832"/>
      <c r="P504" s="832"/>
      <c r="Q504" s="832"/>
      <c r="R504" s="832"/>
      <c r="S504" s="832"/>
      <c r="T504" s="832"/>
    </row>
    <row r="505" spans="1:20" x14ac:dyDescent="0.2">
      <c r="A505" s="832"/>
      <c r="B505" s="832"/>
      <c r="C505" s="832"/>
      <c r="D505" s="832"/>
      <c r="E505" s="832"/>
      <c r="F505" s="832"/>
      <c r="G505" s="832"/>
      <c r="H505" s="832"/>
      <c r="I505" s="832"/>
      <c r="J505" s="832"/>
      <c r="K505" s="832"/>
      <c r="L505" s="832"/>
      <c r="M505" s="832"/>
      <c r="N505" s="832"/>
      <c r="O505" s="832"/>
      <c r="P505" s="832"/>
      <c r="Q505" s="832"/>
      <c r="R505" s="832"/>
      <c r="S505" s="832"/>
      <c r="T505" s="832"/>
    </row>
    <row r="506" spans="1:20" x14ac:dyDescent="0.2">
      <c r="A506" s="832"/>
      <c r="B506" s="990" t="s">
        <v>1561</v>
      </c>
      <c r="C506" s="994">
        <f>$G$22</f>
        <v>0.58879070648086362</v>
      </c>
      <c r="D506" s="990" t="s">
        <v>1512</v>
      </c>
      <c r="E506" s="994">
        <f>IF($E$17="H10",D501+0.6,IF($E$17="H20",D501+0.9,D501))</f>
        <v>1.65</v>
      </c>
      <c r="F506" s="990" t="s">
        <v>1512</v>
      </c>
      <c r="G506" s="994">
        <f>$E$11</f>
        <v>19.600000000000001</v>
      </c>
      <c r="H506" s="990" t="s">
        <v>55</v>
      </c>
      <c r="I506" s="994">
        <f>C506*E506*G506</f>
        <v>19.041491447591131</v>
      </c>
      <c r="J506" s="990" t="s">
        <v>35</v>
      </c>
      <c r="K506" s="832"/>
      <c r="L506" s="832"/>
      <c r="M506" s="832"/>
      <c r="N506" s="832"/>
      <c r="O506" s="832"/>
      <c r="P506" s="832"/>
      <c r="Q506" s="832"/>
      <c r="R506" s="832"/>
      <c r="S506" s="832"/>
      <c r="T506" s="832"/>
    </row>
    <row r="507" spans="1:20" x14ac:dyDescent="0.2">
      <c r="A507" s="832"/>
      <c r="B507" s="990" t="s">
        <v>1562</v>
      </c>
      <c r="C507" s="832"/>
      <c r="D507" s="832"/>
      <c r="E507" s="832"/>
      <c r="F507" s="832"/>
      <c r="G507" s="832"/>
      <c r="H507" s="832"/>
      <c r="I507" s="832"/>
      <c r="J507" s="832"/>
      <c r="K507" s="832"/>
      <c r="L507" s="832"/>
      <c r="M507" s="832"/>
      <c r="N507" s="832"/>
      <c r="O507" s="832"/>
      <c r="P507" s="832"/>
      <c r="Q507" s="832"/>
      <c r="R507" s="832"/>
      <c r="S507" s="832"/>
      <c r="T507" s="832"/>
    </row>
    <row r="508" spans="1:20" x14ac:dyDescent="0.2">
      <c r="A508" s="832"/>
      <c r="B508" s="990" t="s">
        <v>1559</v>
      </c>
      <c r="C508" s="832"/>
      <c r="D508" s="832"/>
      <c r="E508" s="832"/>
      <c r="F508" s="832"/>
      <c r="G508" s="832"/>
      <c r="H508" s="832"/>
      <c r="I508" s="832"/>
      <c r="J508" s="832"/>
      <c r="K508" s="832"/>
      <c r="L508" s="832"/>
      <c r="M508" s="832"/>
      <c r="N508" s="832"/>
      <c r="O508" s="832"/>
      <c r="P508" s="832"/>
      <c r="Q508" s="832"/>
      <c r="R508" s="832"/>
      <c r="S508" s="832"/>
      <c r="T508" s="832"/>
    </row>
    <row r="509" spans="1:20" x14ac:dyDescent="0.2">
      <c r="A509" s="832"/>
      <c r="B509" s="990" t="s">
        <v>55</v>
      </c>
      <c r="C509" s="994">
        <f>$G$22</f>
        <v>0.58879070648086362</v>
      </c>
      <c r="D509" s="990" t="s">
        <v>1512</v>
      </c>
      <c r="E509" s="994">
        <f>IF($E$17="H10",$E$24-$E$26+0.6,IF($E$17="H20",$E$24-$E$26+0.9,$E$24-$E$26))</f>
        <v>1.9</v>
      </c>
      <c r="F509" s="990" t="s">
        <v>1512</v>
      </c>
      <c r="G509" s="994">
        <f>$E$11</f>
        <v>19.600000000000001</v>
      </c>
      <c r="H509" s="990" t="s">
        <v>55</v>
      </c>
      <c r="I509" s="994">
        <f>C509*E509*G509</f>
        <v>21.926565909347364</v>
      </c>
      <c r="J509" s="990" t="s">
        <v>35</v>
      </c>
      <c r="K509" s="832"/>
      <c r="L509" s="832"/>
      <c r="M509" s="832"/>
      <c r="N509" s="832"/>
      <c r="O509" s="832"/>
      <c r="P509" s="832"/>
      <c r="Q509" s="832"/>
      <c r="R509" s="832"/>
      <c r="S509" s="832"/>
      <c r="T509" s="832"/>
    </row>
    <row r="510" spans="1:20" x14ac:dyDescent="0.2">
      <c r="A510" s="832"/>
      <c r="B510" s="990" t="s">
        <v>1563</v>
      </c>
      <c r="C510" s="832"/>
      <c r="D510" s="832"/>
      <c r="E510" s="832"/>
      <c r="F510" s="832"/>
      <c r="G510" s="994">
        <f>$E$25-$E$26</f>
        <v>0.25</v>
      </c>
      <c r="H510" s="990" t="s">
        <v>24</v>
      </c>
      <c r="I510" s="832"/>
      <c r="J510" s="832"/>
      <c r="K510" s="832"/>
      <c r="L510" s="832"/>
      <c r="M510" s="832"/>
      <c r="N510" s="832"/>
      <c r="O510" s="832"/>
      <c r="P510" s="832"/>
      <c r="Q510" s="832"/>
      <c r="R510" s="832"/>
      <c r="S510" s="832"/>
      <c r="T510" s="832"/>
    </row>
    <row r="511" spans="1:20" x14ac:dyDescent="0.2">
      <c r="A511" s="832"/>
      <c r="B511" s="990" t="s">
        <v>1564</v>
      </c>
      <c r="C511" s="832"/>
      <c r="D511" s="832"/>
      <c r="E511" s="832"/>
      <c r="F511" s="832"/>
      <c r="G511" s="832"/>
      <c r="H511" s="832"/>
      <c r="I511" s="994">
        <f>E36/1000+E44/2</f>
        <v>1.45</v>
      </c>
      <c r="J511" s="990" t="s">
        <v>24</v>
      </c>
      <c r="K511" s="832"/>
      <c r="L511" s="832"/>
      <c r="M511" s="832"/>
      <c r="N511" s="832"/>
      <c r="O511" s="832"/>
      <c r="P511" s="832"/>
      <c r="Q511" s="832"/>
      <c r="R511" s="832"/>
      <c r="S511" s="832"/>
      <c r="T511" s="832"/>
    </row>
    <row r="512" spans="1:20" x14ac:dyDescent="0.2">
      <c r="A512" s="832"/>
      <c r="B512" s="990" t="s">
        <v>2204</v>
      </c>
      <c r="C512" s="832"/>
      <c r="D512" s="832"/>
      <c r="E512" s="832"/>
      <c r="F512" s="832"/>
      <c r="G512" s="832"/>
      <c r="H512" s="832"/>
      <c r="I512" s="994">
        <f>(I506*G510+(I509-I506)*G510/2)*I511</f>
        <v>7.4254603959451018</v>
      </c>
      <c r="J512" s="832" t="s">
        <v>57</v>
      </c>
      <c r="K512" s="990" t="s">
        <v>57</v>
      </c>
      <c r="L512" s="832"/>
      <c r="M512" s="832"/>
      <c r="N512" s="832"/>
      <c r="O512" s="832"/>
      <c r="P512" s="832"/>
      <c r="Q512" s="832"/>
      <c r="R512" s="832"/>
      <c r="S512" s="832"/>
      <c r="T512" s="832"/>
    </row>
    <row r="513" spans="1:20" x14ac:dyDescent="0.2">
      <c r="A513" s="832"/>
      <c r="B513" s="990" t="s">
        <v>2205</v>
      </c>
      <c r="C513" s="832"/>
      <c r="D513" s="832"/>
      <c r="E513" s="832"/>
      <c r="F513" s="832"/>
      <c r="G513" s="832"/>
      <c r="H513" s="832"/>
      <c r="I513" s="994">
        <f>(I506*G510^2/2+(I509-I506)*G510^2/6)*I511</f>
        <v>0.90639422673508296</v>
      </c>
      <c r="J513" s="832" t="s">
        <v>58</v>
      </c>
      <c r="K513" s="990" t="s">
        <v>58</v>
      </c>
      <c r="L513" s="832"/>
      <c r="M513" s="832"/>
      <c r="N513" s="832"/>
      <c r="O513" s="832"/>
      <c r="P513" s="832"/>
      <c r="Q513" s="832"/>
      <c r="R513" s="832"/>
      <c r="S513" s="832"/>
      <c r="T513" s="832"/>
    </row>
    <row r="514" spans="1:20" x14ac:dyDescent="0.2">
      <c r="A514" s="832"/>
      <c r="B514" s="832"/>
      <c r="C514" s="832"/>
      <c r="D514" s="832"/>
      <c r="E514" s="832"/>
      <c r="F514" s="832"/>
      <c r="G514" s="832"/>
      <c r="H514" s="832"/>
      <c r="I514" s="832"/>
      <c r="J514" s="832"/>
      <c r="K514" s="832"/>
      <c r="L514" s="832"/>
      <c r="M514" s="832"/>
      <c r="N514" s="832"/>
      <c r="O514" s="832"/>
      <c r="P514" s="832"/>
      <c r="Q514" s="832"/>
      <c r="R514" s="832"/>
      <c r="S514" s="832"/>
      <c r="T514" s="832"/>
    </row>
    <row r="515" spans="1:20" x14ac:dyDescent="0.2">
      <c r="A515" s="990" t="s">
        <v>950</v>
      </c>
      <c r="B515" s="832"/>
      <c r="C515" s="832"/>
      <c r="D515" s="832"/>
      <c r="E515" s="832"/>
      <c r="F515" s="832"/>
      <c r="G515" s="832"/>
      <c r="H515" s="832"/>
      <c r="I515" s="832"/>
      <c r="J515" s="832"/>
      <c r="K515" s="832"/>
      <c r="L515" s="832"/>
      <c r="M515" s="832"/>
      <c r="N515" s="832"/>
      <c r="O515" s="832"/>
      <c r="P515" s="832"/>
      <c r="Q515" s="832"/>
      <c r="R515" s="832"/>
      <c r="S515" s="832"/>
      <c r="T515" s="832"/>
    </row>
    <row r="516" spans="1:20" x14ac:dyDescent="0.2">
      <c r="A516" s="990" t="s">
        <v>59</v>
      </c>
      <c r="B516" s="832"/>
      <c r="C516" s="832"/>
      <c r="D516" s="832"/>
      <c r="E516" s="832"/>
      <c r="F516" s="832"/>
      <c r="G516" s="832"/>
      <c r="H516" s="832"/>
      <c r="I516" s="832"/>
      <c r="J516" s="832"/>
      <c r="K516" s="832"/>
      <c r="L516" s="832"/>
      <c r="M516" s="832"/>
      <c r="N516" s="832"/>
      <c r="O516" s="832"/>
      <c r="P516" s="832"/>
      <c r="Q516" s="832"/>
      <c r="R516" s="832"/>
      <c r="S516" s="832"/>
      <c r="T516" s="832"/>
    </row>
    <row r="517" spans="1:20" x14ac:dyDescent="0.2">
      <c r="A517" s="996" t="s">
        <v>1557</v>
      </c>
      <c r="B517" s="832"/>
      <c r="C517" s="832"/>
      <c r="D517" s="832"/>
      <c r="E517" s="832"/>
      <c r="F517" s="832"/>
      <c r="G517" s="832"/>
      <c r="H517" s="832"/>
      <c r="I517" s="832"/>
      <c r="J517" s="832"/>
      <c r="K517" s="832"/>
      <c r="L517" s="832"/>
      <c r="M517" s="832"/>
      <c r="N517" s="832"/>
      <c r="O517" s="832"/>
      <c r="P517" s="832"/>
      <c r="Q517" s="832"/>
      <c r="R517" s="832"/>
      <c r="S517" s="832"/>
      <c r="T517" s="832"/>
    </row>
    <row r="518" spans="1:20" x14ac:dyDescent="0.2">
      <c r="A518" s="832"/>
      <c r="B518" s="990" t="s">
        <v>499</v>
      </c>
      <c r="C518" s="832"/>
      <c r="D518" s="832"/>
      <c r="E518" s="832"/>
      <c r="F518" s="832"/>
      <c r="G518" s="832"/>
      <c r="H518" s="832"/>
      <c r="I518" s="832"/>
      <c r="J518" s="832"/>
      <c r="K518" s="832"/>
      <c r="L518" s="832"/>
      <c r="M518" s="832"/>
      <c r="N518" s="832"/>
      <c r="O518" s="832"/>
      <c r="P518" s="832"/>
      <c r="Q518" s="832"/>
      <c r="R518" s="832"/>
      <c r="S518" s="832"/>
      <c r="T518" s="832"/>
    </row>
    <row r="519" spans="1:20" x14ac:dyDescent="0.2">
      <c r="A519" s="832"/>
      <c r="B519" s="832"/>
      <c r="C519" s="832"/>
      <c r="D519" s="832"/>
      <c r="E519" s="832"/>
      <c r="F519" s="832"/>
      <c r="G519" s="832"/>
      <c r="H519" s="832"/>
      <c r="I519" s="832"/>
      <c r="J519" s="832"/>
      <c r="K519" s="832"/>
      <c r="L519" s="832"/>
      <c r="M519" s="832"/>
      <c r="N519" s="832"/>
      <c r="O519" s="832"/>
      <c r="P519" s="832"/>
      <c r="Q519" s="832"/>
      <c r="R519" s="832"/>
      <c r="S519" s="832"/>
      <c r="T519" s="832"/>
    </row>
    <row r="520" spans="1:20" x14ac:dyDescent="0.2">
      <c r="A520" s="832"/>
      <c r="B520" s="990" t="s">
        <v>1926</v>
      </c>
      <c r="C520" s="832"/>
      <c r="D520" s="832"/>
      <c r="E520" s="832"/>
      <c r="F520" s="832"/>
      <c r="G520" s="832"/>
      <c r="H520" s="832"/>
      <c r="I520" s="832"/>
      <c r="J520" s="832"/>
      <c r="K520" s="832"/>
      <c r="L520" s="832"/>
      <c r="M520" s="832"/>
      <c r="N520" s="832"/>
      <c r="O520" s="832"/>
      <c r="P520" s="832"/>
      <c r="Q520" s="832"/>
      <c r="R520" s="832"/>
      <c r="S520" s="832"/>
      <c r="T520" s="832"/>
    </row>
    <row r="521" spans="1:20" x14ac:dyDescent="0.2">
      <c r="A521" s="832"/>
      <c r="B521" s="990"/>
      <c r="C521" s="832"/>
      <c r="D521" s="832"/>
      <c r="E521" s="832"/>
      <c r="F521" s="832"/>
      <c r="G521" s="832"/>
      <c r="H521" s="832"/>
      <c r="I521" s="832"/>
      <c r="J521" s="832"/>
      <c r="K521" s="832"/>
      <c r="L521" s="832"/>
      <c r="M521" s="832"/>
      <c r="N521" s="832"/>
      <c r="O521" s="832"/>
      <c r="P521" s="832"/>
      <c r="Q521" s="832"/>
      <c r="R521" s="832"/>
      <c r="S521" s="832"/>
      <c r="T521" s="832"/>
    </row>
    <row r="522" spans="1:20" x14ac:dyDescent="0.2">
      <c r="A522" s="832"/>
      <c r="B522" s="990" t="s">
        <v>1150</v>
      </c>
      <c r="C522" s="832"/>
      <c r="D522" s="832"/>
      <c r="E522" s="832"/>
      <c r="F522" s="832"/>
      <c r="G522" s="832"/>
      <c r="H522" s="832"/>
      <c r="I522" s="832"/>
      <c r="J522" s="832"/>
      <c r="K522" s="832"/>
      <c r="L522" s="832"/>
      <c r="M522" s="832"/>
      <c r="N522" s="832"/>
      <c r="O522" s="832"/>
      <c r="P522" s="832"/>
      <c r="Q522" s="832"/>
      <c r="R522" s="832"/>
      <c r="S522" s="832"/>
      <c r="T522" s="832"/>
    </row>
    <row r="523" spans="1:20" x14ac:dyDescent="0.2">
      <c r="A523" s="832"/>
      <c r="B523" s="990" t="s">
        <v>500</v>
      </c>
      <c r="C523" s="832"/>
      <c r="D523" s="832"/>
      <c r="E523" s="994">
        <f>I513</f>
        <v>0.90639422673508296</v>
      </c>
      <c r="F523" s="990" t="s">
        <v>58</v>
      </c>
      <c r="G523" s="832"/>
      <c r="H523" s="832"/>
      <c r="I523" s="832"/>
      <c r="J523" s="832"/>
      <c r="K523" s="832"/>
      <c r="L523" s="832"/>
      <c r="M523" s="832"/>
      <c r="N523" s="832"/>
      <c r="O523" s="832"/>
      <c r="P523" s="832"/>
      <c r="Q523" s="832"/>
      <c r="R523" s="832"/>
      <c r="S523" s="832"/>
      <c r="T523" s="832"/>
    </row>
    <row r="524" spans="1:20" x14ac:dyDescent="0.2">
      <c r="A524" s="832"/>
      <c r="B524" s="990" t="s">
        <v>1151</v>
      </c>
      <c r="C524" s="832"/>
      <c r="D524" s="832"/>
      <c r="E524" s="999">
        <f>$F$128</f>
        <v>1252.9941383359403</v>
      </c>
      <c r="F524" s="990" t="s">
        <v>35</v>
      </c>
      <c r="G524" s="832"/>
      <c r="H524" s="832"/>
      <c r="I524" s="832"/>
      <c r="J524" s="832"/>
      <c r="K524" s="832"/>
      <c r="L524" s="832"/>
      <c r="M524" s="832"/>
      <c r="N524" s="832"/>
      <c r="O524" s="832"/>
      <c r="P524" s="832"/>
      <c r="Q524" s="832"/>
      <c r="R524" s="832"/>
      <c r="S524" s="832"/>
      <c r="T524" s="832"/>
    </row>
    <row r="525" spans="1:20" x14ac:dyDescent="0.2">
      <c r="A525" s="832"/>
      <c r="B525" s="990" t="s">
        <v>1567</v>
      </c>
      <c r="C525" s="832"/>
      <c r="D525" s="832"/>
      <c r="E525" s="994">
        <f>E36/1000</f>
        <v>0.7</v>
      </c>
      <c r="F525" s="990" t="s">
        <v>24</v>
      </c>
      <c r="G525" s="832"/>
      <c r="H525" s="832"/>
      <c r="I525" s="832"/>
      <c r="J525" s="832"/>
      <c r="K525" s="832"/>
      <c r="L525" s="832"/>
      <c r="M525" s="832"/>
      <c r="N525" s="832"/>
      <c r="O525" s="832"/>
      <c r="P525" s="832"/>
      <c r="Q525" s="832"/>
      <c r="R525" s="832"/>
      <c r="S525" s="832"/>
      <c r="T525" s="832"/>
    </row>
    <row r="526" spans="1:20" x14ac:dyDescent="0.2">
      <c r="A526" s="832"/>
      <c r="B526" s="990" t="s">
        <v>60</v>
      </c>
      <c r="C526" s="832"/>
      <c r="D526" s="832"/>
      <c r="E526" s="997">
        <f>SQRT(E523/E524/E525)*1000</f>
        <v>32.146598469166754</v>
      </c>
      <c r="F526" s="990" t="s">
        <v>43</v>
      </c>
      <c r="G526" s="832"/>
      <c r="H526" s="832"/>
      <c r="I526" s="832"/>
      <c r="J526" s="832"/>
      <c r="K526" s="832"/>
      <c r="L526" s="832"/>
      <c r="M526" s="832"/>
      <c r="N526" s="832"/>
      <c r="O526" s="832"/>
      <c r="P526" s="832"/>
      <c r="Q526" s="832"/>
      <c r="R526" s="832"/>
      <c r="S526" s="832"/>
      <c r="T526" s="832"/>
    </row>
    <row r="527" spans="1:20" x14ac:dyDescent="0.2">
      <c r="A527" s="832"/>
      <c r="B527" s="832"/>
      <c r="C527" s="832"/>
      <c r="D527" s="832"/>
      <c r="E527" s="832"/>
      <c r="F527" s="832"/>
      <c r="G527" s="832"/>
      <c r="H527" s="832"/>
      <c r="I527" s="832"/>
      <c r="J527" s="832"/>
      <c r="K527" s="832"/>
      <c r="L527" s="832"/>
      <c r="M527" s="832"/>
      <c r="N527" s="832"/>
      <c r="O527" s="832"/>
      <c r="P527" s="832"/>
      <c r="Q527" s="832"/>
      <c r="R527" s="832"/>
      <c r="S527" s="832"/>
      <c r="T527" s="832"/>
    </row>
    <row r="528" spans="1:20" x14ac:dyDescent="0.2">
      <c r="A528" s="832"/>
      <c r="B528" s="990" t="s">
        <v>1153</v>
      </c>
      <c r="C528" s="832"/>
      <c r="D528" s="832"/>
      <c r="E528" s="832"/>
      <c r="F528" s="832"/>
      <c r="G528" s="832"/>
      <c r="H528" s="832"/>
      <c r="I528" s="832"/>
      <c r="J528" s="832"/>
      <c r="K528" s="832"/>
      <c r="L528" s="832"/>
      <c r="M528" s="832"/>
      <c r="N528" s="832"/>
      <c r="O528" s="832"/>
      <c r="P528" s="832"/>
      <c r="Q528" s="832"/>
      <c r="R528" s="832"/>
      <c r="S528" s="832"/>
      <c r="T528" s="832"/>
    </row>
    <row r="529" spans="1:20" x14ac:dyDescent="0.2">
      <c r="A529" s="832"/>
      <c r="B529" s="990" t="s">
        <v>501</v>
      </c>
      <c r="C529" s="832"/>
      <c r="D529" s="832"/>
      <c r="E529" s="994">
        <f>I512</f>
        <v>7.4254603959451018</v>
      </c>
      <c r="F529" s="990" t="s">
        <v>57</v>
      </c>
      <c r="G529" s="832"/>
      <c r="H529" s="832"/>
      <c r="I529" s="832"/>
      <c r="J529" s="832"/>
      <c r="K529" s="832"/>
      <c r="L529" s="832"/>
      <c r="M529" s="832"/>
      <c r="N529" s="832"/>
      <c r="O529" s="832"/>
      <c r="P529" s="832"/>
      <c r="Q529" s="832"/>
      <c r="R529" s="832"/>
      <c r="S529" s="832"/>
      <c r="T529" s="832"/>
    </row>
    <row r="530" spans="1:20" x14ac:dyDescent="0.2">
      <c r="A530" s="832"/>
      <c r="B530" s="990" t="s">
        <v>1154</v>
      </c>
      <c r="C530" s="832"/>
      <c r="D530" s="832"/>
      <c r="E530" s="832"/>
      <c r="F530" s="999">
        <f>$G$57</f>
        <v>428.65627255412932</v>
      </c>
      <c r="G530" s="990" t="s">
        <v>35</v>
      </c>
      <c r="H530" s="832"/>
      <c r="I530" s="832"/>
      <c r="J530" s="832"/>
      <c r="K530" s="832"/>
      <c r="L530" s="832"/>
      <c r="M530" s="832"/>
      <c r="N530" s="832"/>
      <c r="O530" s="832"/>
      <c r="P530" s="832"/>
      <c r="Q530" s="832"/>
      <c r="R530" s="832"/>
      <c r="S530" s="832"/>
      <c r="T530" s="832"/>
    </row>
    <row r="531" spans="1:20" x14ac:dyDescent="0.2">
      <c r="A531" s="832"/>
      <c r="B531" s="990" t="s">
        <v>61</v>
      </c>
      <c r="C531" s="832"/>
      <c r="D531" s="832"/>
      <c r="E531" s="997">
        <f>E529/F530/E525*1000</f>
        <v>24.746635579201378</v>
      </c>
      <c r="F531" s="990" t="s">
        <v>43</v>
      </c>
      <c r="G531" s="832"/>
      <c r="H531" s="832"/>
      <c r="I531" s="832"/>
      <c r="J531" s="832"/>
      <c r="K531" s="832"/>
      <c r="L531" s="832"/>
      <c r="M531" s="832"/>
      <c r="N531" s="832"/>
      <c r="O531" s="832"/>
      <c r="P531" s="832"/>
      <c r="Q531" s="832"/>
      <c r="R531" s="832"/>
      <c r="S531" s="832"/>
      <c r="T531" s="832"/>
    </row>
    <row r="532" spans="1:20" x14ac:dyDescent="0.2">
      <c r="A532" s="832"/>
      <c r="B532" s="832"/>
      <c r="C532" s="832"/>
      <c r="D532" s="832"/>
      <c r="E532" s="832"/>
      <c r="F532" s="832"/>
      <c r="G532" s="832"/>
      <c r="H532" s="832"/>
      <c r="I532" s="832"/>
      <c r="J532" s="832"/>
      <c r="K532" s="832"/>
      <c r="L532" s="832"/>
      <c r="M532" s="832"/>
      <c r="N532" s="832"/>
      <c r="O532" s="832"/>
      <c r="P532" s="832"/>
      <c r="Q532" s="832"/>
      <c r="R532" s="832"/>
      <c r="S532" s="832"/>
      <c r="T532" s="832"/>
    </row>
    <row r="533" spans="1:20" x14ac:dyDescent="0.2">
      <c r="A533" s="832"/>
      <c r="B533" s="994" t="str">
        <f>IF(E526&gt;=E531,"dr(Moment)  &gt;  dr(Shear)","dr(Moment)  &lt;  dr(Shear)")</f>
        <v>dr(Moment)  &gt;  dr(Shear)</v>
      </c>
      <c r="C533" s="832"/>
      <c r="D533" s="832"/>
      <c r="E533" s="990" t="s">
        <v>1156</v>
      </c>
      <c r="F533" s="832"/>
      <c r="G533" s="997">
        <f>IF(E526&gt;=E531,E526,E531)</f>
        <v>32.146598469166754</v>
      </c>
      <c r="H533" s="990" t="s">
        <v>62</v>
      </c>
      <c r="I533" s="832"/>
      <c r="J533" s="832"/>
      <c r="K533" s="832"/>
      <c r="L533" s="832"/>
      <c r="M533" s="832"/>
      <c r="N533" s="832"/>
      <c r="O533" s="832"/>
      <c r="P533" s="832"/>
      <c r="Q533" s="832"/>
      <c r="R533" s="832"/>
      <c r="S533" s="832"/>
      <c r="T533" s="832"/>
    </row>
    <row r="534" spans="1:20" x14ac:dyDescent="0.2">
      <c r="A534" s="990" t="s">
        <v>986</v>
      </c>
      <c r="B534" s="832"/>
      <c r="C534" s="832"/>
      <c r="D534" s="832"/>
      <c r="E534" s="832"/>
      <c r="F534" s="832"/>
      <c r="G534" s="832"/>
      <c r="H534" s="832"/>
      <c r="I534" s="832"/>
      <c r="J534" s="832"/>
      <c r="K534" s="832"/>
      <c r="L534" s="832"/>
      <c r="M534" s="832"/>
      <c r="N534" s="832"/>
      <c r="O534" s="832"/>
      <c r="P534" s="832"/>
      <c r="Q534" s="832"/>
      <c r="R534" s="832"/>
      <c r="S534" s="832"/>
      <c r="T534" s="832"/>
    </row>
    <row r="535" spans="1:20" x14ac:dyDescent="0.2">
      <c r="A535" s="832"/>
      <c r="B535" s="990" t="s">
        <v>63</v>
      </c>
      <c r="C535" s="832"/>
      <c r="D535" s="997">
        <f>G533</f>
        <v>32.146598469166754</v>
      </c>
      <c r="E535" s="990" t="s">
        <v>1502</v>
      </c>
      <c r="F535" s="997">
        <f>G62</f>
        <v>75</v>
      </c>
      <c r="G535" s="990" t="s">
        <v>1503</v>
      </c>
      <c r="H535" s="997">
        <f>D535+F535</f>
        <v>107.14659846916675</v>
      </c>
      <c r="I535" s="990" t="s">
        <v>43</v>
      </c>
      <c r="J535" s="832"/>
      <c r="K535" s="832"/>
      <c r="L535" s="832"/>
      <c r="M535" s="832"/>
      <c r="N535" s="832"/>
      <c r="O535" s="832"/>
      <c r="P535" s="832"/>
      <c r="Q535" s="832"/>
      <c r="R535" s="832"/>
      <c r="S535" s="832"/>
      <c r="T535" s="832"/>
    </row>
    <row r="536" spans="1:20" x14ac:dyDescent="0.2">
      <c r="A536" s="832"/>
      <c r="B536" s="832"/>
      <c r="C536" s="832"/>
      <c r="D536" s="832"/>
      <c r="E536" s="832"/>
      <c r="F536" s="832"/>
      <c r="G536" s="832"/>
      <c r="H536" s="832"/>
      <c r="I536" s="832"/>
      <c r="J536" s="832"/>
      <c r="K536" s="832"/>
      <c r="L536" s="832"/>
      <c r="M536" s="832"/>
      <c r="N536" s="832"/>
      <c r="O536" s="832"/>
      <c r="P536" s="832"/>
      <c r="Q536" s="832"/>
      <c r="R536" s="832"/>
      <c r="S536" s="832"/>
      <c r="T536" s="832"/>
    </row>
    <row r="537" spans="1:20" x14ac:dyDescent="0.2">
      <c r="A537" s="832"/>
      <c r="B537" s="990" t="s">
        <v>1568</v>
      </c>
      <c r="C537" s="832"/>
      <c r="D537" s="832"/>
      <c r="E537" s="832"/>
      <c r="F537" s="832"/>
      <c r="G537" s="832"/>
      <c r="H537" s="832"/>
      <c r="I537" s="832"/>
      <c r="J537" s="832"/>
      <c r="K537" s="832"/>
      <c r="L537" s="832"/>
      <c r="M537" s="832"/>
      <c r="N537" s="832"/>
      <c r="O537" s="832"/>
      <c r="P537" s="832"/>
      <c r="Q537" s="832"/>
      <c r="R537" s="832"/>
      <c r="S537" s="832"/>
      <c r="T537" s="832"/>
    </row>
    <row r="538" spans="1:20" x14ac:dyDescent="0.2">
      <c r="A538" s="832"/>
      <c r="B538" s="990" t="s">
        <v>1569</v>
      </c>
      <c r="C538" s="832"/>
      <c r="D538" s="832"/>
      <c r="E538" s="832"/>
      <c r="F538" s="832"/>
      <c r="G538" s="832"/>
      <c r="H538" s="997">
        <f>E47*1000+E32</f>
        <v>2450</v>
      </c>
      <c r="I538" s="990" t="s">
        <v>43</v>
      </c>
      <c r="J538" s="832"/>
      <c r="K538" s="832"/>
      <c r="L538" s="832"/>
      <c r="M538" s="832"/>
      <c r="N538" s="832"/>
      <c r="O538" s="832"/>
      <c r="P538" s="832"/>
      <c r="Q538" s="832"/>
      <c r="R538" s="832"/>
      <c r="S538" s="832"/>
      <c r="T538" s="832"/>
    </row>
    <row r="539" spans="1:20" x14ac:dyDescent="0.2">
      <c r="A539" s="832"/>
      <c r="B539" s="832"/>
      <c r="C539" s="832"/>
      <c r="D539" s="832"/>
      <c r="E539" s="832"/>
      <c r="F539" s="832"/>
      <c r="G539" s="832"/>
      <c r="H539" s="832"/>
      <c r="I539" s="832"/>
      <c r="J539" s="832"/>
      <c r="K539" s="832"/>
      <c r="L539" s="832"/>
      <c r="M539" s="832"/>
      <c r="N539" s="832"/>
      <c r="O539" s="832"/>
      <c r="P539" s="832"/>
      <c r="Q539" s="832"/>
      <c r="R539" s="832"/>
      <c r="S539" s="832"/>
      <c r="T539" s="832"/>
    </row>
    <row r="540" spans="1:20" x14ac:dyDescent="0.2">
      <c r="A540" s="832"/>
      <c r="B540" s="1013" t="str">
        <f>IF(H538&gt;=H535,"ta  &gt;  tr     Design is OK.","ta  &lt;  tr     Design is Not OK.")</f>
        <v>ta  &gt;  tr     Design is OK.</v>
      </c>
      <c r="C540" s="832"/>
      <c r="D540" s="832"/>
      <c r="E540" s="832"/>
      <c r="F540" s="990" t="s">
        <v>64</v>
      </c>
      <c r="G540" s="832"/>
      <c r="H540" s="832"/>
      <c r="I540" s="832"/>
      <c r="J540" s="832"/>
      <c r="K540" s="832"/>
      <c r="L540" s="832"/>
      <c r="M540" s="832"/>
      <c r="N540" s="832"/>
      <c r="O540" s="832"/>
      <c r="P540" s="832"/>
      <c r="Q540" s="832"/>
      <c r="R540" s="832"/>
      <c r="S540" s="832"/>
      <c r="T540" s="832"/>
    </row>
    <row r="541" spans="1:20" x14ac:dyDescent="0.2">
      <c r="A541" s="832"/>
      <c r="B541" s="832"/>
      <c r="C541" s="832"/>
      <c r="D541" s="832"/>
      <c r="E541" s="832"/>
      <c r="F541" s="832"/>
      <c r="G541" s="832"/>
      <c r="H541" s="832"/>
      <c r="I541" s="832"/>
      <c r="J541" s="832"/>
      <c r="K541" s="832"/>
      <c r="L541" s="832"/>
      <c r="M541" s="832"/>
      <c r="N541" s="832"/>
      <c r="O541" s="832"/>
      <c r="P541" s="832"/>
      <c r="Q541" s="832"/>
      <c r="R541" s="832"/>
      <c r="S541" s="832"/>
      <c r="T541" s="832"/>
    </row>
    <row r="542" spans="1:20" x14ac:dyDescent="0.2">
      <c r="A542" s="990" t="s">
        <v>950</v>
      </c>
      <c r="B542" s="832"/>
      <c r="C542" s="832"/>
      <c r="D542" s="832"/>
      <c r="E542" s="832"/>
      <c r="F542" s="832"/>
      <c r="G542" s="832"/>
      <c r="H542" s="832"/>
      <c r="I542" s="832"/>
      <c r="J542" s="832"/>
      <c r="K542" s="832"/>
      <c r="L542" s="832"/>
      <c r="M542" s="832"/>
      <c r="N542" s="832"/>
      <c r="O542" s="832"/>
      <c r="P542" s="832"/>
      <c r="Q542" s="832"/>
      <c r="R542" s="832"/>
      <c r="S542" s="832"/>
      <c r="T542" s="832"/>
    </row>
    <row r="543" spans="1:20" x14ac:dyDescent="0.2">
      <c r="A543" s="990" t="s">
        <v>1570</v>
      </c>
      <c r="B543" s="832"/>
      <c r="C543" s="832"/>
      <c r="D543" s="832"/>
      <c r="E543" s="832"/>
      <c r="F543" s="832"/>
      <c r="G543" s="832"/>
      <c r="H543" s="832"/>
      <c r="I543" s="832"/>
      <c r="J543" s="832"/>
      <c r="K543" s="832"/>
      <c r="L543" s="832"/>
      <c r="M543" s="832"/>
      <c r="N543" s="832"/>
      <c r="O543" s="832"/>
      <c r="P543" s="832"/>
      <c r="Q543" s="832"/>
      <c r="R543" s="832"/>
      <c r="S543" s="832"/>
      <c r="T543" s="832"/>
    </row>
    <row r="544" spans="1:20" x14ac:dyDescent="0.2">
      <c r="A544" s="996" t="s">
        <v>1557</v>
      </c>
      <c r="B544" s="832"/>
      <c r="C544" s="832"/>
      <c r="D544" s="832"/>
      <c r="E544" s="832"/>
      <c r="F544" s="832"/>
      <c r="G544" s="832"/>
      <c r="H544" s="832"/>
      <c r="I544" s="832"/>
      <c r="J544" s="832"/>
      <c r="K544" s="832"/>
      <c r="L544" s="832"/>
      <c r="M544" s="832"/>
      <c r="N544" s="832"/>
      <c r="O544" s="832"/>
      <c r="P544" s="832"/>
      <c r="Q544" s="832"/>
      <c r="R544" s="832"/>
      <c r="S544" s="832"/>
      <c r="T544" s="832"/>
    </row>
    <row r="545" spans="1:20" x14ac:dyDescent="0.2">
      <c r="A545" s="832"/>
      <c r="B545" s="832"/>
      <c r="C545" s="832"/>
      <c r="D545" s="832"/>
      <c r="E545" s="832"/>
      <c r="F545" s="990"/>
      <c r="G545" s="832"/>
      <c r="H545" s="832"/>
      <c r="I545" s="832"/>
      <c r="J545" s="832"/>
      <c r="K545" s="832"/>
      <c r="L545" s="832"/>
      <c r="M545" s="832"/>
      <c r="N545" s="832"/>
      <c r="O545" s="832"/>
      <c r="P545" s="832"/>
      <c r="Q545" s="832"/>
      <c r="R545" s="832"/>
      <c r="S545" s="832"/>
      <c r="T545" s="832"/>
    </row>
    <row r="546" spans="1:20" x14ac:dyDescent="0.2">
      <c r="A546" s="832"/>
      <c r="B546" s="990" t="s">
        <v>1835</v>
      </c>
      <c r="C546" s="832"/>
      <c r="D546" s="832"/>
      <c r="E546" s="832"/>
      <c r="F546" s="832"/>
      <c r="G546" s="832"/>
      <c r="H546" s="832"/>
      <c r="I546" s="832"/>
      <c r="J546" s="832"/>
      <c r="K546" s="832"/>
      <c r="L546" s="832"/>
      <c r="M546" s="832"/>
      <c r="N546" s="832"/>
      <c r="O546" s="832"/>
      <c r="P546" s="832"/>
      <c r="Q546" s="832"/>
      <c r="R546" s="832"/>
      <c r="S546" s="832"/>
      <c r="T546" s="832"/>
    </row>
    <row r="547" spans="1:20" x14ac:dyDescent="0.2">
      <c r="A547" s="832"/>
      <c r="B547" s="832"/>
      <c r="C547" s="832"/>
      <c r="D547" s="832"/>
      <c r="E547" s="832"/>
      <c r="F547" s="990"/>
      <c r="G547" s="832"/>
      <c r="H547" s="832"/>
      <c r="I547" s="832"/>
      <c r="J547" s="832"/>
      <c r="K547" s="832"/>
      <c r="L547" s="832"/>
      <c r="M547" s="832"/>
      <c r="N547" s="832"/>
      <c r="O547" s="832"/>
      <c r="P547" s="832"/>
      <c r="Q547" s="832"/>
      <c r="R547" s="832"/>
      <c r="S547" s="832"/>
      <c r="T547" s="832"/>
    </row>
    <row r="548" spans="1:20" x14ac:dyDescent="0.2">
      <c r="A548" s="832"/>
      <c r="B548" s="990" t="s">
        <v>1571</v>
      </c>
      <c r="C548" s="832"/>
      <c r="D548" s="832"/>
      <c r="E548" s="994">
        <f>I513</f>
        <v>0.90639422673508296</v>
      </c>
      <c r="F548" s="990" t="s">
        <v>58</v>
      </c>
      <c r="G548" s="832"/>
      <c r="H548" s="832"/>
      <c r="I548" s="832"/>
      <c r="J548" s="832"/>
      <c r="K548" s="832"/>
      <c r="L548" s="832"/>
      <c r="M548" s="832"/>
      <c r="N548" s="832"/>
      <c r="O548" s="832"/>
      <c r="P548" s="832"/>
      <c r="Q548" s="832"/>
      <c r="R548" s="832"/>
      <c r="S548" s="832"/>
      <c r="T548" s="832"/>
    </row>
    <row r="549" spans="1:20" x14ac:dyDescent="0.2">
      <c r="A549" s="832"/>
      <c r="B549" s="990" t="s">
        <v>1505</v>
      </c>
      <c r="C549" s="832"/>
      <c r="D549" s="832"/>
      <c r="E549" s="832"/>
      <c r="F549" s="999">
        <f>$G$54</f>
        <v>186300</v>
      </c>
      <c r="G549" s="990" t="s">
        <v>35</v>
      </c>
      <c r="H549" s="832"/>
      <c r="I549" s="832"/>
      <c r="J549" s="832"/>
      <c r="K549" s="832"/>
      <c r="L549" s="832"/>
      <c r="M549" s="832"/>
      <c r="N549" s="832"/>
      <c r="O549" s="832"/>
      <c r="P549" s="832"/>
      <c r="Q549" s="832"/>
      <c r="R549" s="832"/>
      <c r="S549" s="832"/>
      <c r="T549" s="832"/>
    </row>
    <row r="550" spans="1:20" x14ac:dyDescent="0.2">
      <c r="A550" s="832"/>
      <c r="B550" s="990" t="s">
        <v>1506</v>
      </c>
      <c r="C550" s="832"/>
      <c r="D550" s="832"/>
      <c r="E550" s="998">
        <f>$F$127</f>
        <v>0.89379715799027371</v>
      </c>
      <c r="F550" s="832"/>
      <c r="G550" s="832"/>
      <c r="H550" s="832"/>
      <c r="I550" s="832"/>
      <c r="J550" s="832"/>
      <c r="K550" s="832"/>
      <c r="L550" s="832"/>
      <c r="M550" s="832"/>
      <c r="N550" s="832"/>
      <c r="O550" s="832"/>
      <c r="P550" s="832"/>
      <c r="Q550" s="832"/>
      <c r="R550" s="832"/>
      <c r="S550" s="832"/>
      <c r="T550" s="832"/>
    </row>
    <row r="551" spans="1:20" x14ac:dyDescent="0.2">
      <c r="A551" s="832"/>
      <c r="B551" s="832"/>
      <c r="C551" s="832"/>
      <c r="D551" s="832"/>
      <c r="E551" s="832"/>
      <c r="F551" s="832"/>
      <c r="G551" s="832"/>
      <c r="H551" s="832"/>
      <c r="I551" s="832"/>
      <c r="J551" s="832"/>
      <c r="K551" s="832"/>
      <c r="L551" s="832"/>
      <c r="M551" s="832"/>
      <c r="N551" s="832"/>
      <c r="O551" s="832"/>
      <c r="P551" s="832"/>
      <c r="Q551" s="832"/>
      <c r="R551" s="832"/>
      <c r="S551" s="832"/>
      <c r="T551" s="832"/>
    </row>
    <row r="552" spans="1:20" x14ac:dyDescent="0.2">
      <c r="A552" s="832"/>
      <c r="B552" s="990" t="s">
        <v>1507</v>
      </c>
      <c r="C552" s="832"/>
      <c r="D552" s="832"/>
      <c r="E552" s="832"/>
      <c r="F552" s="832"/>
      <c r="G552" s="832"/>
      <c r="H552" s="832"/>
      <c r="I552" s="832"/>
      <c r="J552" s="832"/>
      <c r="K552" s="832"/>
      <c r="L552" s="832"/>
      <c r="M552" s="832"/>
      <c r="N552" s="832"/>
      <c r="O552" s="832"/>
      <c r="P552" s="832"/>
      <c r="Q552" s="832"/>
      <c r="R552" s="832"/>
      <c r="S552" s="832"/>
      <c r="T552" s="832"/>
    </row>
    <row r="553" spans="1:20" x14ac:dyDescent="0.2">
      <c r="A553" s="832"/>
      <c r="B553" s="990" t="s">
        <v>1508</v>
      </c>
      <c r="C553" s="832"/>
      <c r="D553" s="832"/>
      <c r="E553" s="832"/>
      <c r="F553" s="832"/>
      <c r="G553" s="832"/>
      <c r="H553" s="832"/>
      <c r="I553" s="832"/>
      <c r="J553" s="832"/>
      <c r="K553" s="832"/>
      <c r="L553" s="832"/>
      <c r="M553" s="832"/>
      <c r="N553" s="832"/>
      <c r="O553" s="832"/>
      <c r="P553" s="832"/>
      <c r="Q553" s="832"/>
      <c r="R553" s="832"/>
      <c r="S553" s="832"/>
      <c r="T553" s="832"/>
    </row>
    <row r="554" spans="1:20" x14ac:dyDescent="0.2">
      <c r="A554" s="832"/>
      <c r="B554" s="990" t="s">
        <v>1572</v>
      </c>
      <c r="C554" s="832"/>
      <c r="D554" s="997">
        <f>H538</f>
        <v>2450</v>
      </c>
      <c r="E554" s="990" t="s">
        <v>1510</v>
      </c>
      <c r="F554" s="997">
        <f>$G$62</f>
        <v>75</v>
      </c>
      <c r="G554" s="990" t="s">
        <v>1485</v>
      </c>
      <c r="H554" s="997">
        <f>D554-F554</f>
        <v>2375</v>
      </c>
      <c r="I554" s="990" t="s">
        <v>43</v>
      </c>
      <c r="J554" s="832"/>
      <c r="K554" s="832"/>
      <c r="L554" s="832"/>
      <c r="M554" s="832"/>
      <c r="N554" s="832"/>
      <c r="O554" s="832"/>
      <c r="P554" s="832"/>
      <c r="Q554" s="832"/>
      <c r="R554" s="832"/>
      <c r="S554" s="832"/>
      <c r="T554" s="832"/>
    </row>
    <row r="555" spans="1:20" x14ac:dyDescent="0.2">
      <c r="A555" s="832"/>
      <c r="B555" s="832"/>
      <c r="C555" s="832"/>
      <c r="D555" s="832"/>
      <c r="E555" s="832"/>
      <c r="F555" s="832"/>
      <c r="G555" s="832"/>
      <c r="H555" s="832"/>
      <c r="I555" s="832"/>
      <c r="J555" s="832"/>
      <c r="K555" s="832"/>
      <c r="L555" s="832"/>
      <c r="M555" s="832"/>
      <c r="N555" s="832"/>
      <c r="O555" s="832"/>
      <c r="P555" s="832"/>
      <c r="Q555" s="832"/>
      <c r="R555" s="832"/>
      <c r="S555" s="832"/>
      <c r="T555" s="832"/>
    </row>
    <row r="556" spans="1:20" x14ac:dyDescent="0.2">
      <c r="A556" s="832"/>
      <c r="B556" s="990" t="s">
        <v>1832</v>
      </c>
      <c r="C556" s="832"/>
      <c r="D556" s="832"/>
      <c r="E556" s="832"/>
      <c r="F556" s="832"/>
      <c r="G556" s="832"/>
      <c r="H556" s="874">
        <f>E548/(F549*E550*H554)*1000000000</f>
        <v>2.2919318105371445</v>
      </c>
      <c r="I556" s="990" t="s">
        <v>78</v>
      </c>
      <c r="J556" s="832"/>
      <c r="K556" s="832"/>
      <c r="L556" s="832"/>
      <c r="M556" s="832"/>
      <c r="N556" s="832"/>
      <c r="O556" s="832"/>
      <c r="P556" s="832"/>
      <c r="Q556" s="832"/>
      <c r="R556" s="832"/>
      <c r="S556" s="832"/>
      <c r="T556" s="832"/>
    </row>
    <row r="557" spans="1:20" x14ac:dyDescent="0.2">
      <c r="A557" s="832"/>
      <c r="B557" s="832"/>
      <c r="C557" s="832"/>
      <c r="D557" s="832"/>
      <c r="E557" s="832"/>
      <c r="F557" s="832"/>
      <c r="G557" s="832"/>
      <c r="H557" s="832"/>
      <c r="I557" s="832"/>
      <c r="J557" s="832"/>
      <c r="K557" s="832"/>
      <c r="L557" s="832"/>
      <c r="M557" s="832"/>
      <c r="N557" s="832"/>
      <c r="O557" s="832"/>
      <c r="P557" s="832"/>
      <c r="Q557" s="832"/>
      <c r="R557" s="832"/>
      <c r="S557" s="832"/>
      <c r="T557" s="832"/>
    </row>
    <row r="558" spans="1:20" x14ac:dyDescent="0.2">
      <c r="A558" s="832"/>
      <c r="B558" s="990" t="s">
        <v>2206</v>
      </c>
      <c r="C558" s="832"/>
      <c r="D558" s="832"/>
      <c r="E558" s="832"/>
      <c r="F558" s="832"/>
      <c r="G558" s="832"/>
      <c r="H558" s="832"/>
      <c r="I558" s="832"/>
      <c r="J558" s="832"/>
      <c r="K558" s="832"/>
      <c r="L558" s="832"/>
      <c r="M558" s="832"/>
      <c r="N558" s="832"/>
      <c r="O558" s="832"/>
      <c r="P558" s="832"/>
      <c r="Q558" s="832"/>
      <c r="R558" s="832"/>
      <c r="S558" s="832"/>
      <c r="T558" s="832"/>
    </row>
    <row r="559" spans="1:20" x14ac:dyDescent="0.2">
      <c r="A559" s="832"/>
      <c r="B559" s="990"/>
      <c r="C559" s="832"/>
      <c r="D559" s="832"/>
      <c r="E559" s="832"/>
      <c r="F559" s="832"/>
      <c r="G559" s="832"/>
      <c r="H559" s="832"/>
      <c r="I559" s="832"/>
      <c r="J559" s="832"/>
      <c r="K559" s="832"/>
      <c r="L559" s="832"/>
      <c r="M559" s="832"/>
      <c r="N559" s="832"/>
      <c r="O559" s="832"/>
      <c r="P559" s="832"/>
      <c r="Q559" s="832"/>
      <c r="R559" s="832"/>
      <c r="S559" s="832"/>
      <c r="T559" s="832"/>
    </row>
    <row r="560" spans="1:20" x14ac:dyDescent="0.2">
      <c r="A560" s="832"/>
      <c r="B560" s="990" t="s">
        <v>1573</v>
      </c>
      <c r="C560" s="832"/>
      <c r="D560" s="832"/>
      <c r="E560" s="832"/>
      <c r="F560" s="832"/>
      <c r="G560" s="997">
        <f>C464</f>
        <v>16</v>
      </c>
      <c r="H560" s="990" t="s">
        <v>1574</v>
      </c>
      <c r="I560" s="832"/>
      <c r="J560" s="832"/>
      <c r="K560" s="832"/>
      <c r="L560" s="832"/>
      <c r="M560" s="832"/>
      <c r="N560" s="832"/>
      <c r="O560" s="832"/>
      <c r="P560" s="832"/>
      <c r="Q560" s="832"/>
      <c r="R560" s="832"/>
      <c r="S560" s="832"/>
      <c r="T560" s="832"/>
    </row>
    <row r="561" spans="1:20" x14ac:dyDescent="0.2">
      <c r="A561" s="832"/>
      <c r="B561" s="990" t="s">
        <v>1575</v>
      </c>
      <c r="C561" s="832"/>
      <c r="D561" s="832"/>
      <c r="E561" s="832"/>
      <c r="F561" s="832"/>
      <c r="G561" s="997">
        <f>C485</f>
        <v>20</v>
      </c>
      <c r="H561" s="990" t="s">
        <v>1574</v>
      </c>
      <c r="I561" s="832"/>
      <c r="J561" s="832"/>
      <c r="K561" s="832"/>
      <c r="L561" s="832"/>
      <c r="M561" s="832"/>
      <c r="N561" s="832"/>
      <c r="O561" s="832"/>
      <c r="P561" s="832"/>
      <c r="Q561" s="832"/>
      <c r="R561" s="832"/>
      <c r="S561" s="832"/>
      <c r="T561" s="832"/>
    </row>
    <row r="562" spans="1:20" x14ac:dyDescent="0.2">
      <c r="A562" s="832"/>
      <c r="B562" s="832"/>
      <c r="C562" s="832"/>
      <c r="D562" s="832"/>
      <c r="E562" s="832"/>
      <c r="F562" s="832"/>
      <c r="G562" s="832"/>
      <c r="H562" s="832"/>
      <c r="I562" s="832"/>
      <c r="J562" s="832"/>
      <c r="K562" s="832"/>
      <c r="L562" s="832"/>
      <c r="M562" s="832"/>
      <c r="N562" s="832"/>
      <c r="O562" s="832"/>
      <c r="P562" s="832"/>
      <c r="Q562" s="832"/>
      <c r="R562" s="832"/>
      <c r="S562" s="832"/>
      <c r="T562" s="832"/>
    </row>
    <row r="563" spans="1:20" x14ac:dyDescent="0.2">
      <c r="A563" s="832"/>
      <c r="B563" s="990" t="s">
        <v>1576</v>
      </c>
      <c r="C563" s="832"/>
      <c r="D563" s="832"/>
      <c r="E563" s="832"/>
      <c r="F563" s="832"/>
      <c r="G563" s="832"/>
      <c r="H563" s="997">
        <f>PI()*(G560^2+G561^2)/4</f>
        <v>515.22119518872603</v>
      </c>
      <c r="I563" s="990" t="s">
        <v>78</v>
      </c>
      <c r="J563" s="832"/>
      <c r="K563" s="832"/>
      <c r="L563" s="832"/>
      <c r="M563" s="832"/>
      <c r="N563" s="832"/>
      <c r="O563" s="832"/>
      <c r="P563" s="832"/>
      <c r="Q563" s="832"/>
      <c r="R563" s="832"/>
      <c r="S563" s="832"/>
      <c r="T563" s="832"/>
    </row>
    <row r="564" spans="1:20" x14ac:dyDescent="0.2">
      <c r="A564" s="832"/>
      <c r="B564" s="990" t="s">
        <v>1577</v>
      </c>
      <c r="C564" s="832"/>
      <c r="D564" s="832"/>
      <c r="E564" s="997">
        <f>H556</f>
        <v>2.2919318105371445</v>
      </c>
      <c r="F564" s="990" t="s">
        <v>111</v>
      </c>
      <c r="G564" s="997">
        <f>H563</f>
        <v>515.22119518872603</v>
      </c>
      <c r="H564" s="990" t="s">
        <v>55</v>
      </c>
      <c r="I564" s="997">
        <f>E564-G564</f>
        <v>-512.92926337818892</v>
      </c>
      <c r="J564" s="990" t="s">
        <v>78</v>
      </c>
      <c r="K564" s="832"/>
      <c r="L564" s="832"/>
      <c r="M564" s="832"/>
      <c r="N564" s="832"/>
      <c r="O564" s="832"/>
      <c r="P564" s="832"/>
      <c r="Q564" s="832"/>
      <c r="R564" s="832"/>
      <c r="S564" s="832"/>
      <c r="T564" s="832"/>
    </row>
    <row r="565" spans="1:20" x14ac:dyDescent="0.2">
      <c r="A565" s="832"/>
      <c r="B565" s="832"/>
      <c r="C565" s="832"/>
      <c r="D565" s="832"/>
      <c r="E565" s="832"/>
      <c r="F565" s="832"/>
      <c r="G565" s="832"/>
      <c r="H565" s="832"/>
      <c r="I565" s="832"/>
      <c r="J565" s="832"/>
      <c r="K565" s="832"/>
      <c r="L565" s="990" t="s">
        <v>66</v>
      </c>
      <c r="M565" s="832"/>
      <c r="N565" s="997">
        <v>12</v>
      </c>
      <c r="O565" s="997">
        <v>16</v>
      </c>
      <c r="P565" s="997">
        <v>20</v>
      </c>
      <c r="Q565" s="997">
        <v>22</v>
      </c>
      <c r="R565" s="997">
        <v>25</v>
      </c>
      <c r="S565" s="832"/>
      <c r="T565" s="832"/>
    </row>
    <row r="566" spans="1:20" x14ac:dyDescent="0.2">
      <c r="A566" s="832"/>
      <c r="B566" s="990" t="s">
        <v>2207</v>
      </c>
      <c r="C566" s="832"/>
      <c r="D566" s="832"/>
      <c r="E566" s="832"/>
      <c r="F566" s="832"/>
      <c r="G566" s="832"/>
      <c r="H566" s="832"/>
      <c r="I566" s="832"/>
      <c r="J566" s="832"/>
      <c r="K566" s="832"/>
      <c r="L566" s="990" t="s">
        <v>1578</v>
      </c>
      <c r="M566" s="832"/>
      <c r="N566" s="997">
        <f>IF(I564&lt;=0,0,TRUNC(4*I564/PI()/N565^2)+1)</f>
        <v>0</v>
      </c>
      <c r="O566" s="997">
        <f>IF(I564&lt;=0,0,TRUNC(4*I564/PI()/O565^2)+1)</f>
        <v>0</v>
      </c>
      <c r="P566" s="997">
        <f>IF(I564&lt;=0,0,TRUNC(4*I564/PI()/P565^2)+1)</f>
        <v>0</v>
      </c>
      <c r="Q566" s="997">
        <f>IF(I564&lt;=0,0,TRUNC(4*I564/PI()/Q565^2)+1)</f>
        <v>0</v>
      </c>
      <c r="R566" s="997">
        <f>IF(I564&lt;=0,0,TRUNC(4*I564/PI()/R565^2)+1)</f>
        <v>0</v>
      </c>
      <c r="S566" s="832"/>
      <c r="T566" s="832"/>
    </row>
    <row r="567" spans="1:20" x14ac:dyDescent="0.2">
      <c r="A567" s="832"/>
      <c r="B567" s="990" t="s">
        <v>2208</v>
      </c>
      <c r="C567" s="832"/>
      <c r="D567" s="832"/>
      <c r="E567" s="832"/>
      <c r="F567" s="832"/>
      <c r="G567" s="832"/>
      <c r="H567" s="832"/>
      <c r="I567" s="832"/>
      <c r="J567" s="832"/>
      <c r="K567" s="832"/>
      <c r="L567" s="990" t="s">
        <v>1579</v>
      </c>
      <c r="M567" s="832"/>
      <c r="N567" s="997">
        <f>N566*N565+(N566+1)*25</f>
        <v>25</v>
      </c>
      <c r="O567" s="997">
        <f>O566*O565+(O566+1)*25</f>
        <v>25</v>
      </c>
      <c r="P567" s="997">
        <f>P566*P565+(P566+1)*25</f>
        <v>25</v>
      </c>
      <c r="Q567" s="997">
        <f>Q566*Q565+(Q566+1)*25</f>
        <v>25</v>
      </c>
      <c r="R567" s="997">
        <f>R566*R565+(R566+1)*25</f>
        <v>25</v>
      </c>
      <c r="S567" s="832"/>
      <c r="T567" s="832"/>
    </row>
    <row r="568" spans="1:20" x14ac:dyDescent="0.2">
      <c r="A568" s="832"/>
      <c r="B568" s="990"/>
      <c r="C568" s="832"/>
      <c r="D568" s="832"/>
      <c r="E568" s="832"/>
      <c r="F568" s="832"/>
      <c r="G568" s="832"/>
      <c r="H568" s="832"/>
      <c r="I568" s="832"/>
      <c r="J568" s="832"/>
      <c r="K568" s="832"/>
      <c r="L568" s="990" t="s">
        <v>68</v>
      </c>
      <c r="M568" s="832"/>
      <c r="N568" s="997">
        <f>N566*PI()*N565^2/4</f>
        <v>0</v>
      </c>
      <c r="O568" s="997">
        <f>O566*PI()*O565^2/4</f>
        <v>0</v>
      </c>
      <c r="P568" s="997">
        <f>P566*PI()*P565^2/4</f>
        <v>0</v>
      </c>
      <c r="Q568" s="997">
        <f>Q566*PI()*Q565^2/4</f>
        <v>0</v>
      </c>
      <c r="R568" s="997">
        <f>R566*PI()*R565^2/4</f>
        <v>0</v>
      </c>
      <c r="S568" s="832"/>
      <c r="T568" s="832"/>
    </row>
    <row r="569" spans="1:20" x14ac:dyDescent="0.2">
      <c r="A569" s="832"/>
      <c r="B569" s="990" t="s">
        <v>1582</v>
      </c>
      <c r="C569" s="832"/>
      <c r="D569" s="832"/>
      <c r="E569" s="832"/>
      <c r="F569" s="832"/>
      <c r="G569" s="832"/>
      <c r="H569" s="832"/>
      <c r="I569" s="832"/>
      <c r="J569" s="832"/>
      <c r="K569" s="832"/>
      <c r="L569" s="990" t="s">
        <v>69</v>
      </c>
      <c r="M569" s="832"/>
      <c r="N569" s="997">
        <f>IF(N567&gt;I570,100000000,N568-I564)</f>
        <v>512.92926337818892</v>
      </c>
      <c r="O569" s="997">
        <f>IF(O567&gt;I570,100000000,O568-I564)</f>
        <v>512.92926337818892</v>
      </c>
      <c r="P569" s="997">
        <f>IF(P567&gt;I570,100000000,P568-I564)</f>
        <v>512.92926337818892</v>
      </c>
      <c r="Q569" s="997">
        <f>IF(Q567&gt;I570,100000000,Q568-I564)</f>
        <v>512.92926337818892</v>
      </c>
      <c r="R569" s="997">
        <f>IF(R567&gt;I570,100000000,R568-I564)</f>
        <v>512.92926337818892</v>
      </c>
      <c r="S569" s="832"/>
      <c r="T569" s="832"/>
    </row>
    <row r="570" spans="1:20" x14ac:dyDescent="0.2">
      <c r="A570" s="832"/>
      <c r="B570" s="832"/>
      <c r="C570" s="832"/>
      <c r="D570" s="990" t="s">
        <v>867</v>
      </c>
      <c r="E570" s="997">
        <f>E36</f>
        <v>700</v>
      </c>
      <c r="F570" s="990" t="s">
        <v>111</v>
      </c>
      <c r="G570" s="997">
        <f>2*G62+G560/2+G561/2</f>
        <v>168</v>
      </c>
      <c r="H570" s="990" t="s">
        <v>55</v>
      </c>
      <c r="I570" s="997">
        <f>E570-G570</f>
        <v>532</v>
      </c>
      <c r="J570" s="990" t="s">
        <v>43</v>
      </c>
      <c r="K570" s="832"/>
      <c r="L570" s="990" t="s">
        <v>70</v>
      </c>
      <c r="M570" s="832"/>
      <c r="N570" s="997">
        <f>IF(P570=12,N566,IF(P570=16,O566,IF(P570=20,P566,IF(P570=22,Q566,IF(P570=25,R566,100000000)))))</f>
        <v>0</v>
      </c>
      <c r="O570" s="990" t="s">
        <v>1580</v>
      </c>
      <c r="P570" s="997">
        <f>IF(MIN(N567:R567)&gt;I570,100000000,IF(MIN(N569:R569)=N569,12,IF(MIN(N569:R569)=O569,16,IF(MIN(N569:R569)=P569,20,IF(MIN(N569:R569)=Q569,22,25)))))</f>
        <v>12</v>
      </c>
      <c r="Q570" s="990" t="s">
        <v>1581</v>
      </c>
      <c r="R570" s="832"/>
      <c r="S570" s="832"/>
      <c r="T570" s="832"/>
    </row>
    <row r="571" spans="1:20" x14ac:dyDescent="0.2">
      <c r="A571" s="832"/>
      <c r="B571" s="832"/>
      <c r="C571" s="990" t="s">
        <v>79</v>
      </c>
      <c r="D571" s="997">
        <v>4</v>
      </c>
      <c r="E571" s="990" t="s">
        <v>1580</v>
      </c>
      <c r="F571" s="997">
        <f>IF(H1523=0,P570,I1523)</f>
        <v>12</v>
      </c>
      <c r="G571" s="990" t="s">
        <v>1583</v>
      </c>
      <c r="H571" s="832"/>
      <c r="I571" s="997">
        <f>D571*PI()*F571^2/4</f>
        <v>452.38934211693021</v>
      </c>
      <c r="J571" s="990" t="s">
        <v>81</v>
      </c>
      <c r="K571" s="832"/>
      <c r="L571" s="832"/>
      <c r="M571" s="832"/>
      <c r="N571" s="832"/>
      <c r="O571" s="832"/>
      <c r="P571" s="832"/>
      <c r="Q571" s="832"/>
      <c r="R571" s="832"/>
      <c r="S571" s="832"/>
      <c r="T571" s="832"/>
    </row>
    <row r="572" spans="1:20" x14ac:dyDescent="0.2">
      <c r="A572" s="990" t="s">
        <v>986</v>
      </c>
      <c r="B572" s="832"/>
      <c r="C572" s="832"/>
      <c r="D572" s="832"/>
      <c r="E572" s="832"/>
      <c r="F572" s="832"/>
      <c r="G572" s="832"/>
      <c r="H572" s="832"/>
      <c r="I572" s="832"/>
      <c r="J572" s="832"/>
      <c r="K572" s="832"/>
      <c r="L572" s="832"/>
      <c r="M572" s="832"/>
      <c r="N572" s="832"/>
      <c r="O572" s="832"/>
      <c r="P572" s="832"/>
      <c r="Q572" s="832"/>
      <c r="R572" s="832"/>
      <c r="S572" s="832"/>
      <c r="T572" s="832"/>
    </row>
    <row r="573" spans="1:20" x14ac:dyDescent="0.2">
      <c r="A573" s="990" t="s">
        <v>950</v>
      </c>
      <c r="B573" s="832"/>
      <c r="C573" s="832"/>
      <c r="D573" s="832"/>
      <c r="E573" s="832"/>
      <c r="F573" s="832"/>
      <c r="G573" s="832"/>
      <c r="H573" s="832"/>
      <c r="I573" s="832"/>
      <c r="J573" s="832"/>
      <c r="K573" s="832"/>
      <c r="L573" s="832"/>
      <c r="M573" s="832"/>
      <c r="N573" s="832"/>
      <c r="O573" s="832"/>
      <c r="P573" s="832"/>
      <c r="Q573" s="832"/>
      <c r="R573" s="832"/>
      <c r="S573" s="832"/>
      <c r="T573" s="832"/>
    </row>
    <row r="574" spans="1:20" x14ac:dyDescent="0.2">
      <c r="A574" s="990" t="s">
        <v>1584</v>
      </c>
      <c r="B574" s="832"/>
      <c r="C574" s="832"/>
      <c r="D574" s="832"/>
      <c r="E574" s="832"/>
      <c r="F574" s="832"/>
      <c r="G574" s="832"/>
      <c r="H574" s="832"/>
      <c r="I574" s="832"/>
      <c r="J574" s="832"/>
      <c r="K574" s="832"/>
      <c r="L574" s="832"/>
      <c r="M574" s="832"/>
      <c r="N574" s="832"/>
      <c r="O574" s="832"/>
      <c r="P574" s="832"/>
      <c r="Q574" s="832"/>
      <c r="R574" s="832"/>
      <c r="S574" s="832"/>
      <c r="T574" s="832"/>
    </row>
    <row r="575" spans="1:20" x14ac:dyDescent="0.2">
      <c r="A575" s="832"/>
      <c r="B575" s="832"/>
      <c r="C575" s="832"/>
      <c r="D575" s="832"/>
      <c r="E575" s="832"/>
      <c r="F575" s="832"/>
      <c r="G575" s="832"/>
      <c r="H575" s="832"/>
      <c r="I575" s="832"/>
      <c r="J575" s="832"/>
      <c r="K575" s="832"/>
      <c r="L575" s="832"/>
      <c r="M575" s="832"/>
      <c r="N575" s="832"/>
      <c r="O575" s="832"/>
      <c r="P575" s="832"/>
      <c r="Q575" s="832"/>
      <c r="R575" s="832"/>
      <c r="S575" s="832"/>
      <c r="T575" s="832"/>
    </row>
    <row r="576" spans="1:20" x14ac:dyDescent="0.2">
      <c r="A576" s="832"/>
      <c r="B576" s="990" t="s">
        <v>1985</v>
      </c>
      <c r="C576" s="832"/>
      <c r="D576" s="832"/>
      <c r="E576" s="832"/>
      <c r="F576" s="832"/>
      <c r="G576" s="832"/>
      <c r="H576" s="832"/>
      <c r="I576" s="832"/>
      <c r="J576" s="832"/>
      <c r="K576" s="832"/>
      <c r="L576" s="832"/>
      <c r="M576" s="832"/>
      <c r="N576" s="832"/>
      <c r="O576" s="832"/>
      <c r="P576" s="832"/>
      <c r="Q576" s="832"/>
      <c r="R576" s="832"/>
      <c r="S576" s="832"/>
      <c r="T576" s="832"/>
    </row>
    <row r="577" spans="1:20" x14ac:dyDescent="0.2">
      <c r="A577" s="832"/>
      <c r="B577" s="990" t="s">
        <v>1986</v>
      </c>
      <c r="C577" s="832"/>
      <c r="D577" s="832"/>
      <c r="E577" s="832"/>
      <c r="F577" s="832"/>
      <c r="G577" s="832"/>
      <c r="H577" s="832"/>
      <c r="I577" s="832"/>
      <c r="J577" s="832"/>
      <c r="K577" s="832"/>
      <c r="L577" s="832"/>
      <c r="M577" s="832"/>
      <c r="N577" s="832"/>
      <c r="O577" s="832"/>
      <c r="P577" s="832"/>
      <c r="Q577" s="832"/>
      <c r="R577" s="832"/>
      <c r="S577" s="832"/>
      <c r="T577" s="832"/>
    </row>
    <row r="578" spans="1:20" x14ac:dyDescent="0.2">
      <c r="A578" s="832"/>
      <c r="B578" s="990" t="s">
        <v>1987</v>
      </c>
      <c r="C578" s="832"/>
      <c r="D578" s="832"/>
      <c r="E578" s="832"/>
      <c r="F578" s="832"/>
      <c r="G578" s="832"/>
      <c r="H578" s="832"/>
      <c r="I578" s="832"/>
      <c r="J578" s="832"/>
      <c r="K578" s="832"/>
      <c r="L578" s="832"/>
      <c r="M578" s="832"/>
      <c r="N578" s="832"/>
      <c r="O578" s="832"/>
      <c r="P578" s="832"/>
      <c r="Q578" s="832"/>
      <c r="R578" s="832"/>
      <c r="S578" s="832"/>
      <c r="T578" s="832"/>
    </row>
    <row r="579" spans="1:20" x14ac:dyDescent="0.2">
      <c r="A579" s="832"/>
      <c r="B579" s="990" t="s">
        <v>1988</v>
      </c>
      <c r="C579" s="832"/>
      <c r="D579" s="832"/>
      <c r="E579" s="832"/>
      <c r="F579" s="832"/>
      <c r="G579" s="832"/>
      <c r="H579" s="832"/>
      <c r="I579" s="832"/>
      <c r="J579" s="832"/>
      <c r="K579" s="832"/>
      <c r="L579" s="832"/>
      <c r="M579" s="832"/>
      <c r="N579" s="832"/>
      <c r="O579" s="832"/>
      <c r="P579" s="832"/>
      <c r="Q579" s="832"/>
      <c r="R579" s="832"/>
      <c r="S579" s="832"/>
      <c r="T579" s="832"/>
    </row>
    <row r="580" spans="1:20" x14ac:dyDescent="0.2">
      <c r="A580" s="832"/>
      <c r="B580" s="990" t="s">
        <v>1989</v>
      </c>
      <c r="C580" s="832"/>
      <c r="D580" s="832"/>
      <c r="E580" s="832"/>
      <c r="F580" s="832"/>
      <c r="G580" s="832"/>
      <c r="H580" s="832"/>
      <c r="I580" s="832"/>
      <c r="J580" s="832"/>
      <c r="K580" s="832"/>
      <c r="L580" s="832"/>
      <c r="M580" s="832"/>
      <c r="N580" s="832"/>
      <c r="O580" s="832"/>
      <c r="P580" s="832"/>
      <c r="Q580" s="832"/>
      <c r="R580" s="832"/>
      <c r="S580" s="832"/>
      <c r="T580" s="832"/>
    </row>
    <row r="581" spans="1:20" x14ac:dyDescent="0.2">
      <c r="A581" s="832"/>
      <c r="B581" s="832"/>
      <c r="C581" s="832"/>
      <c r="D581" s="832"/>
      <c r="E581" s="832"/>
      <c r="F581" s="832"/>
      <c r="G581" s="832"/>
      <c r="H581" s="832"/>
      <c r="I581" s="832"/>
      <c r="J581" s="832"/>
      <c r="K581" s="832"/>
      <c r="L581" s="832"/>
      <c r="M581" s="832"/>
      <c r="N581" s="832"/>
      <c r="O581" s="832"/>
      <c r="P581" s="832"/>
      <c r="Q581" s="832"/>
      <c r="R581" s="832"/>
      <c r="S581" s="832"/>
      <c r="T581" s="832"/>
    </row>
    <row r="582" spans="1:20" x14ac:dyDescent="0.2">
      <c r="A582" s="990" t="s">
        <v>950</v>
      </c>
      <c r="B582" s="832"/>
      <c r="C582" s="832"/>
      <c r="D582" s="832"/>
      <c r="E582" s="832"/>
      <c r="F582" s="832"/>
      <c r="G582" s="832"/>
      <c r="H582" s="832"/>
      <c r="I582" s="832"/>
      <c r="J582" s="832"/>
      <c r="K582" s="832"/>
      <c r="L582" s="832"/>
      <c r="M582" s="832"/>
      <c r="N582" s="832"/>
      <c r="O582" s="832"/>
      <c r="P582" s="832"/>
      <c r="Q582" s="832"/>
      <c r="R582" s="832"/>
      <c r="S582" s="832"/>
      <c r="T582" s="832"/>
    </row>
    <row r="583" spans="1:20" x14ac:dyDescent="0.2">
      <c r="A583" s="990" t="s">
        <v>1585</v>
      </c>
      <c r="B583" s="832"/>
      <c r="C583" s="832"/>
      <c r="D583" s="832"/>
      <c r="E583" s="832"/>
      <c r="F583" s="832"/>
      <c r="G583" s="832"/>
      <c r="H583" s="832"/>
      <c r="I583" s="832"/>
      <c r="J583" s="832"/>
      <c r="K583" s="832"/>
      <c r="L583" s="832"/>
      <c r="M583" s="832"/>
      <c r="N583" s="832"/>
      <c r="O583" s="832"/>
      <c r="P583" s="832"/>
      <c r="Q583" s="832"/>
      <c r="R583" s="832"/>
      <c r="S583" s="832"/>
      <c r="T583" s="832"/>
    </row>
    <row r="584" spans="1:20" x14ac:dyDescent="0.2">
      <c r="A584" s="832"/>
      <c r="B584" s="832"/>
      <c r="C584" s="832"/>
      <c r="D584" s="832"/>
      <c r="E584" s="832"/>
      <c r="F584" s="832"/>
      <c r="G584" s="832"/>
      <c r="H584" s="832"/>
      <c r="I584" s="832"/>
      <c r="J584" s="832"/>
      <c r="K584" s="832"/>
      <c r="L584" s="832"/>
      <c r="M584" s="832"/>
      <c r="N584" s="832"/>
      <c r="O584" s="832"/>
      <c r="P584" s="832"/>
      <c r="Q584" s="832"/>
      <c r="R584" s="832"/>
      <c r="S584" s="832"/>
      <c r="T584" s="832"/>
    </row>
    <row r="585" spans="1:20" x14ac:dyDescent="0.2">
      <c r="A585" s="990" t="s">
        <v>950</v>
      </c>
      <c r="B585" s="832"/>
      <c r="C585" s="832"/>
      <c r="D585" s="832"/>
      <c r="E585" s="832"/>
      <c r="F585" s="832"/>
      <c r="G585" s="832"/>
      <c r="H585" s="832"/>
      <c r="I585" s="832"/>
      <c r="J585" s="832"/>
      <c r="K585" s="832"/>
      <c r="L585" s="832"/>
      <c r="M585" s="832"/>
      <c r="N585" s="832"/>
      <c r="O585" s="832"/>
      <c r="P585" s="832"/>
      <c r="Q585" s="832"/>
      <c r="R585" s="832"/>
      <c r="S585" s="832"/>
      <c r="T585" s="832"/>
    </row>
    <row r="586" spans="1:20" x14ac:dyDescent="0.2">
      <c r="A586" s="990" t="s">
        <v>122</v>
      </c>
      <c r="B586" s="832"/>
      <c r="C586" s="832"/>
      <c r="D586" s="832"/>
      <c r="E586" s="832"/>
      <c r="F586" s="832"/>
      <c r="G586" s="832"/>
      <c r="H586" s="832"/>
      <c r="I586" s="832"/>
      <c r="J586" s="832"/>
      <c r="K586" s="832"/>
      <c r="L586" s="832"/>
      <c r="M586" s="832"/>
      <c r="N586" s="832"/>
      <c r="O586" s="832"/>
      <c r="P586" s="832"/>
      <c r="Q586" s="832"/>
      <c r="R586" s="832"/>
      <c r="S586" s="832"/>
      <c r="T586" s="832"/>
    </row>
    <row r="587" spans="1:20" x14ac:dyDescent="0.2">
      <c r="A587" s="996" t="s">
        <v>1586</v>
      </c>
      <c r="B587" s="832"/>
      <c r="C587" s="832"/>
      <c r="D587" s="832"/>
      <c r="E587" s="832"/>
      <c r="F587" s="832"/>
      <c r="G587" s="832"/>
      <c r="H587" s="832"/>
      <c r="I587" s="832"/>
      <c r="J587" s="832"/>
      <c r="K587" s="832"/>
      <c r="L587" s="832"/>
      <c r="M587" s="832"/>
      <c r="N587" s="832"/>
      <c r="O587" s="832"/>
      <c r="P587" s="832"/>
      <c r="Q587" s="832"/>
      <c r="R587" s="832"/>
      <c r="S587" s="832"/>
      <c r="T587" s="832"/>
    </row>
    <row r="588" spans="1:20" x14ac:dyDescent="0.2">
      <c r="A588" s="832"/>
      <c r="B588" s="990" t="s">
        <v>1516</v>
      </c>
      <c r="C588" s="832"/>
      <c r="D588" s="832"/>
      <c r="E588" s="832"/>
      <c r="F588" s="832"/>
      <c r="G588" s="832"/>
      <c r="H588" s="832"/>
      <c r="I588" s="832"/>
      <c r="J588" s="832"/>
      <c r="K588" s="832"/>
      <c r="L588" s="832"/>
      <c r="M588" s="832"/>
      <c r="N588" s="832"/>
      <c r="O588" s="832"/>
      <c r="P588" s="832"/>
      <c r="Q588" s="832"/>
      <c r="R588" s="832"/>
      <c r="S588" s="832"/>
      <c r="T588" s="832"/>
    </row>
    <row r="589" spans="1:20" x14ac:dyDescent="0.2">
      <c r="A589" s="832"/>
      <c r="B589" s="990" t="s">
        <v>1517</v>
      </c>
      <c r="C589" s="832"/>
      <c r="D589" s="832"/>
      <c r="E589" s="832"/>
      <c r="F589" s="832"/>
      <c r="G589" s="832"/>
      <c r="H589" s="832"/>
      <c r="I589" s="832"/>
      <c r="J589" s="832"/>
      <c r="K589" s="832"/>
      <c r="L589" s="832"/>
      <c r="M589" s="832"/>
      <c r="N589" s="832"/>
      <c r="O589" s="832"/>
      <c r="P589" s="832"/>
      <c r="Q589" s="832"/>
      <c r="R589" s="832"/>
      <c r="S589" s="832"/>
      <c r="T589" s="832"/>
    </row>
    <row r="590" spans="1:20" x14ac:dyDescent="0.2">
      <c r="A590" s="832"/>
      <c r="B590" s="832"/>
      <c r="C590" s="832"/>
      <c r="D590" s="832"/>
      <c r="E590" s="832"/>
      <c r="F590" s="832"/>
      <c r="G590" s="832"/>
      <c r="H590" s="832"/>
      <c r="I590" s="832"/>
      <c r="J590" s="832"/>
      <c r="K590" s="832"/>
      <c r="L590" s="832"/>
      <c r="M590" s="832"/>
      <c r="N590" s="832"/>
      <c r="O590" s="832"/>
      <c r="P590" s="832"/>
      <c r="Q590" s="832"/>
      <c r="R590" s="832"/>
      <c r="S590" s="832"/>
      <c r="T590" s="832"/>
    </row>
    <row r="591" spans="1:20" x14ac:dyDescent="0.2">
      <c r="A591" s="832"/>
      <c r="B591" s="990" t="s">
        <v>1587</v>
      </c>
      <c r="C591" s="832"/>
      <c r="D591" s="832"/>
      <c r="E591" s="832"/>
      <c r="F591" s="832"/>
      <c r="G591" s="832"/>
      <c r="H591" s="832"/>
      <c r="I591" s="832"/>
      <c r="J591" s="832"/>
      <c r="K591" s="832"/>
      <c r="L591" s="832"/>
      <c r="M591" s="832"/>
      <c r="N591" s="832"/>
      <c r="O591" s="832"/>
      <c r="P591" s="832"/>
      <c r="Q591" s="832"/>
      <c r="R591" s="832"/>
      <c r="S591" s="832"/>
      <c r="T591" s="832"/>
    </row>
    <row r="592" spans="1:20" x14ac:dyDescent="0.2">
      <c r="A592" s="832"/>
      <c r="B592" s="990" t="s">
        <v>1519</v>
      </c>
      <c r="C592" s="832"/>
      <c r="D592" s="832"/>
      <c r="E592" s="994">
        <f>$E$28-$E$27</f>
        <v>3.9400000000000004</v>
      </c>
      <c r="F592" s="990" t="s">
        <v>1012</v>
      </c>
      <c r="G592" s="994">
        <f>$E$12</f>
        <v>9.81</v>
      </c>
      <c r="H592" s="990" t="s">
        <v>55</v>
      </c>
      <c r="I592" s="994">
        <f>E592*G592</f>
        <v>38.651400000000002</v>
      </c>
      <c r="J592" s="990" t="s">
        <v>35</v>
      </c>
      <c r="K592" s="832"/>
      <c r="L592" s="832"/>
      <c r="M592" s="832"/>
      <c r="N592" s="832"/>
      <c r="O592" s="832"/>
      <c r="P592" s="832"/>
      <c r="Q592" s="832"/>
      <c r="R592" s="832"/>
      <c r="S592" s="832"/>
      <c r="T592" s="832"/>
    </row>
    <row r="593" spans="1:20" x14ac:dyDescent="0.2">
      <c r="A593" s="832"/>
      <c r="B593" s="832"/>
      <c r="C593" s="832"/>
      <c r="D593" s="832"/>
      <c r="E593" s="832"/>
      <c r="F593" s="832"/>
      <c r="G593" s="832"/>
      <c r="H593" s="832"/>
      <c r="I593" s="832"/>
      <c r="J593" s="832"/>
      <c r="K593" s="832"/>
      <c r="L593" s="832"/>
      <c r="M593" s="832"/>
      <c r="N593" s="832"/>
      <c r="O593" s="832"/>
      <c r="P593" s="832"/>
      <c r="Q593" s="832"/>
      <c r="R593" s="832"/>
      <c r="S593" s="832"/>
      <c r="T593" s="832"/>
    </row>
    <row r="594" spans="1:20" x14ac:dyDescent="0.2">
      <c r="A594" s="832"/>
      <c r="B594" s="990" t="s">
        <v>1520</v>
      </c>
      <c r="C594" s="832"/>
      <c r="D594" s="832"/>
      <c r="E594" s="832"/>
      <c r="F594" s="832"/>
      <c r="G594" s="832"/>
      <c r="H594" s="832"/>
      <c r="I594" s="832"/>
      <c r="J594" s="832"/>
      <c r="K594" s="832"/>
      <c r="L594" s="832"/>
      <c r="M594" s="832"/>
      <c r="N594" s="832"/>
      <c r="O594" s="832"/>
      <c r="P594" s="832"/>
      <c r="Q594" s="832"/>
      <c r="R594" s="832"/>
      <c r="S594" s="832"/>
      <c r="T594" s="832"/>
    </row>
    <row r="595" spans="1:20" x14ac:dyDescent="0.2">
      <c r="A595" s="832"/>
      <c r="B595" s="990" t="s">
        <v>1521</v>
      </c>
      <c r="C595" s="832"/>
      <c r="D595" s="832"/>
      <c r="E595" s="832"/>
      <c r="F595" s="832"/>
      <c r="G595" s="832"/>
      <c r="H595" s="832"/>
      <c r="I595" s="832"/>
      <c r="J595" s="832"/>
      <c r="K595" s="832"/>
      <c r="L595" s="832"/>
      <c r="M595" s="832"/>
      <c r="N595" s="832"/>
      <c r="O595" s="832"/>
      <c r="P595" s="832"/>
      <c r="Q595" s="832"/>
      <c r="R595" s="832"/>
      <c r="S595" s="832"/>
      <c r="T595" s="832"/>
    </row>
    <row r="596" spans="1:20" x14ac:dyDescent="0.2">
      <c r="A596" s="832"/>
      <c r="B596" s="990" t="s">
        <v>1522</v>
      </c>
      <c r="C596" s="832"/>
      <c r="D596" s="832"/>
      <c r="E596" s="832"/>
      <c r="F596" s="832"/>
      <c r="G596" s="832"/>
      <c r="H596" s="832"/>
      <c r="I596" s="832"/>
      <c r="J596" s="832"/>
      <c r="K596" s="832"/>
      <c r="L596" s="832"/>
      <c r="M596" s="832"/>
      <c r="N596" s="832"/>
      <c r="O596" s="832"/>
      <c r="P596" s="832"/>
      <c r="Q596" s="832"/>
      <c r="R596" s="832"/>
      <c r="S596" s="832"/>
      <c r="T596" s="832"/>
    </row>
    <row r="597" spans="1:20" x14ac:dyDescent="0.2">
      <c r="A597" s="832"/>
      <c r="B597" s="832"/>
      <c r="C597" s="832"/>
      <c r="D597" s="832"/>
      <c r="E597" s="832"/>
      <c r="F597" s="832"/>
      <c r="G597" s="832"/>
      <c r="H597" s="832"/>
      <c r="I597" s="832"/>
      <c r="J597" s="832"/>
      <c r="K597" s="832"/>
      <c r="L597" s="832"/>
      <c r="M597" s="832"/>
      <c r="N597" s="832"/>
      <c r="O597" s="832"/>
      <c r="P597" s="832"/>
      <c r="Q597" s="832"/>
      <c r="R597" s="832"/>
      <c r="S597" s="832"/>
      <c r="T597" s="832"/>
    </row>
    <row r="598" spans="1:20" x14ac:dyDescent="0.2">
      <c r="A598" s="832"/>
      <c r="B598" s="990" t="s">
        <v>1523</v>
      </c>
      <c r="C598" s="832"/>
      <c r="D598" s="832"/>
      <c r="E598" s="832"/>
      <c r="F598" s="994">
        <f>$E$47</f>
        <v>2.1</v>
      </c>
      <c r="G598" s="990" t="s">
        <v>24</v>
      </c>
      <c r="H598" s="990" t="s">
        <v>1588</v>
      </c>
      <c r="I598" s="832"/>
      <c r="J598" s="832"/>
      <c r="K598" s="832"/>
      <c r="L598" s="832"/>
      <c r="M598" s="832"/>
      <c r="N598" s="832"/>
      <c r="O598" s="832"/>
      <c r="P598" s="832"/>
      <c r="Q598" s="832"/>
      <c r="R598" s="832"/>
      <c r="S598" s="832"/>
      <c r="T598" s="832"/>
    </row>
    <row r="599" spans="1:20" x14ac:dyDescent="0.2">
      <c r="A599" s="832"/>
      <c r="B599" s="990" t="s">
        <v>1589</v>
      </c>
      <c r="C599" s="832"/>
      <c r="D599" s="832"/>
      <c r="E599" s="832"/>
      <c r="F599" s="994">
        <f>$E$28-$E$27</f>
        <v>3.9400000000000004</v>
      </c>
      <c r="G599" s="990" t="s">
        <v>24</v>
      </c>
      <c r="H599" s="996" t="s">
        <v>1056</v>
      </c>
      <c r="I599" s="832"/>
      <c r="J599" s="832"/>
      <c r="K599" s="832"/>
      <c r="L599" s="832"/>
      <c r="M599" s="832"/>
      <c r="N599" s="832"/>
      <c r="O599" s="832"/>
      <c r="P599" s="832"/>
      <c r="Q599" s="832"/>
      <c r="R599" s="832"/>
      <c r="S599" s="832"/>
      <c r="T599" s="832"/>
    </row>
    <row r="600" spans="1:20" x14ac:dyDescent="0.2">
      <c r="A600" s="832"/>
      <c r="B600" s="832"/>
      <c r="C600" s="832"/>
      <c r="D600" s="832"/>
      <c r="E600" s="832"/>
      <c r="F600" s="832"/>
      <c r="G600" s="832"/>
      <c r="H600" s="996" t="s">
        <v>1526</v>
      </c>
      <c r="I600" s="832"/>
      <c r="J600" s="832"/>
      <c r="K600" s="832"/>
      <c r="L600" s="832"/>
      <c r="M600" s="832"/>
      <c r="N600" s="832"/>
      <c r="O600" s="832"/>
      <c r="P600" s="832"/>
      <c r="Q600" s="832"/>
      <c r="R600" s="832"/>
      <c r="S600" s="832"/>
      <c r="T600" s="832"/>
    </row>
    <row r="601" spans="1:20" x14ac:dyDescent="0.2">
      <c r="A601" s="832"/>
      <c r="B601" s="990"/>
      <c r="C601" s="832"/>
      <c r="D601" s="832"/>
      <c r="E601" s="832"/>
      <c r="F601" s="832"/>
      <c r="G601" s="990" t="s">
        <v>1527</v>
      </c>
      <c r="H601" s="990" t="s">
        <v>1528</v>
      </c>
      <c r="I601" s="832"/>
      <c r="J601" s="832"/>
      <c r="K601" s="832"/>
      <c r="L601" s="832"/>
      <c r="M601" s="832"/>
      <c r="N601" s="832"/>
      <c r="O601" s="832"/>
      <c r="P601" s="832"/>
      <c r="Q601" s="832"/>
      <c r="R601" s="832"/>
      <c r="S601" s="832"/>
      <c r="T601" s="832"/>
    </row>
    <row r="602" spans="1:20" x14ac:dyDescent="0.2">
      <c r="A602" s="832"/>
      <c r="B602" s="1040" t="s">
        <v>2198</v>
      </c>
      <c r="C602" s="1041" t="s">
        <v>2197</v>
      </c>
      <c r="D602" s="1041" t="s">
        <v>2196</v>
      </c>
      <c r="E602" s="1041" t="s">
        <v>2195</v>
      </c>
      <c r="F602" s="1042" t="s">
        <v>2194</v>
      </c>
      <c r="G602" s="990" t="s">
        <v>1527</v>
      </c>
      <c r="H602" s="996" t="s">
        <v>1056</v>
      </c>
      <c r="I602" s="996" t="s">
        <v>1056</v>
      </c>
      <c r="J602" s="832"/>
      <c r="K602" s="832"/>
      <c r="L602" s="832"/>
      <c r="M602" s="832"/>
      <c r="N602" s="832"/>
      <c r="O602" s="832"/>
      <c r="P602" s="832"/>
      <c r="Q602" s="832"/>
      <c r="R602" s="832"/>
      <c r="S602" s="832"/>
      <c r="T602" s="832"/>
    </row>
    <row r="603" spans="1:20" x14ac:dyDescent="0.2">
      <c r="A603" s="832"/>
      <c r="B603" s="1022">
        <f>1/8</f>
        <v>0.125</v>
      </c>
      <c r="C603" s="1023">
        <v>5.1999999999999998E-3</v>
      </c>
      <c r="D603" s="1023">
        <v>7.1999999999999998E-3</v>
      </c>
      <c r="E603" s="1023">
        <v>9.64E-2</v>
      </c>
      <c r="F603" s="1024">
        <v>0.27060000000000001</v>
      </c>
      <c r="G603" s="990" t="s">
        <v>1529</v>
      </c>
      <c r="H603" s="996" t="s">
        <v>1056</v>
      </c>
      <c r="I603" s="996" t="s">
        <v>1056</v>
      </c>
      <c r="J603" s="832"/>
      <c r="K603" s="832"/>
      <c r="L603" s="832"/>
      <c r="M603" s="832"/>
      <c r="N603" s="832"/>
      <c r="O603" s="832"/>
      <c r="P603" s="832"/>
      <c r="Q603" s="832"/>
      <c r="R603" s="832"/>
      <c r="S603" s="832"/>
      <c r="T603" s="832"/>
    </row>
    <row r="604" spans="1:20" x14ac:dyDescent="0.2">
      <c r="A604" s="832"/>
      <c r="B604" s="1022">
        <f>1/4</f>
        <v>0.25</v>
      </c>
      <c r="C604" s="1023">
        <v>1.4999999999999999E-2</v>
      </c>
      <c r="D604" s="1023">
        <v>2.2100000000000002E-2</v>
      </c>
      <c r="E604" s="1023">
        <v>0.15129999999999999</v>
      </c>
      <c r="F604" s="1024">
        <v>0.42320000000000002</v>
      </c>
      <c r="G604" s="990" t="s">
        <v>1529</v>
      </c>
      <c r="H604" s="996" t="s">
        <v>1056</v>
      </c>
      <c r="I604" s="996" t="s">
        <v>1530</v>
      </c>
      <c r="J604" s="832"/>
      <c r="K604" s="832"/>
      <c r="L604" s="832"/>
      <c r="M604" s="832"/>
      <c r="N604" s="832"/>
      <c r="O604" s="832"/>
      <c r="P604" s="832"/>
      <c r="Q604" s="832"/>
      <c r="R604" s="832"/>
      <c r="S604" s="832"/>
      <c r="T604" s="832"/>
    </row>
    <row r="605" spans="1:20" x14ac:dyDescent="0.2">
      <c r="A605" s="832"/>
      <c r="B605" s="1022">
        <f>3/8</f>
        <v>0.375</v>
      </c>
      <c r="C605" s="1023">
        <v>2.46E-2</v>
      </c>
      <c r="D605" s="1023">
        <v>3.5400000000000001E-2</v>
      </c>
      <c r="E605" s="1023">
        <v>0.20499999999999999</v>
      </c>
      <c r="F605" s="1024">
        <v>0.41849999999999998</v>
      </c>
      <c r="G605" s="990" t="s">
        <v>1527</v>
      </c>
      <c r="H605" s="996" t="s">
        <v>1056</v>
      </c>
      <c r="I605" s="996" t="s">
        <v>1056</v>
      </c>
      <c r="J605" s="832"/>
      <c r="K605" s="832"/>
      <c r="L605" s="832"/>
      <c r="M605" s="832"/>
      <c r="N605" s="832"/>
      <c r="O605" s="832"/>
      <c r="P605" s="832"/>
      <c r="Q605" s="832"/>
      <c r="R605" s="832"/>
      <c r="S605" s="832"/>
      <c r="T605" s="832"/>
    </row>
    <row r="606" spans="1:20" x14ac:dyDescent="0.2">
      <c r="A606" s="832"/>
      <c r="B606" s="1022">
        <f>1/2</f>
        <v>0.5</v>
      </c>
      <c r="C606" s="1023">
        <v>3.3399999999999999E-2</v>
      </c>
      <c r="D606" s="1023">
        <v>5.4600000000000003E-2</v>
      </c>
      <c r="E606" s="1023">
        <v>0.2311</v>
      </c>
      <c r="F606" s="1024">
        <v>0.48270000000000002</v>
      </c>
      <c r="G606" s="990" t="s">
        <v>1527</v>
      </c>
      <c r="H606" s="996" t="s">
        <v>1056</v>
      </c>
      <c r="I606" s="996" t="s">
        <v>1056</v>
      </c>
      <c r="J606" s="832"/>
      <c r="K606" s="832"/>
      <c r="L606" s="832"/>
      <c r="M606" s="832"/>
      <c r="N606" s="832"/>
      <c r="O606" s="832"/>
      <c r="P606" s="832"/>
      <c r="Q606" s="832"/>
      <c r="R606" s="832"/>
      <c r="S606" s="832"/>
      <c r="T606" s="832"/>
    </row>
    <row r="607" spans="1:20" x14ac:dyDescent="0.2">
      <c r="A607" s="832"/>
      <c r="B607" s="1022">
        <f>3/4</f>
        <v>0.75</v>
      </c>
      <c r="C607" s="1023">
        <v>4.87E-2</v>
      </c>
      <c r="D607" s="1023">
        <v>8.9599999999999999E-2</v>
      </c>
      <c r="E607" s="1023">
        <v>0.23830000000000001</v>
      </c>
      <c r="F607" s="1024">
        <v>0.55049999999999999</v>
      </c>
      <c r="G607" s="990" t="s">
        <v>1529</v>
      </c>
      <c r="H607" s="996" t="s">
        <v>1056</v>
      </c>
      <c r="I607" s="996" t="s">
        <v>1531</v>
      </c>
      <c r="J607" s="832"/>
      <c r="K607" s="832"/>
      <c r="L607" s="832"/>
      <c r="M607" s="832"/>
      <c r="N607" s="832"/>
      <c r="O607" s="832"/>
      <c r="P607" s="832"/>
      <c r="Q607" s="832"/>
      <c r="R607" s="832"/>
      <c r="S607" s="832"/>
      <c r="T607" s="832"/>
    </row>
    <row r="608" spans="1:20" x14ac:dyDescent="0.2">
      <c r="A608" s="832"/>
      <c r="B608" s="1025">
        <f>1/1</f>
        <v>1</v>
      </c>
      <c r="C608" s="1026">
        <v>6.6199999999999995E-2</v>
      </c>
      <c r="D608" s="1026">
        <v>0.1157</v>
      </c>
      <c r="E608" s="1026">
        <v>0.24809999999999999</v>
      </c>
      <c r="F608" s="1027">
        <v>0.55859999999999999</v>
      </c>
      <c r="G608" s="990" t="s">
        <v>1529</v>
      </c>
      <c r="H608" s="990" t="s">
        <v>1532</v>
      </c>
      <c r="I608" s="832"/>
      <c r="J608" s="832"/>
      <c r="K608" s="832"/>
      <c r="L608" s="832"/>
      <c r="M608" s="832"/>
      <c r="N608" s="832"/>
      <c r="O608" s="832"/>
      <c r="P608" s="832"/>
      <c r="Q608" s="832"/>
      <c r="R608" s="832"/>
      <c r="S608" s="832"/>
      <c r="T608" s="832"/>
    </row>
    <row r="609" spans="1:20" x14ac:dyDescent="0.2">
      <c r="A609" s="832"/>
      <c r="B609" s="1028"/>
      <c r="C609" s="1028"/>
      <c r="D609" s="1028"/>
      <c r="E609" s="1028"/>
      <c r="F609" s="1028"/>
      <c r="G609" s="990" t="s">
        <v>1533</v>
      </c>
      <c r="H609" s="832"/>
      <c r="I609" s="832"/>
      <c r="J609" s="832"/>
      <c r="K609" s="832"/>
      <c r="L609" s="832"/>
      <c r="M609" s="832"/>
      <c r="N609" s="832"/>
      <c r="O609" s="832"/>
      <c r="P609" s="832"/>
      <c r="Q609" s="832"/>
      <c r="R609" s="832"/>
      <c r="S609" s="832"/>
      <c r="T609" s="832"/>
    </row>
    <row r="610" spans="1:20" x14ac:dyDescent="0.2">
      <c r="A610" s="832"/>
      <c r="B610" s="990" t="s">
        <v>1534</v>
      </c>
      <c r="C610" s="994">
        <f>F598/F599</f>
        <v>0.53299492385786795</v>
      </c>
      <c r="D610" s="990" t="s">
        <v>1535</v>
      </c>
      <c r="E610" s="832"/>
      <c r="F610" s="832"/>
      <c r="G610" s="832"/>
      <c r="H610" s="994" t="str">
        <f>IF(C610&lt;=1/8,"1/8",IF(C610&lt;=1/4,"1/4",IF(C610&lt;=3/8,"3/8",IF(C610&lt;=1/2,"1/2",IF(C610&lt;3/4,"3/4",IF(C610&lt;=1,"1","0"))))))</f>
        <v>3/4</v>
      </c>
      <c r="I610" s="832"/>
      <c r="J610" s="832"/>
      <c r="K610" s="832"/>
      <c r="L610" s="832"/>
      <c r="M610" s="832"/>
      <c r="N610" s="832"/>
      <c r="O610" s="832"/>
      <c r="P610" s="832"/>
      <c r="Q610" s="832"/>
      <c r="R610" s="832"/>
      <c r="S610" s="832"/>
      <c r="T610" s="832"/>
    </row>
    <row r="611" spans="1:20" x14ac:dyDescent="0.2">
      <c r="A611" s="832"/>
      <c r="B611" s="832"/>
      <c r="C611" s="832"/>
      <c r="D611" s="832"/>
      <c r="E611" s="832"/>
      <c r="F611" s="832"/>
      <c r="G611" s="832"/>
      <c r="H611" s="832"/>
      <c r="I611" s="832"/>
      <c r="J611" s="832"/>
      <c r="K611" s="832"/>
      <c r="L611" s="832"/>
      <c r="M611" s="832"/>
      <c r="N611" s="832"/>
      <c r="O611" s="832"/>
      <c r="P611" s="832"/>
      <c r="Q611" s="832"/>
      <c r="R611" s="832"/>
      <c r="S611" s="832"/>
      <c r="T611" s="832"/>
    </row>
    <row r="612" spans="1:20" x14ac:dyDescent="0.2">
      <c r="A612" s="832"/>
      <c r="B612" s="990" t="s">
        <v>1536</v>
      </c>
      <c r="C612" s="832"/>
      <c r="D612" s="832"/>
      <c r="E612" s="832"/>
      <c r="F612" s="832"/>
      <c r="G612" s="832"/>
      <c r="H612" s="832"/>
      <c r="I612" s="832"/>
      <c r="J612" s="832"/>
      <c r="K612" s="832"/>
      <c r="L612" s="832"/>
      <c r="M612" s="832"/>
      <c r="N612" s="832"/>
      <c r="O612" s="832"/>
      <c r="P612" s="832"/>
      <c r="Q612" s="832"/>
      <c r="R612" s="832"/>
      <c r="S612" s="832"/>
      <c r="T612" s="832"/>
    </row>
    <row r="613" spans="1:20" x14ac:dyDescent="0.2">
      <c r="A613" s="832"/>
      <c r="B613" s="990" t="s">
        <v>1537</v>
      </c>
      <c r="C613" s="832"/>
      <c r="D613" s="1015">
        <f>VLOOKUP(VALUE($H$610),$B$603:$F$608,2)</f>
        <v>6.6199999999999995E-2</v>
      </c>
      <c r="E613" s="990" t="s">
        <v>1012</v>
      </c>
      <c r="F613" s="994">
        <f>$I$592</f>
        <v>38.651400000000002</v>
      </c>
      <c r="G613" s="990" t="s">
        <v>1012</v>
      </c>
      <c r="H613" s="994">
        <f>$F$599</f>
        <v>3.9400000000000004</v>
      </c>
      <c r="I613" s="990" t="s">
        <v>1538</v>
      </c>
      <c r="J613" s="994">
        <f>D613*F613*H613^2</f>
        <v>39.720587395248003</v>
      </c>
      <c r="K613" s="990" t="s">
        <v>58</v>
      </c>
      <c r="L613" s="832"/>
      <c r="M613" s="832"/>
      <c r="N613" s="832"/>
      <c r="O613" s="832"/>
      <c r="P613" s="832"/>
      <c r="Q613" s="832"/>
      <c r="R613" s="832"/>
      <c r="S613" s="832"/>
      <c r="T613" s="832"/>
    </row>
    <row r="614" spans="1:20" x14ac:dyDescent="0.2">
      <c r="A614" s="832"/>
      <c r="B614" s="990" t="s">
        <v>1539</v>
      </c>
      <c r="C614" s="832"/>
      <c r="D614" s="1015">
        <f>VLOOKUP(VALUE($H$610),$B$603:$F$608,3)</f>
        <v>0.1157</v>
      </c>
      <c r="E614" s="990" t="s">
        <v>1012</v>
      </c>
      <c r="F614" s="994">
        <f>$I$592</f>
        <v>38.651400000000002</v>
      </c>
      <c r="G614" s="990" t="s">
        <v>1012</v>
      </c>
      <c r="H614" s="994">
        <f>$F$599</f>
        <v>3.9400000000000004</v>
      </c>
      <c r="I614" s="990" t="s">
        <v>1538</v>
      </c>
      <c r="J614" s="994">
        <f>D614*F614*H614^2</f>
        <v>69.421026610728021</v>
      </c>
      <c r="K614" s="990" t="s">
        <v>58</v>
      </c>
      <c r="L614" s="832"/>
      <c r="M614" s="832"/>
      <c r="N614" s="832"/>
      <c r="O614" s="832"/>
      <c r="P614" s="832"/>
      <c r="Q614" s="832"/>
      <c r="R614" s="832"/>
      <c r="S614" s="832"/>
      <c r="T614" s="832"/>
    </row>
    <row r="615" spans="1:20" x14ac:dyDescent="0.2">
      <c r="A615" s="832"/>
      <c r="B615" s="832"/>
      <c r="C615" s="832"/>
      <c r="D615" s="832"/>
      <c r="E615" s="832"/>
      <c r="F615" s="832"/>
      <c r="G615" s="832"/>
      <c r="H615" s="832"/>
      <c r="I615" s="832"/>
      <c r="J615" s="832"/>
      <c r="K615" s="832"/>
      <c r="L615" s="832"/>
      <c r="M615" s="832"/>
      <c r="N615" s="832"/>
      <c r="O615" s="832"/>
      <c r="P615" s="832"/>
      <c r="Q615" s="832"/>
      <c r="R615" s="832"/>
      <c r="S615" s="832"/>
      <c r="T615" s="832"/>
    </row>
    <row r="616" spans="1:20" x14ac:dyDescent="0.2">
      <c r="A616" s="832"/>
      <c r="B616" s="990" t="s">
        <v>1541</v>
      </c>
      <c r="C616" s="832"/>
      <c r="D616" s="1015">
        <f>VLOOKUP(VALUE($H$610),$B$603:$F$608,4)</f>
        <v>0.24809999999999999</v>
      </c>
      <c r="E616" s="990" t="s">
        <v>1012</v>
      </c>
      <c r="F616" s="994">
        <f>$I$592</f>
        <v>38.651400000000002</v>
      </c>
      <c r="G616" s="990" t="s">
        <v>1012</v>
      </c>
      <c r="H616" s="994">
        <f>$F$599</f>
        <v>3.9400000000000004</v>
      </c>
      <c r="I616" s="990" t="s">
        <v>55</v>
      </c>
      <c r="J616" s="994">
        <f>D616*F616*H616</f>
        <v>37.782284619600006</v>
      </c>
      <c r="K616" s="990" t="s">
        <v>57</v>
      </c>
      <c r="L616" s="832"/>
      <c r="M616" s="832"/>
      <c r="N616" s="832"/>
      <c r="O616" s="832"/>
      <c r="P616" s="832"/>
      <c r="Q616" s="832"/>
      <c r="R616" s="832"/>
      <c r="S616" s="832"/>
      <c r="T616" s="832"/>
    </row>
    <row r="617" spans="1:20" x14ac:dyDescent="0.2">
      <c r="A617" s="832"/>
      <c r="B617" s="990" t="s">
        <v>1542</v>
      </c>
      <c r="C617" s="832"/>
      <c r="D617" s="1015">
        <f>VLOOKUP(VALUE($H$610),$B$603:$F$608,5)</f>
        <v>0.55859999999999999</v>
      </c>
      <c r="E617" s="990" t="s">
        <v>1012</v>
      </c>
      <c r="F617" s="994">
        <f>$I$592</f>
        <v>38.651400000000002</v>
      </c>
      <c r="G617" s="990" t="s">
        <v>1012</v>
      </c>
      <c r="H617" s="994">
        <f>$F$599</f>
        <v>3.9400000000000004</v>
      </c>
      <c r="I617" s="990" t="s">
        <v>55</v>
      </c>
      <c r="J617" s="994">
        <f>D617*F617*H617</f>
        <v>85.067247837600007</v>
      </c>
      <c r="K617" s="990" t="s">
        <v>57</v>
      </c>
      <c r="L617" s="832"/>
      <c r="M617" s="832"/>
      <c r="N617" s="832"/>
      <c r="O617" s="832"/>
      <c r="P617" s="832"/>
      <c r="Q617" s="832"/>
      <c r="R617" s="832"/>
      <c r="S617" s="832"/>
      <c r="T617" s="832"/>
    </row>
    <row r="618" spans="1:20" x14ac:dyDescent="0.2">
      <c r="A618" s="990" t="s">
        <v>986</v>
      </c>
      <c r="B618" s="832"/>
      <c r="C618" s="832"/>
      <c r="D618" s="832"/>
      <c r="E618" s="832"/>
      <c r="F618" s="832"/>
      <c r="G618" s="832"/>
      <c r="H618" s="832"/>
      <c r="I618" s="832"/>
      <c r="J618" s="832"/>
      <c r="K618" s="832"/>
      <c r="L618" s="832"/>
      <c r="M618" s="832"/>
      <c r="N618" s="832"/>
      <c r="O618" s="832"/>
      <c r="P618" s="832"/>
      <c r="Q618" s="832"/>
      <c r="R618" s="832"/>
      <c r="S618" s="832"/>
      <c r="T618" s="832"/>
    </row>
    <row r="619" spans="1:20" x14ac:dyDescent="0.2">
      <c r="A619" s="990" t="s">
        <v>950</v>
      </c>
      <c r="B619" s="832"/>
      <c r="C619" s="832"/>
      <c r="D619" s="832"/>
      <c r="E619" s="832"/>
      <c r="F619" s="832"/>
      <c r="G619" s="832"/>
      <c r="H619" s="832"/>
      <c r="I619" s="832"/>
      <c r="J619" s="832"/>
      <c r="K619" s="832"/>
      <c r="L619" s="832"/>
      <c r="M619" s="832"/>
      <c r="N619" s="832"/>
      <c r="O619" s="832"/>
      <c r="P619" s="832"/>
      <c r="Q619" s="832"/>
      <c r="R619" s="832"/>
      <c r="S619" s="832"/>
      <c r="T619" s="832"/>
    </row>
    <row r="620" spans="1:20" x14ac:dyDescent="0.2">
      <c r="A620" s="990" t="s">
        <v>59</v>
      </c>
      <c r="B620" s="832"/>
      <c r="C620" s="832"/>
      <c r="D620" s="832"/>
      <c r="E620" s="832"/>
      <c r="F620" s="832"/>
      <c r="G620" s="832"/>
      <c r="H620" s="832"/>
      <c r="I620" s="832"/>
      <c r="J620" s="832"/>
      <c r="K620" s="832"/>
      <c r="L620" s="832"/>
      <c r="M620" s="832"/>
      <c r="N620" s="832"/>
      <c r="O620" s="832"/>
      <c r="P620" s="832"/>
      <c r="Q620" s="832"/>
      <c r="R620" s="832"/>
      <c r="S620" s="832"/>
      <c r="T620" s="832"/>
    </row>
    <row r="621" spans="1:20" x14ac:dyDescent="0.2">
      <c r="A621" s="996" t="s">
        <v>1586</v>
      </c>
      <c r="B621" s="832"/>
      <c r="C621" s="832"/>
      <c r="D621" s="832"/>
      <c r="E621" s="832"/>
      <c r="F621" s="832"/>
      <c r="G621" s="832"/>
      <c r="H621" s="832"/>
      <c r="I621" s="832"/>
      <c r="J621" s="832"/>
      <c r="K621" s="832"/>
      <c r="L621" s="832"/>
      <c r="M621" s="832"/>
      <c r="N621" s="832"/>
      <c r="O621" s="832"/>
      <c r="P621" s="832"/>
      <c r="Q621" s="832"/>
      <c r="R621" s="832"/>
      <c r="S621" s="832"/>
      <c r="T621" s="832"/>
    </row>
    <row r="622" spans="1:20" x14ac:dyDescent="0.2">
      <c r="A622" s="832"/>
      <c r="B622" s="990" t="s">
        <v>499</v>
      </c>
      <c r="C622" s="832"/>
      <c r="D622" s="832"/>
      <c r="E622" s="832"/>
      <c r="F622" s="832"/>
      <c r="G622" s="832"/>
      <c r="H622" s="832"/>
      <c r="I622" s="832"/>
      <c r="J622" s="832"/>
      <c r="K622" s="832"/>
      <c r="L622" s="832"/>
      <c r="M622" s="832"/>
      <c r="N622" s="832"/>
      <c r="O622" s="832"/>
      <c r="P622" s="832"/>
      <c r="Q622" s="832"/>
      <c r="R622" s="832"/>
      <c r="S622" s="832"/>
      <c r="T622" s="832"/>
    </row>
    <row r="623" spans="1:20" x14ac:dyDescent="0.2">
      <c r="A623" s="832"/>
      <c r="B623" s="832"/>
      <c r="C623" s="832"/>
      <c r="D623" s="832"/>
      <c r="E623" s="832"/>
      <c r="F623" s="832"/>
      <c r="G623" s="832"/>
      <c r="H623" s="832"/>
      <c r="I623" s="832"/>
      <c r="J623" s="832"/>
      <c r="K623" s="832"/>
      <c r="L623" s="832"/>
      <c r="M623" s="832"/>
      <c r="N623" s="832"/>
      <c r="O623" s="832"/>
      <c r="P623" s="832"/>
      <c r="Q623" s="832"/>
      <c r="R623" s="832"/>
      <c r="S623" s="832"/>
      <c r="T623" s="832"/>
    </row>
    <row r="624" spans="1:20" x14ac:dyDescent="0.2">
      <c r="A624" s="832"/>
      <c r="B624" s="990" t="s">
        <v>1150</v>
      </c>
      <c r="C624" s="832"/>
      <c r="D624" s="832"/>
      <c r="E624" s="832"/>
      <c r="F624" s="832"/>
      <c r="G624" s="832"/>
      <c r="H624" s="832"/>
      <c r="I624" s="832"/>
      <c r="J624" s="832"/>
      <c r="K624" s="832"/>
      <c r="L624" s="832"/>
      <c r="M624" s="832"/>
      <c r="N624" s="832"/>
      <c r="O624" s="832"/>
      <c r="P624" s="832"/>
      <c r="Q624" s="832"/>
      <c r="R624" s="832"/>
      <c r="S624" s="832"/>
      <c r="T624" s="832"/>
    </row>
    <row r="625" spans="1:20" x14ac:dyDescent="0.2">
      <c r="A625" s="832"/>
      <c r="B625" s="990" t="s">
        <v>500</v>
      </c>
      <c r="C625" s="832"/>
      <c r="D625" s="832"/>
      <c r="E625" s="994">
        <f>J614</f>
        <v>69.421026610728021</v>
      </c>
      <c r="F625" s="990" t="s">
        <v>58</v>
      </c>
      <c r="G625" s="832"/>
      <c r="H625" s="832"/>
      <c r="I625" s="832"/>
      <c r="J625" s="832"/>
      <c r="K625" s="832"/>
      <c r="L625" s="832"/>
      <c r="M625" s="832"/>
      <c r="N625" s="832"/>
      <c r="O625" s="832"/>
      <c r="P625" s="832"/>
      <c r="Q625" s="832"/>
      <c r="R625" s="832"/>
      <c r="S625" s="832"/>
      <c r="T625" s="832"/>
    </row>
    <row r="626" spans="1:20" x14ac:dyDescent="0.2">
      <c r="A626" s="832"/>
      <c r="B626" s="990" t="s">
        <v>1151</v>
      </c>
      <c r="C626" s="832"/>
      <c r="D626" s="832"/>
      <c r="E626" s="999">
        <f>$F$128</f>
        <v>1252.9941383359403</v>
      </c>
      <c r="F626" s="990" t="s">
        <v>35</v>
      </c>
      <c r="G626" s="832"/>
      <c r="H626" s="832"/>
      <c r="I626" s="832"/>
      <c r="J626" s="832"/>
      <c r="K626" s="832"/>
      <c r="L626" s="832"/>
      <c r="M626" s="832"/>
      <c r="N626" s="832"/>
      <c r="O626" s="832"/>
      <c r="P626" s="832"/>
      <c r="Q626" s="832"/>
      <c r="R626" s="832"/>
      <c r="S626" s="832"/>
      <c r="T626" s="832"/>
    </row>
    <row r="627" spans="1:20" x14ac:dyDescent="0.2">
      <c r="A627" s="832"/>
      <c r="B627" s="990" t="s">
        <v>1152</v>
      </c>
      <c r="C627" s="832"/>
      <c r="D627" s="832"/>
      <c r="E627" s="832"/>
      <c r="F627" s="832"/>
      <c r="G627" s="832"/>
      <c r="H627" s="832"/>
      <c r="I627" s="832"/>
      <c r="J627" s="832"/>
      <c r="K627" s="832"/>
      <c r="L627" s="832"/>
      <c r="M627" s="832"/>
      <c r="N627" s="832"/>
      <c r="O627" s="832"/>
      <c r="P627" s="832"/>
      <c r="Q627" s="832"/>
      <c r="R627" s="832"/>
      <c r="S627" s="832"/>
      <c r="T627" s="832"/>
    </row>
    <row r="628" spans="1:20" x14ac:dyDescent="0.2">
      <c r="A628" s="832"/>
      <c r="B628" s="990" t="s">
        <v>60</v>
      </c>
      <c r="C628" s="832"/>
      <c r="D628" s="832"/>
      <c r="E628" s="997">
        <f>SQRT(E625/E626)*1000</f>
        <v>235.38077922774579</v>
      </c>
      <c r="F628" s="990" t="s">
        <v>43</v>
      </c>
      <c r="G628" s="832"/>
      <c r="H628" s="832"/>
      <c r="I628" s="832"/>
      <c r="J628" s="832"/>
      <c r="K628" s="832"/>
      <c r="L628" s="832"/>
      <c r="M628" s="832"/>
      <c r="N628" s="832"/>
      <c r="O628" s="832"/>
      <c r="P628" s="832"/>
      <c r="Q628" s="832"/>
      <c r="R628" s="832"/>
      <c r="S628" s="832"/>
      <c r="T628" s="832"/>
    </row>
    <row r="629" spans="1:20" x14ac:dyDescent="0.2">
      <c r="A629" s="832"/>
      <c r="B629" s="832"/>
      <c r="C629" s="832"/>
      <c r="D629" s="832"/>
      <c r="E629" s="832"/>
      <c r="F629" s="832"/>
      <c r="G629" s="832"/>
      <c r="H629" s="832"/>
      <c r="I629" s="832"/>
      <c r="J629" s="832"/>
      <c r="K629" s="832"/>
      <c r="L629" s="832"/>
      <c r="M629" s="832"/>
      <c r="N629" s="832"/>
      <c r="O629" s="832"/>
      <c r="P629" s="832"/>
      <c r="Q629" s="832"/>
      <c r="R629" s="832"/>
      <c r="S629" s="832"/>
      <c r="T629" s="832"/>
    </row>
    <row r="630" spans="1:20" x14ac:dyDescent="0.2">
      <c r="A630" s="832"/>
      <c r="B630" s="990" t="s">
        <v>1153</v>
      </c>
      <c r="C630" s="832"/>
      <c r="D630" s="832"/>
      <c r="E630" s="832"/>
      <c r="F630" s="832"/>
      <c r="G630" s="832"/>
      <c r="H630" s="832"/>
      <c r="I630" s="832"/>
      <c r="J630" s="832"/>
      <c r="K630" s="832"/>
      <c r="L630" s="832"/>
      <c r="M630" s="832"/>
      <c r="N630" s="832"/>
      <c r="O630" s="832"/>
      <c r="P630" s="832"/>
      <c r="Q630" s="832"/>
      <c r="R630" s="832"/>
      <c r="S630" s="832"/>
      <c r="T630" s="832"/>
    </row>
    <row r="631" spans="1:20" x14ac:dyDescent="0.2">
      <c r="A631" s="832"/>
      <c r="B631" s="990" t="s">
        <v>501</v>
      </c>
      <c r="C631" s="832"/>
      <c r="D631" s="832"/>
      <c r="E631" s="994">
        <f>J617</f>
        <v>85.067247837600007</v>
      </c>
      <c r="F631" s="990" t="s">
        <v>57</v>
      </c>
      <c r="G631" s="832"/>
      <c r="H631" s="832"/>
      <c r="I631" s="832"/>
      <c r="J631" s="832"/>
      <c r="K631" s="832"/>
      <c r="L631" s="832"/>
      <c r="M631" s="832"/>
      <c r="N631" s="832"/>
      <c r="O631" s="832"/>
      <c r="P631" s="832"/>
      <c r="Q631" s="832"/>
      <c r="R631" s="832"/>
      <c r="S631" s="832"/>
      <c r="T631" s="832"/>
    </row>
    <row r="632" spans="1:20" x14ac:dyDescent="0.2">
      <c r="A632" s="832"/>
      <c r="B632" s="990" t="s">
        <v>1154</v>
      </c>
      <c r="C632" s="832"/>
      <c r="D632" s="832"/>
      <c r="E632" s="832"/>
      <c r="F632" s="999">
        <f>$G$57</f>
        <v>428.65627255412932</v>
      </c>
      <c r="G632" s="990" t="s">
        <v>35</v>
      </c>
      <c r="H632" s="832"/>
      <c r="I632" s="832"/>
      <c r="J632" s="832"/>
      <c r="K632" s="832"/>
      <c r="L632" s="832"/>
      <c r="M632" s="832"/>
      <c r="N632" s="832"/>
      <c r="O632" s="832"/>
      <c r="P632" s="832"/>
      <c r="Q632" s="832"/>
      <c r="R632" s="832"/>
      <c r="S632" s="832"/>
      <c r="T632" s="832"/>
    </row>
    <row r="633" spans="1:20" x14ac:dyDescent="0.2">
      <c r="A633" s="832"/>
      <c r="B633" s="990" t="s">
        <v>61</v>
      </c>
      <c r="C633" s="832"/>
      <c r="D633" s="832"/>
      <c r="E633" s="997">
        <f>E631/F632*1000</f>
        <v>198.45095775860364</v>
      </c>
      <c r="F633" s="990" t="s">
        <v>43</v>
      </c>
      <c r="G633" s="832"/>
      <c r="H633" s="832"/>
      <c r="I633" s="832"/>
      <c r="J633" s="832"/>
      <c r="K633" s="832"/>
      <c r="L633" s="832"/>
      <c r="M633" s="832"/>
      <c r="N633" s="832"/>
      <c r="O633" s="832"/>
      <c r="P633" s="832"/>
      <c r="Q633" s="832"/>
      <c r="R633" s="832"/>
      <c r="S633" s="832"/>
      <c r="T633" s="832"/>
    </row>
    <row r="634" spans="1:20" x14ac:dyDescent="0.2">
      <c r="A634" s="832"/>
      <c r="B634" s="832"/>
      <c r="C634" s="832"/>
      <c r="D634" s="832"/>
      <c r="E634" s="832"/>
      <c r="F634" s="832"/>
      <c r="G634" s="832"/>
      <c r="H634" s="832"/>
      <c r="I634" s="832"/>
      <c r="J634" s="832"/>
      <c r="K634" s="832"/>
      <c r="L634" s="832"/>
      <c r="M634" s="832"/>
      <c r="N634" s="832"/>
      <c r="O634" s="832"/>
      <c r="P634" s="832"/>
      <c r="Q634" s="832"/>
      <c r="R634" s="832"/>
      <c r="S634" s="832"/>
      <c r="T634" s="832"/>
    </row>
    <row r="635" spans="1:20" x14ac:dyDescent="0.2">
      <c r="A635" s="832"/>
      <c r="B635" s="994" t="str">
        <f>IF(E628&gt;=E633,"dr(Moment)  &gt;  dr(Shear)","dr(Moment)  &lt;  dr(Shear)")</f>
        <v>dr(Moment)  &gt;  dr(Shear)</v>
      </c>
      <c r="C635" s="832"/>
      <c r="D635" s="832"/>
      <c r="E635" s="990" t="s">
        <v>1156</v>
      </c>
      <c r="F635" s="832"/>
      <c r="G635" s="997">
        <f>IF(E628&gt;=E633,E628,E633)</f>
        <v>235.38077922774579</v>
      </c>
      <c r="H635" s="990" t="s">
        <v>62</v>
      </c>
      <c r="I635" s="832"/>
      <c r="J635" s="832"/>
      <c r="K635" s="832"/>
      <c r="L635" s="832"/>
      <c r="M635" s="832"/>
      <c r="N635" s="832"/>
      <c r="O635" s="832"/>
      <c r="P635" s="832"/>
      <c r="Q635" s="832"/>
      <c r="R635" s="832"/>
      <c r="S635" s="832"/>
      <c r="T635" s="832"/>
    </row>
    <row r="636" spans="1:20" x14ac:dyDescent="0.2">
      <c r="A636" s="832"/>
      <c r="B636" s="832"/>
      <c r="C636" s="832"/>
      <c r="D636" s="832"/>
      <c r="E636" s="832"/>
      <c r="F636" s="832"/>
      <c r="G636" s="832"/>
      <c r="H636" s="832"/>
      <c r="I636" s="832"/>
      <c r="J636" s="832"/>
      <c r="K636" s="832"/>
      <c r="L636" s="832"/>
      <c r="M636" s="832"/>
      <c r="N636" s="832"/>
      <c r="O636" s="832"/>
      <c r="P636" s="832"/>
      <c r="Q636" s="832"/>
      <c r="R636" s="832"/>
      <c r="S636" s="832"/>
      <c r="T636" s="832"/>
    </row>
    <row r="637" spans="1:20" x14ac:dyDescent="0.2">
      <c r="A637" s="832"/>
      <c r="B637" s="990" t="s">
        <v>63</v>
      </c>
      <c r="C637" s="832"/>
      <c r="D637" s="997">
        <f>G635</f>
        <v>235.38077922774579</v>
      </c>
      <c r="E637" s="990" t="s">
        <v>1502</v>
      </c>
      <c r="F637" s="997">
        <f>G62</f>
        <v>75</v>
      </c>
      <c r="G637" s="990" t="s">
        <v>1503</v>
      </c>
      <c r="H637" s="997">
        <f>D637+F637</f>
        <v>310.38077922774579</v>
      </c>
      <c r="I637" s="990" t="s">
        <v>43</v>
      </c>
      <c r="J637" s="832"/>
      <c r="K637" s="832"/>
      <c r="L637" s="832"/>
      <c r="M637" s="832"/>
      <c r="N637" s="832"/>
      <c r="O637" s="832"/>
      <c r="P637" s="832"/>
      <c r="Q637" s="832"/>
      <c r="R637" s="832"/>
      <c r="S637" s="832"/>
      <c r="T637" s="832"/>
    </row>
    <row r="638" spans="1:20" x14ac:dyDescent="0.2">
      <c r="A638" s="832"/>
      <c r="B638" s="990" t="s">
        <v>574</v>
      </c>
      <c r="C638" s="832"/>
      <c r="D638" s="832"/>
      <c r="E638" s="832"/>
      <c r="F638" s="832"/>
      <c r="G638" s="832"/>
      <c r="H638" s="997">
        <f>E39</f>
        <v>0</v>
      </c>
      <c r="I638" s="990" t="s">
        <v>43</v>
      </c>
      <c r="J638" s="832"/>
      <c r="K638" s="832"/>
      <c r="L638" s="832"/>
      <c r="M638" s="832"/>
      <c r="N638" s="832"/>
      <c r="O638" s="832"/>
      <c r="P638" s="832"/>
      <c r="Q638" s="832"/>
      <c r="R638" s="832"/>
      <c r="S638" s="832"/>
      <c r="T638" s="832"/>
    </row>
    <row r="639" spans="1:20" x14ac:dyDescent="0.2">
      <c r="A639" s="832"/>
      <c r="B639" s="832"/>
      <c r="C639" s="832"/>
      <c r="D639" s="832"/>
      <c r="E639" s="832"/>
      <c r="F639" s="832"/>
      <c r="G639" s="832"/>
      <c r="H639" s="832"/>
      <c r="I639" s="832"/>
      <c r="J639" s="832"/>
      <c r="K639" s="832"/>
      <c r="L639" s="832"/>
      <c r="M639" s="832"/>
      <c r="N639" s="832"/>
      <c r="O639" s="832"/>
      <c r="P639" s="832"/>
      <c r="Q639" s="832"/>
      <c r="R639" s="832"/>
      <c r="S639" s="832"/>
      <c r="T639" s="832"/>
    </row>
    <row r="640" spans="1:20" x14ac:dyDescent="0.2">
      <c r="A640" s="832"/>
      <c r="B640" s="1013" t="str">
        <f>IF(H638&gt;=H637,"ta  &gt;  tr     Design is OK.","ta  &lt;  tr     Design is Not OK.")</f>
        <v>ta  &lt;  tr     Design is Not OK.</v>
      </c>
      <c r="C640" s="832"/>
      <c r="D640" s="832"/>
      <c r="E640" s="832"/>
      <c r="F640" s="990" t="s">
        <v>64</v>
      </c>
      <c r="G640" s="832"/>
      <c r="H640" s="832"/>
      <c r="I640" s="832"/>
      <c r="J640" s="832"/>
      <c r="K640" s="832"/>
      <c r="L640" s="832"/>
      <c r="M640" s="832"/>
      <c r="N640" s="832"/>
      <c r="O640" s="832"/>
      <c r="P640" s="832"/>
      <c r="Q640" s="832"/>
      <c r="R640" s="832"/>
      <c r="S640" s="832"/>
      <c r="T640" s="832"/>
    </row>
    <row r="641" spans="1:20" x14ac:dyDescent="0.2">
      <c r="A641" s="832"/>
      <c r="B641" s="994" t="str">
        <f>IF(H638&gt;1.5*H637,"WARNING:  Actual Member Thickness is considerably larger (&gt;50%) than required.","")</f>
        <v/>
      </c>
      <c r="C641" s="832"/>
      <c r="D641" s="832"/>
      <c r="E641" s="832"/>
      <c r="F641" s="832"/>
      <c r="G641" s="832"/>
      <c r="H641" s="832"/>
      <c r="I641" s="832"/>
      <c r="J641" s="832"/>
      <c r="K641" s="832"/>
      <c r="L641" s="832"/>
      <c r="M641" s="832"/>
      <c r="N641" s="832"/>
      <c r="O641" s="832"/>
      <c r="P641" s="832"/>
      <c r="Q641" s="832"/>
      <c r="R641" s="832"/>
      <c r="S641" s="832"/>
      <c r="T641" s="832"/>
    </row>
    <row r="642" spans="1:20" x14ac:dyDescent="0.2">
      <c r="A642" s="832"/>
      <c r="B642" s="832"/>
      <c r="C642" s="832"/>
      <c r="D642" s="832"/>
      <c r="E642" s="832"/>
      <c r="F642" s="832"/>
      <c r="G642" s="832"/>
      <c r="H642" s="832"/>
      <c r="I642" s="832"/>
      <c r="J642" s="832"/>
      <c r="K642" s="832"/>
      <c r="L642" s="832"/>
      <c r="M642" s="832"/>
      <c r="N642" s="832"/>
      <c r="O642" s="832"/>
      <c r="P642" s="832"/>
      <c r="Q642" s="832"/>
      <c r="R642" s="832"/>
      <c r="S642" s="832"/>
      <c r="T642" s="832"/>
    </row>
    <row r="643" spans="1:20" x14ac:dyDescent="0.2">
      <c r="A643" s="990" t="s">
        <v>950</v>
      </c>
      <c r="B643" s="832"/>
      <c r="C643" s="832"/>
      <c r="D643" s="832"/>
      <c r="E643" s="832"/>
      <c r="F643" s="832"/>
      <c r="G643" s="832"/>
      <c r="H643" s="832"/>
      <c r="I643" s="832"/>
      <c r="J643" s="832"/>
      <c r="K643" s="832"/>
      <c r="L643" s="832"/>
      <c r="M643" s="832"/>
      <c r="N643" s="832"/>
      <c r="O643" s="832"/>
      <c r="P643" s="832"/>
      <c r="Q643" s="832"/>
      <c r="R643" s="832"/>
      <c r="S643" s="832"/>
      <c r="T643" s="832"/>
    </row>
    <row r="644" spans="1:20" x14ac:dyDescent="0.2">
      <c r="A644" s="990" t="s">
        <v>1545</v>
      </c>
      <c r="B644" s="832"/>
      <c r="C644" s="832"/>
      <c r="D644" s="832"/>
      <c r="E644" s="832"/>
      <c r="F644" s="832"/>
      <c r="G644" s="832"/>
      <c r="H644" s="832"/>
      <c r="I644" s="832"/>
      <c r="J644" s="832"/>
      <c r="K644" s="832"/>
      <c r="L644" s="832"/>
      <c r="M644" s="832"/>
      <c r="N644" s="832"/>
      <c r="O644" s="832"/>
      <c r="P644" s="832"/>
      <c r="Q644" s="832"/>
      <c r="R644" s="832"/>
      <c r="S644" s="832"/>
      <c r="T644" s="832"/>
    </row>
    <row r="645" spans="1:20" x14ac:dyDescent="0.2">
      <c r="A645" s="996" t="s">
        <v>1586</v>
      </c>
      <c r="B645" s="832"/>
      <c r="C645" s="832"/>
      <c r="D645" s="832"/>
      <c r="E645" s="832"/>
      <c r="F645" s="832"/>
      <c r="G645" s="832"/>
      <c r="H645" s="832"/>
      <c r="I645" s="832"/>
      <c r="J645" s="832"/>
      <c r="K645" s="832"/>
      <c r="L645" s="832"/>
      <c r="M645" s="832"/>
      <c r="N645" s="832"/>
      <c r="O645" s="832"/>
      <c r="P645" s="832"/>
      <c r="Q645" s="832"/>
      <c r="R645" s="832"/>
      <c r="S645" s="832"/>
      <c r="T645" s="832"/>
    </row>
    <row r="646" spans="1:20" x14ac:dyDescent="0.2">
      <c r="A646" s="832"/>
      <c r="B646" s="832"/>
      <c r="C646" s="832"/>
      <c r="D646" s="832"/>
      <c r="E646" s="832"/>
      <c r="F646" s="990"/>
      <c r="G646" s="832"/>
      <c r="H646" s="832"/>
      <c r="I646" s="832"/>
      <c r="J646" s="832"/>
      <c r="K646" s="832"/>
      <c r="L646" s="832"/>
      <c r="M646" s="832"/>
      <c r="N646" s="832"/>
      <c r="O646" s="832"/>
      <c r="P646" s="832"/>
      <c r="Q646" s="832"/>
      <c r="R646" s="832"/>
      <c r="S646" s="832"/>
      <c r="T646" s="832"/>
    </row>
    <row r="647" spans="1:20" x14ac:dyDescent="0.2">
      <c r="A647" s="832"/>
      <c r="B647" s="990" t="s">
        <v>1840</v>
      </c>
      <c r="C647" s="832"/>
      <c r="D647" s="832"/>
      <c r="E647" s="832"/>
      <c r="F647" s="832"/>
      <c r="G647" s="832"/>
      <c r="H647" s="832"/>
      <c r="I647" s="832"/>
      <c r="J647" s="832"/>
      <c r="K647" s="832"/>
      <c r="L647" s="832"/>
      <c r="M647" s="832"/>
      <c r="N647" s="832"/>
      <c r="O647" s="832"/>
      <c r="P647" s="832"/>
      <c r="Q647" s="832"/>
      <c r="R647" s="832"/>
      <c r="S647" s="832"/>
      <c r="T647" s="832"/>
    </row>
    <row r="648" spans="1:20" x14ac:dyDescent="0.2">
      <c r="A648" s="832"/>
      <c r="B648" s="832"/>
      <c r="C648" s="832"/>
      <c r="D648" s="832"/>
      <c r="E648" s="832"/>
      <c r="F648" s="990"/>
      <c r="G648" s="832"/>
      <c r="H648" s="832"/>
      <c r="I648" s="832"/>
      <c r="J648" s="832"/>
      <c r="K648" s="832"/>
      <c r="L648" s="832"/>
      <c r="M648" s="832"/>
      <c r="N648" s="832"/>
      <c r="O648" s="832"/>
      <c r="P648" s="832"/>
      <c r="Q648" s="832"/>
      <c r="R648" s="832"/>
      <c r="S648" s="832"/>
      <c r="T648" s="832"/>
    </row>
    <row r="649" spans="1:20" x14ac:dyDescent="0.2">
      <c r="A649" s="832"/>
      <c r="B649" s="990" t="s">
        <v>1546</v>
      </c>
      <c r="C649" s="832"/>
      <c r="D649" s="832"/>
      <c r="E649" s="994">
        <f>J613</f>
        <v>39.720587395248003</v>
      </c>
      <c r="F649" s="990" t="s">
        <v>58</v>
      </c>
      <c r="G649" s="832"/>
      <c r="H649" s="832"/>
      <c r="I649" s="832"/>
      <c r="J649" s="832"/>
      <c r="K649" s="832"/>
      <c r="L649" s="832"/>
      <c r="M649" s="832"/>
      <c r="N649" s="832"/>
      <c r="O649" s="832"/>
      <c r="P649" s="832"/>
      <c r="Q649" s="832"/>
      <c r="R649" s="832"/>
      <c r="S649" s="832"/>
      <c r="T649" s="832"/>
    </row>
    <row r="650" spans="1:20" x14ac:dyDescent="0.2">
      <c r="A650" s="832"/>
      <c r="B650" s="990" t="s">
        <v>1505</v>
      </c>
      <c r="C650" s="832"/>
      <c r="D650" s="832"/>
      <c r="E650" s="832"/>
      <c r="F650" s="999">
        <f>$G$54</f>
        <v>186300</v>
      </c>
      <c r="G650" s="990" t="s">
        <v>35</v>
      </c>
      <c r="H650" s="832"/>
      <c r="I650" s="832"/>
      <c r="J650" s="832"/>
      <c r="K650" s="832"/>
      <c r="L650" s="832"/>
      <c r="M650" s="832"/>
      <c r="N650" s="832"/>
      <c r="O650" s="832"/>
      <c r="P650" s="832"/>
      <c r="Q650" s="832"/>
      <c r="R650" s="832"/>
      <c r="S650" s="832"/>
      <c r="T650" s="832"/>
    </row>
    <row r="651" spans="1:20" x14ac:dyDescent="0.2">
      <c r="A651" s="832"/>
      <c r="B651" s="990" t="s">
        <v>1506</v>
      </c>
      <c r="C651" s="832"/>
      <c r="D651" s="832"/>
      <c r="E651" s="998">
        <f>$F$127</f>
        <v>0.89379715799027371</v>
      </c>
      <c r="F651" s="832"/>
      <c r="G651" s="832"/>
      <c r="H651" s="832"/>
      <c r="I651" s="832"/>
      <c r="J651" s="832"/>
      <c r="K651" s="832"/>
      <c r="L651" s="832"/>
      <c r="M651" s="832"/>
      <c r="N651" s="832"/>
      <c r="O651" s="832"/>
      <c r="P651" s="832"/>
      <c r="Q651" s="832"/>
      <c r="R651" s="832"/>
      <c r="S651" s="832"/>
      <c r="T651" s="832"/>
    </row>
    <row r="652" spans="1:20" x14ac:dyDescent="0.2">
      <c r="A652" s="832"/>
      <c r="B652" s="832"/>
      <c r="C652" s="832"/>
      <c r="D652" s="832"/>
      <c r="E652" s="832"/>
      <c r="F652" s="832"/>
      <c r="G652" s="832"/>
      <c r="H652" s="832"/>
      <c r="I652" s="832"/>
      <c r="J652" s="832"/>
      <c r="K652" s="832"/>
      <c r="L652" s="832"/>
      <c r="M652" s="832"/>
      <c r="N652" s="832"/>
      <c r="O652" s="832"/>
      <c r="P652" s="832"/>
      <c r="Q652" s="832"/>
      <c r="R652" s="832"/>
      <c r="S652" s="832"/>
      <c r="T652" s="832"/>
    </row>
    <row r="653" spans="1:20" x14ac:dyDescent="0.2">
      <c r="A653" s="832"/>
      <c r="B653" s="990" t="s">
        <v>1507</v>
      </c>
      <c r="C653" s="832"/>
      <c r="D653" s="832"/>
      <c r="E653" s="832"/>
      <c r="F653" s="832"/>
      <c r="G653" s="832"/>
      <c r="H653" s="832"/>
      <c r="I653" s="832"/>
      <c r="J653" s="832"/>
      <c r="K653" s="832"/>
      <c r="L653" s="832"/>
      <c r="M653" s="832"/>
      <c r="N653" s="832"/>
      <c r="O653" s="832"/>
      <c r="P653" s="832"/>
      <c r="Q653" s="832"/>
      <c r="R653" s="832"/>
      <c r="S653" s="832"/>
      <c r="T653" s="832"/>
    </row>
    <row r="654" spans="1:20" x14ac:dyDescent="0.2">
      <c r="A654" s="832"/>
      <c r="B654" s="990" t="s">
        <v>1590</v>
      </c>
      <c r="C654" s="832"/>
      <c r="D654" s="997">
        <f>H638</f>
        <v>0</v>
      </c>
      <c r="E654" s="990" t="s">
        <v>1510</v>
      </c>
      <c r="F654" s="997">
        <f>$G$62</f>
        <v>75</v>
      </c>
      <c r="G654" s="990" t="s">
        <v>1485</v>
      </c>
      <c r="H654" s="997">
        <f>D654-F654</f>
        <v>-75</v>
      </c>
      <c r="I654" s="990" t="s">
        <v>43</v>
      </c>
      <c r="J654" s="832"/>
      <c r="K654" s="832"/>
      <c r="L654" s="832"/>
      <c r="M654" s="832"/>
      <c r="N654" s="832"/>
      <c r="O654" s="832"/>
      <c r="P654" s="832"/>
      <c r="Q654" s="832"/>
      <c r="R654" s="832"/>
      <c r="S654" s="832"/>
      <c r="T654" s="832"/>
    </row>
    <row r="655" spans="1:20" x14ac:dyDescent="0.2">
      <c r="A655" s="832"/>
      <c r="B655" s="990" t="s">
        <v>1832</v>
      </c>
      <c r="C655" s="832"/>
      <c r="D655" s="832"/>
      <c r="E655" s="832"/>
      <c r="F655" s="832"/>
      <c r="G655" s="832"/>
      <c r="H655" s="874">
        <f>E649/(F650*E651*H654)*1000000000</f>
        <v>-3180.5525434077167</v>
      </c>
      <c r="I655" s="990" t="s">
        <v>78</v>
      </c>
      <c r="J655" s="832"/>
      <c r="K655" s="832"/>
      <c r="L655" s="832"/>
      <c r="M655" s="832"/>
      <c r="N655" s="832"/>
      <c r="O655" s="832"/>
      <c r="P655" s="832"/>
      <c r="Q655" s="832"/>
      <c r="R655" s="832"/>
      <c r="S655" s="832"/>
      <c r="T655" s="832"/>
    </row>
    <row r="656" spans="1:20" x14ac:dyDescent="0.2">
      <c r="A656" s="990" t="s">
        <v>986</v>
      </c>
      <c r="B656" s="832"/>
      <c r="C656" s="832"/>
      <c r="D656" s="832"/>
      <c r="E656" s="832"/>
      <c r="F656" s="832"/>
      <c r="G656" s="832"/>
      <c r="H656" s="832"/>
      <c r="I656" s="832"/>
      <c r="J656" s="832"/>
      <c r="K656" s="832"/>
      <c r="L656" s="832"/>
      <c r="M656" s="832"/>
      <c r="N656" s="832"/>
      <c r="O656" s="832"/>
      <c r="P656" s="832"/>
      <c r="Q656" s="832"/>
      <c r="R656" s="832"/>
      <c r="S656" s="832"/>
      <c r="T656" s="832"/>
    </row>
    <row r="657" spans="1:20" x14ac:dyDescent="0.2">
      <c r="A657" s="832"/>
      <c r="B657" s="990" t="s">
        <v>87</v>
      </c>
      <c r="C657" s="832"/>
      <c r="D657" s="832"/>
      <c r="E657" s="832"/>
      <c r="F657" s="832"/>
      <c r="G657" s="832"/>
      <c r="H657" s="832"/>
      <c r="I657" s="832"/>
      <c r="J657" s="832"/>
      <c r="K657" s="832"/>
      <c r="L657" s="832"/>
      <c r="M657" s="832"/>
      <c r="N657" s="832"/>
      <c r="O657" s="832"/>
      <c r="P657" s="832"/>
      <c r="Q657" s="832"/>
      <c r="R657" s="832"/>
      <c r="S657" s="832"/>
      <c r="T657" s="832"/>
    </row>
    <row r="658" spans="1:20" x14ac:dyDescent="0.2">
      <c r="A658" s="832"/>
      <c r="B658" s="832"/>
      <c r="C658" s="832"/>
      <c r="D658" s="832"/>
      <c r="E658" s="832"/>
      <c r="F658" s="832"/>
      <c r="G658" s="832"/>
      <c r="H658" s="832"/>
      <c r="I658" s="832"/>
      <c r="J658" s="832"/>
      <c r="K658" s="832"/>
      <c r="L658" s="832"/>
      <c r="M658" s="832"/>
      <c r="N658" s="832"/>
      <c r="O658" s="832"/>
      <c r="P658" s="832"/>
      <c r="Q658" s="832"/>
      <c r="R658" s="832"/>
      <c r="S658" s="832"/>
      <c r="T658" s="832"/>
    </row>
    <row r="659" spans="1:20" x14ac:dyDescent="0.2">
      <c r="A659" s="832"/>
      <c r="B659" s="990" t="s">
        <v>1841</v>
      </c>
      <c r="C659" s="832"/>
      <c r="D659" s="832"/>
      <c r="E659" s="832"/>
      <c r="F659" s="994">
        <f>$E$70</f>
        <v>14.100000000000001</v>
      </c>
      <c r="G659" s="994" t="str">
        <f>IF(F659&lt;=9,"m  &lt;  9 m","m  &gt;  9 m")</f>
        <v>m  &gt;  9 m</v>
      </c>
      <c r="H659" s="832"/>
      <c r="I659" s="832"/>
      <c r="J659" s="832"/>
      <c r="K659" s="832"/>
      <c r="L659" s="832"/>
      <c r="M659" s="832"/>
      <c r="N659" s="832"/>
      <c r="O659" s="832"/>
      <c r="P659" s="832"/>
      <c r="Q659" s="832"/>
      <c r="R659" s="832"/>
      <c r="S659" s="832"/>
      <c r="T659" s="832"/>
    </row>
    <row r="660" spans="1:20" x14ac:dyDescent="0.2">
      <c r="A660" s="832"/>
      <c r="B660" s="990" t="s">
        <v>1170</v>
      </c>
      <c r="C660" s="832"/>
      <c r="D660" s="832"/>
      <c r="E660" s="832"/>
      <c r="F660" s="997">
        <f>H638</f>
        <v>0</v>
      </c>
      <c r="G660" s="994" t="str">
        <f>IF(F660&lt;=380,"mm  &lt;  380 mm","mm  &gt;  380 mm")</f>
        <v>mm  &lt;  380 mm</v>
      </c>
      <c r="H660" s="832"/>
      <c r="I660" s="832"/>
      <c r="J660" s="832"/>
      <c r="K660" s="832"/>
      <c r="L660" s="832"/>
      <c r="M660" s="832"/>
      <c r="N660" s="832"/>
      <c r="O660" s="832"/>
      <c r="P660" s="832"/>
      <c r="Q660" s="832"/>
      <c r="R660" s="832"/>
      <c r="S660" s="832"/>
      <c r="T660" s="832"/>
    </row>
    <row r="661" spans="1:20" x14ac:dyDescent="0.2">
      <c r="A661" s="832"/>
      <c r="B661" s="990" t="s">
        <v>1174</v>
      </c>
      <c r="C661" s="832"/>
      <c r="D661" s="832"/>
      <c r="E661" s="1015">
        <f>IF(F659&lt;=9,$C$247,$C$248)</f>
        <v>2.5000000000000001E-3</v>
      </c>
      <c r="F661" s="832"/>
      <c r="G661" s="832"/>
      <c r="H661" s="832"/>
      <c r="I661" s="832"/>
      <c r="J661" s="832"/>
      <c r="K661" s="832"/>
      <c r="L661" s="832"/>
      <c r="M661" s="832"/>
      <c r="N661" s="832"/>
      <c r="O661" s="832"/>
      <c r="P661" s="832"/>
      <c r="Q661" s="832"/>
      <c r="R661" s="832"/>
      <c r="S661" s="832"/>
      <c r="T661" s="832"/>
    </row>
    <row r="662" spans="1:20" x14ac:dyDescent="0.2">
      <c r="A662" s="832"/>
      <c r="B662" s="832"/>
      <c r="C662" s="832"/>
      <c r="D662" s="832"/>
      <c r="E662" s="832"/>
      <c r="F662" s="832"/>
      <c r="G662" s="832"/>
      <c r="H662" s="832"/>
      <c r="I662" s="832"/>
      <c r="J662" s="832"/>
      <c r="K662" s="832"/>
      <c r="L662" s="990" t="s">
        <v>66</v>
      </c>
      <c r="M662" s="832"/>
      <c r="N662" s="997">
        <v>12</v>
      </c>
      <c r="O662" s="997">
        <v>16</v>
      </c>
      <c r="P662" s="997">
        <v>20</v>
      </c>
      <c r="Q662" s="997">
        <v>22</v>
      </c>
      <c r="R662" s="997">
        <v>25</v>
      </c>
      <c r="S662" s="832"/>
      <c r="T662" s="832"/>
    </row>
    <row r="663" spans="1:20" x14ac:dyDescent="0.2">
      <c r="A663" s="832"/>
      <c r="B663" s="990" t="s">
        <v>1836</v>
      </c>
      <c r="C663" s="1015"/>
      <c r="D663" s="990"/>
      <c r="E663" s="997"/>
      <c r="F663" s="990"/>
      <c r="G663" s="832"/>
      <c r="H663" s="874">
        <f>IF(F659&lt;=9,C247,C248)*IF(F660&lt;380,F660,380)*1000</f>
        <v>0</v>
      </c>
      <c r="I663" s="990" t="s">
        <v>78</v>
      </c>
      <c r="J663" s="832"/>
      <c r="K663" s="832"/>
      <c r="L663" s="990" t="s">
        <v>67</v>
      </c>
      <c r="M663" s="832"/>
      <c r="N663" s="997">
        <f>IF(H665=0,100000000,TRUNC(785.4*N662^2/H665/25)*25)</f>
        <v>100000000</v>
      </c>
      <c r="O663" s="997">
        <f>IF(H665=0,100000000,TRUNC(785.4*O662^2/H665/25)*25)</f>
        <v>100000000</v>
      </c>
      <c r="P663" s="997">
        <f>IF(H665=0,100000000,TRUNC(785.4*P662^2/H665/25)*25)</f>
        <v>100000000</v>
      </c>
      <c r="Q663" s="997">
        <f>IF(H665=0,100000000,TRUNC(785.4*Q662^2/H665/25)*25)</f>
        <v>100000000</v>
      </c>
      <c r="R663" s="997">
        <f>IF(H665=0,100000000,TRUNC(785.4*R662^2/H665/25)*25)</f>
        <v>100000000</v>
      </c>
      <c r="S663" s="832"/>
      <c r="T663" s="832"/>
    </row>
    <row r="664" spans="1:20" x14ac:dyDescent="0.2">
      <c r="A664" s="832"/>
      <c r="B664" s="832"/>
      <c r="C664" s="832"/>
      <c r="D664" s="832"/>
      <c r="E664" s="832"/>
      <c r="F664" s="832"/>
      <c r="G664" s="832"/>
      <c r="H664" s="832"/>
      <c r="I664" s="832"/>
      <c r="J664" s="832"/>
      <c r="K664" s="832"/>
      <c r="L664" s="990" t="s">
        <v>68</v>
      </c>
      <c r="M664" s="832"/>
      <c r="N664" s="997">
        <f>785.4*N662^2/N663</f>
        <v>1.1309759999999999E-3</v>
      </c>
      <c r="O664" s="997">
        <f>785.4*O662^2/O663</f>
        <v>2.0106239999999999E-3</v>
      </c>
      <c r="P664" s="997">
        <f>785.4*P662^2/P663</f>
        <v>3.1416E-3</v>
      </c>
      <c r="Q664" s="997">
        <f>785.4*Q662^2/Q663</f>
        <v>3.8013359999999998E-3</v>
      </c>
      <c r="R664" s="997">
        <f>785.4*R662^2/R663</f>
        <v>4.9087499999999999E-3</v>
      </c>
      <c r="S664" s="832"/>
      <c r="T664" s="832"/>
    </row>
    <row r="665" spans="1:20" x14ac:dyDescent="0.2">
      <c r="A665" s="832"/>
      <c r="B665" s="994" t="str">
        <f>IF(H655&gt;H663,"Ast(Moment)  &gt;  Ast(Shrinkage)","Ast(Moment)  &lt;  Ast(Shrinkage)")</f>
        <v>Ast(Moment)  &lt;  Ast(Shrinkage)</v>
      </c>
      <c r="C665" s="832"/>
      <c r="D665" s="832"/>
      <c r="E665" s="832"/>
      <c r="F665" s="990" t="s">
        <v>88</v>
      </c>
      <c r="G665" s="832"/>
      <c r="H665" s="997">
        <f>IF(H655&gt;H663,H655,H663)</f>
        <v>0</v>
      </c>
      <c r="I665" s="990" t="s">
        <v>89</v>
      </c>
      <c r="J665" s="832"/>
      <c r="K665" s="832"/>
      <c r="L665" s="990" t="s">
        <v>69</v>
      </c>
      <c r="M665" s="832"/>
      <c r="N665" s="997">
        <f>IF(OR(N663&gt;300,N663&lt;100),100000000,N664-H665)</f>
        <v>100000000</v>
      </c>
      <c r="O665" s="997">
        <f>IF(OR(O663&gt;300,O663&lt;100),100000001,O664-H665)</f>
        <v>100000001</v>
      </c>
      <c r="P665" s="997">
        <f>IF(OR(P663&gt;300,P663&lt;100),100000001,P664-H665)</f>
        <v>100000001</v>
      </c>
      <c r="Q665" s="997">
        <f>IF(OR(Q663&gt;300,Q663&lt;100),100000001,Q664-H665)</f>
        <v>100000001</v>
      </c>
      <c r="R665" s="997">
        <f>IF(OR(R663&gt;300,R663&lt;100),100000001,R664-H665)</f>
        <v>100000001</v>
      </c>
      <c r="S665" s="832"/>
      <c r="T665" s="832"/>
    </row>
    <row r="666" spans="1:20" x14ac:dyDescent="0.2">
      <c r="A666" s="832"/>
      <c r="B666" s="990" t="s">
        <v>79</v>
      </c>
      <c r="C666" s="997">
        <f>IF(D1509=0,N666,D1509)</f>
        <v>12</v>
      </c>
      <c r="D666" s="990" t="s">
        <v>71</v>
      </c>
      <c r="E666" s="997">
        <f>IF(D1509=0,IF(P666&gt;300,300,P666),E1509)</f>
        <v>300</v>
      </c>
      <c r="F666" s="990" t="s">
        <v>80</v>
      </c>
      <c r="G666" s="832"/>
      <c r="H666" s="997">
        <f>785.4*C666^2/E666</f>
        <v>376.99199999999996</v>
      </c>
      <c r="I666" s="990" t="s">
        <v>81</v>
      </c>
      <c r="J666" s="832"/>
      <c r="K666" s="832"/>
      <c r="L666" s="990" t="s">
        <v>70</v>
      </c>
      <c r="M666" s="832"/>
      <c r="N666" s="997">
        <f>IF(R663&lt;100,25,IF(MIN(N665:R665)=N665,12,IF(MIN(N665:R665)=O665,16,IF(MIN(N665:R665)=P665,20,IF(MIN(N665:R665)=Q665,22,IF(MIN(N665:R665)=R665,25,0))))))</f>
        <v>12</v>
      </c>
      <c r="O666" s="990" t="s">
        <v>71</v>
      </c>
      <c r="P666" s="997">
        <f>IF(N666=12,N663,IF(N666=16,O663,IF(N666=20,P663,IF(N666=22,Q663,IF(N666=25,R663,0)))))</f>
        <v>100000000</v>
      </c>
      <c r="Q666" s="990" t="s">
        <v>72</v>
      </c>
      <c r="R666" s="832"/>
      <c r="S666" s="832"/>
      <c r="T666" s="832"/>
    </row>
    <row r="667" spans="1:20" x14ac:dyDescent="0.2">
      <c r="A667" s="832"/>
      <c r="B667" s="832"/>
      <c r="C667" s="832"/>
      <c r="D667" s="832"/>
      <c r="E667" s="832"/>
      <c r="F667" s="832"/>
      <c r="G667" s="832"/>
      <c r="H667" s="832"/>
      <c r="I667" s="832"/>
      <c r="J667" s="832"/>
      <c r="K667" s="832"/>
      <c r="L667" s="832"/>
      <c r="M667" s="832"/>
      <c r="N667" s="832"/>
      <c r="O667" s="832"/>
      <c r="P667" s="832"/>
      <c r="Q667" s="832"/>
      <c r="R667" s="832"/>
      <c r="S667" s="832"/>
      <c r="T667" s="832"/>
    </row>
    <row r="668" spans="1:20" x14ac:dyDescent="0.2">
      <c r="A668" s="990" t="s">
        <v>950</v>
      </c>
      <c r="B668" s="832"/>
      <c r="C668" s="832"/>
      <c r="D668" s="832"/>
      <c r="E668" s="832"/>
      <c r="F668" s="832"/>
      <c r="G668" s="832"/>
      <c r="H668" s="832"/>
      <c r="I668" s="832"/>
      <c r="J668" s="832"/>
      <c r="K668" s="832"/>
      <c r="L668" s="832"/>
      <c r="M668" s="832"/>
      <c r="N668" s="832"/>
      <c r="O668" s="832"/>
      <c r="P668" s="832"/>
      <c r="Q668" s="832"/>
      <c r="R668" s="832"/>
      <c r="S668" s="832"/>
      <c r="T668" s="832"/>
    </row>
    <row r="669" spans="1:20" x14ac:dyDescent="0.2">
      <c r="A669" s="990" t="s">
        <v>83</v>
      </c>
      <c r="B669" s="832"/>
      <c r="C669" s="832"/>
      <c r="D669" s="832"/>
      <c r="E669" s="832"/>
      <c r="F669" s="832"/>
      <c r="G669" s="832"/>
      <c r="H669" s="832"/>
      <c r="I669" s="832"/>
      <c r="J669" s="832"/>
      <c r="K669" s="832"/>
      <c r="L669" s="832"/>
      <c r="M669" s="832"/>
      <c r="N669" s="832"/>
      <c r="O669" s="832"/>
      <c r="P669" s="832"/>
      <c r="Q669" s="832"/>
      <c r="R669" s="832"/>
      <c r="S669" s="832"/>
      <c r="T669" s="832"/>
    </row>
    <row r="670" spans="1:20" x14ac:dyDescent="0.2">
      <c r="A670" s="996" t="s">
        <v>1586</v>
      </c>
      <c r="B670" s="832"/>
      <c r="C670" s="832"/>
      <c r="D670" s="832"/>
      <c r="E670" s="832"/>
      <c r="F670" s="832"/>
      <c r="G670" s="832"/>
      <c r="H670" s="832"/>
      <c r="I670" s="832"/>
      <c r="J670" s="832"/>
      <c r="K670" s="832"/>
      <c r="L670" s="832"/>
      <c r="M670" s="832"/>
      <c r="N670" s="832"/>
      <c r="O670" s="832"/>
      <c r="P670" s="832"/>
      <c r="Q670" s="832"/>
      <c r="R670" s="832"/>
      <c r="S670" s="832"/>
      <c r="T670" s="832"/>
    </row>
    <row r="671" spans="1:20" x14ac:dyDescent="0.2">
      <c r="A671" s="832"/>
      <c r="B671" s="990" t="s">
        <v>1551</v>
      </c>
      <c r="C671" s="832"/>
      <c r="D671" s="832"/>
      <c r="E671" s="994">
        <f>J614</f>
        <v>69.421026610728021</v>
      </c>
      <c r="F671" s="990" t="s">
        <v>58</v>
      </c>
      <c r="G671" s="832"/>
      <c r="H671" s="832"/>
      <c r="I671" s="832"/>
      <c r="J671" s="832"/>
      <c r="K671" s="832"/>
      <c r="L671" s="832"/>
      <c r="M671" s="832"/>
      <c r="N671" s="832"/>
      <c r="O671" s="832"/>
      <c r="P671" s="832"/>
      <c r="Q671" s="832"/>
      <c r="R671" s="832"/>
      <c r="S671" s="832"/>
      <c r="T671" s="832"/>
    </row>
    <row r="672" spans="1:20" x14ac:dyDescent="0.2">
      <c r="A672" s="832"/>
      <c r="B672" s="990" t="s">
        <v>1591</v>
      </c>
      <c r="C672" s="832"/>
      <c r="D672" s="997">
        <f>H638</f>
        <v>0</v>
      </c>
      <c r="E672" s="990" t="s">
        <v>1510</v>
      </c>
      <c r="F672" s="997">
        <f>$G$62</f>
        <v>75</v>
      </c>
      <c r="G672" s="990" t="s">
        <v>1485</v>
      </c>
      <c r="H672" s="997">
        <f>D672-F672</f>
        <v>-75</v>
      </c>
      <c r="I672" s="990" t="s">
        <v>43</v>
      </c>
      <c r="J672" s="832"/>
      <c r="K672" s="832"/>
      <c r="L672" s="832"/>
      <c r="M672" s="832"/>
      <c r="N672" s="832"/>
      <c r="O672" s="832"/>
      <c r="P672" s="832"/>
      <c r="Q672" s="832"/>
      <c r="R672" s="832"/>
      <c r="S672" s="832"/>
      <c r="T672" s="832"/>
    </row>
    <row r="673" spans="1:20" x14ac:dyDescent="0.2">
      <c r="A673" s="832"/>
      <c r="B673" s="832"/>
      <c r="C673" s="832"/>
      <c r="D673" s="832"/>
      <c r="E673" s="832"/>
      <c r="F673" s="832"/>
      <c r="G673" s="832"/>
      <c r="H673" s="832"/>
      <c r="I673" s="832"/>
      <c r="J673" s="832"/>
      <c r="K673" s="832"/>
      <c r="L673" s="832"/>
      <c r="M673" s="832"/>
      <c r="N673" s="832"/>
      <c r="O673" s="832"/>
      <c r="P673" s="832"/>
      <c r="Q673" s="832"/>
      <c r="R673" s="832"/>
      <c r="S673" s="832"/>
      <c r="T673" s="832"/>
    </row>
    <row r="674" spans="1:20" x14ac:dyDescent="0.2">
      <c r="A674" s="832"/>
      <c r="B674" s="990"/>
      <c r="C674" s="832" t="s">
        <v>1915</v>
      </c>
      <c r="D674" s="832"/>
      <c r="E674" s="832"/>
      <c r="F674" s="874">
        <f>(E671*1000000000)/(F650*E651*H672)</f>
        <v>-5558.7602609104679</v>
      </c>
      <c r="G674" s="990" t="s">
        <v>78</v>
      </c>
      <c r="H674" s="832"/>
      <c r="I674" s="997"/>
      <c r="J674" s="832"/>
      <c r="K674" s="832"/>
      <c r="L674" s="832"/>
      <c r="M674" s="832"/>
      <c r="N674" s="832"/>
      <c r="O674" s="832"/>
      <c r="P674" s="832"/>
      <c r="Q674" s="832"/>
      <c r="R674" s="832"/>
      <c r="S674" s="832"/>
      <c r="T674" s="832"/>
    </row>
    <row r="675" spans="1:20" x14ac:dyDescent="0.2">
      <c r="A675" s="832"/>
      <c r="B675" s="832"/>
      <c r="C675" s="832"/>
      <c r="D675" s="832"/>
      <c r="E675" s="832"/>
      <c r="F675" s="832"/>
      <c r="G675" s="832"/>
      <c r="H675" s="832"/>
      <c r="I675" s="832"/>
      <c r="J675" s="832"/>
      <c r="K675" s="832"/>
      <c r="L675" s="832"/>
      <c r="M675" s="832"/>
      <c r="N675" s="832"/>
      <c r="O675" s="832"/>
      <c r="P675" s="832"/>
      <c r="Q675" s="832"/>
      <c r="R675" s="832"/>
      <c r="S675" s="832"/>
      <c r="T675" s="832"/>
    </row>
    <row r="676" spans="1:20" x14ac:dyDescent="0.2">
      <c r="A676" s="832"/>
      <c r="B676" s="990" t="s">
        <v>87</v>
      </c>
      <c r="C676" s="832"/>
      <c r="D676" s="832"/>
      <c r="E676" s="832"/>
      <c r="F676" s="832"/>
      <c r="G676" s="832"/>
      <c r="H676" s="832"/>
      <c r="I676" s="832"/>
      <c r="J676" s="832"/>
      <c r="K676" s="832"/>
      <c r="L676" s="832"/>
      <c r="M676" s="832"/>
      <c r="N676" s="832"/>
      <c r="O676" s="832"/>
      <c r="P676" s="832"/>
      <c r="Q676" s="832"/>
      <c r="R676" s="832"/>
      <c r="S676" s="832"/>
      <c r="T676" s="832"/>
    </row>
    <row r="677" spans="1:20" x14ac:dyDescent="0.2">
      <c r="A677" s="832"/>
      <c r="B677" s="832"/>
      <c r="C677" s="832"/>
      <c r="D677" s="832"/>
      <c r="E677" s="832"/>
      <c r="F677" s="832"/>
      <c r="G677" s="832"/>
      <c r="H677" s="832"/>
      <c r="I677" s="832"/>
      <c r="J677" s="832"/>
      <c r="K677" s="832"/>
      <c r="L677" s="832"/>
      <c r="M677" s="832"/>
      <c r="N677" s="832"/>
      <c r="O677" s="832"/>
      <c r="P677" s="832"/>
      <c r="Q677" s="832"/>
      <c r="R677" s="832"/>
      <c r="S677" s="832"/>
      <c r="T677" s="832"/>
    </row>
    <row r="678" spans="1:20" x14ac:dyDescent="0.2">
      <c r="A678" s="832"/>
      <c r="B678" s="990" t="s">
        <v>1592</v>
      </c>
      <c r="C678" s="832"/>
      <c r="D678" s="832"/>
      <c r="E678" s="832"/>
      <c r="F678" s="832"/>
      <c r="G678" s="832"/>
      <c r="H678" s="994">
        <f>E25-E27+E34/1000</f>
        <v>7.3</v>
      </c>
      <c r="I678" s="994" t="str">
        <f>IF(H678&lt;=9,"m  &lt;  9 m","m  &gt;  9 m")</f>
        <v>m  &lt;  9 m</v>
      </c>
      <c r="J678" s="832"/>
      <c r="K678" s="832"/>
      <c r="L678" s="832"/>
      <c r="M678" s="832"/>
      <c r="N678" s="832"/>
      <c r="O678" s="832"/>
      <c r="P678" s="832"/>
      <c r="Q678" s="832"/>
      <c r="R678" s="832"/>
      <c r="S678" s="832"/>
      <c r="T678" s="832"/>
    </row>
    <row r="679" spans="1:20" x14ac:dyDescent="0.2">
      <c r="A679" s="832"/>
      <c r="B679" s="990" t="s">
        <v>1170</v>
      </c>
      <c r="C679" s="832"/>
      <c r="D679" s="832"/>
      <c r="E679" s="832"/>
      <c r="F679" s="997">
        <f>H638</f>
        <v>0</v>
      </c>
      <c r="G679" s="994" t="str">
        <f>IF(F679&lt;=380,"mm  &lt;  380 mm","mm  &gt;  380 mm")</f>
        <v>mm  &lt;  380 mm</v>
      </c>
      <c r="H679" s="832"/>
      <c r="I679" s="832"/>
      <c r="J679" s="832"/>
      <c r="K679" s="832"/>
      <c r="L679" s="832"/>
      <c r="M679" s="832"/>
      <c r="N679" s="832"/>
      <c r="O679" s="832"/>
      <c r="P679" s="832"/>
      <c r="Q679" s="832"/>
      <c r="R679" s="832"/>
      <c r="S679" s="832"/>
      <c r="T679" s="832"/>
    </row>
    <row r="680" spans="1:20" x14ac:dyDescent="0.2">
      <c r="A680" s="832"/>
      <c r="B680" s="990" t="s">
        <v>1174</v>
      </c>
      <c r="C680" s="832"/>
      <c r="D680" s="832"/>
      <c r="E680" s="1015">
        <f>IF(H678&lt;=9,$C$247,$C$248)</f>
        <v>2E-3</v>
      </c>
      <c r="F680" s="832"/>
      <c r="G680" s="832"/>
      <c r="H680" s="832"/>
      <c r="I680" s="832"/>
      <c r="J680" s="832"/>
      <c r="K680" s="832"/>
      <c r="L680" s="832"/>
      <c r="M680" s="832"/>
      <c r="N680" s="832"/>
      <c r="O680" s="832"/>
      <c r="P680" s="832"/>
      <c r="Q680" s="832"/>
      <c r="R680" s="832"/>
      <c r="S680" s="832"/>
      <c r="T680" s="832"/>
    </row>
    <row r="681" spans="1:20" x14ac:dyDescent="0.2">
      <c r="A681" s="832"/>
      <c r="B681" s="832"/>
      <c r="C681" s="832"/>
      <c r="D681" s="832"/>
      <c r="E681" s="832"/>
      <c r="F681" s="832"/>
      <c r="G681" s="832"/>
      <c r="H681" s="832"/>
      <c r="I681" s="832"/>
      <c r="J681" s="832"/>
      <c r="K681" s="832"/>
      <c r="L681" s="990" t="s">
        <v>66</v>
      </c>
      <c r="M681" s="832"/>
      <c r="N681" s="997">
        <v>12</v>
      </c>
      <c r="O681" s="997">
        <v>16</v>
      </c>
      <c r="P681" s="997">
        <v>20</v>
      </c>
      <c r="Q681" s="997">
        <v>22</v>
      </c>
      <c r="R681" s="997">
        <v>25</v>
      </c>
      <c r="S681" s="832"/>
      <c r="T681" s="832"/>
    </row>
    <row r="682" spans="1:20" x14ac:dyDescent="0.2">
      <c r="A682" s="832"/>
      <c r="B682" s="990" t="s">
        <v>84</v>
      </c>
      <c r="C682" s="1015">
        <f>E680</f>
        <v>2E-3</v>
      </c>
      <c r="D682" s="990" t="s">
        <v>1012</v>
      </c>
      <c r="E682" s="997">
        <f>IF(F679&lt;380,F679,380)</f>
        <v>0</v>
      </c>
      <c r="F682" s="990" t="s">
        <v>1175</v>
      </c>
      <c r="G682" s="832"/>
      <c r="H682" s="997">
        <f>C682*E682*1000</f>
        <v>0</v>
      </c>
      <c r="I682" s="990" t="s">
        <v>78</v>
      </c>
      <c r="J682" s="832"/>
      <c r="K682" s="832"/>
      <c r="L682" s="990" t="s">
        <v>67</v>
      </c>
      <c r="M682" s="832"/>
      <c r="N682" s="997">
        <f>IF(H684=0,100000000,TRUNC(785.4*N681^2/H684/25)*25)</f>
        <v>100000000</v>
      </c>
      <c r="O682" s="997">
        <f>IF(H684=0,100000000,TRUNC(785.4*O681^2/H684/25)*25)</f>
        <v>100000000</v>
      </c>
      <c r="P682" s="997">
        <f>IF(H684=0,100000000,TRUNC(785.4*P681^2/H684/25)*25)</f>
        <v>100000000</v>
      </c>
      <c r="Q682" s="997">
        <f>IF(H684=0,100000000,TRUNC(785.4*Q681^2/H684/25)*25)</f>
        <v>100000000</v>
      </c>
      <c r="R682" s="997">
        <f>IF(H684=0,100000000,TRUNC(785.4*R681^2/H684/25)*25)</f>
        <v>100000000</v>
      </c>
      <c r="S682" s="832"/>
      <c r="T682" s="832"/>
    </row>
    <row r="683" spans="1:20" x14ac:dyDescent="0.2">
      <c r="A683" s="832"/>
      <c r="B683" s="832"/>
      <c r="C683" s="832"/>
      <c r="D683" s="832"/>
      <c r="E683" s="832"/>
      <c r="F683" s="832"/>
      <c r="G683" s="832"/>
      <c r="H683" s="832"/>
      <c r="I683" s="832"/>
      <c r="J683" s="832"/>
      <c r="K683" s="832"/>
      <c r="L683" s="990" t="s">
        <v>68</v>
      </c>
      <c r="M683" s="832"/>
      <c r="N683" s="997">
        <f>785.4*N681^2/N682</f>
        <v>1.1309759999999999E-3</v>
      </c>
      <c r="O683" s="997">
        <f>785.4*O681^2/O682</f>
        <v>2.0106239999999999E-3</v>
      </c>
      <c r="P683" s="997">
        <f>785.4*P681^2/P682</f>
        <v>3.1416E-3</v>
      </c>
      <c r="Q683" s="997">
        <f>785.4*Q681^2/Q682</f>
        <v>3.8013359999999998E-3</v>
      </c>
      <c r="R683" s="997">
        <f>785.4*R681^2/R682</f>
        <v>4.9087499999999999E-3</v>
      </c>
      <c r="S683" s="832"/>
      <c r="T683" s="832"/>
    </row>
    <row r="684" spans="1:20" x14ac:dyDescent="0.2">
      <c r="A684" s="832"/>
      <c r="B684" s="994" t="str">
        <f>IF(F674&gt;H682,"Ast(Moment)  &gt;  Ast(Shrinkage)","Ast(Moment)  &lt;  Ast(Shrinkage)")</f>
        <v>Ast(Moment)  &lt;  Ast(Shrinkage)</v>
      </c>
      <c r="C684" s="832"/>
      <c r="D684" s="832"/>
      <c r="E684" s="832"/>
      <c r="F684" s="990" t="s">
        <v>88</v>
      </c>
      <c r="G684" s="832"/>
      <c r="H684" s="997">
        <f>IF(I674&gt;H682,I674,H682)</f>
        <v>0</v>
      </c>
      <c r="I684" s="990" t="s">
        <v>89</v>
      </c>
      <c r="J684" s="832"/>
      <c r="K684" s="832"/>
      <c r="L684" s="990" t="s">
        <v>69</v>
      </c>
      <c r="M684" s="832"/>
      <c r="N684" s="997">
        <f>IF(OR(N682&gt;300,N682&lt;100),100000000,N683-H684)</f>
        <v>100000000</v>
      </c>
      <c r="O684" s="997">
        <f>IF(OR(O682&gt;300,O682&lt;100),100000001,O683-H684)</f>
        <v>100000001</v>
      </c>
      <c r="P684" s="997">
        <f>IF(OR(P682&gt;300,P682&lt;100),100000001,P683-H684)</f>
        <v>100000001</v>
      </c>
      <c r="Q684" s="997">
        <f>IF(OR(Q682&gt;300,Q682&lt;100),100000001,Q683-H684)</f>
        <v>100000001</v>
      </c>
      <c r="R684" s="997">
        <f>IF(OR(R682&gt;300,R682&lt;100),100000001,R683-H684)</f>
        <v>100000001</v>
      </c>
      <c r="S684" s="832"/>
      <c r="T684" s="832"/>
    </row>
    <row r="685" spans="1:20" x14ac:dyDescent="0.2">
      <c r="A685" s="832"/>
      <c r="B685" s="990" t="s">
        <v>79</v>
      </c>
      <c r="C685" s="997">
        <f>IF(L1509=0,N685,L1509)</f>
        <v>12</v>
      </c>
      <c r="D685" s="990" t="s">
        <v>71</v>
      </c>
      <c r="E685" s="997">
        <v>200</v>
      </c>
      <c r="F685" s="990" t="s">
        <v>80</v>
      </c>
      <c r="G685" s="832"/>
      <c r="H685" s="997">
        <f>785.4*C685^2/E685</f>
        <v>565.48799999999994</v>
      </c>
      <c r="I685" s="990" t="s">
        <v>81</v>
      </c>
      <c r="J685" s="832"/>
      <c r="K685" s="832"/>
      <c r="L685" s="990" t="s">
        <v>70</v>
      </c>
      <c r="M685" s="832"/>
      <c r="N685" s="997">
        <f>IF(R682&lt;100,25,IF(MIN(N684:R684)=N684,12,IF(MIN(N684:R684)=O684,16,IF(MIN(N684:R684)=P684,20,IF(MIN(N684:R684)=Q684,22,IF(MIN(N684:R684)=R684,25,0))))))</f>
        <v>12</v>
      </c>
      <c r="O685" s="990" t="s">
        <v>71</v>
      </c>
      <c r="P685" s="997">
        <f>IF(N685=12,N682,IF(N685=16,O682,IF(N685=20,P682,IF(N685=22,Q682,IF(N685=25,R682,0)))))</f>
        <v>100000000</v>
      </c>
      <c r="Q685" s="990" t="s">
        <v>72</v>
      </c>
      <c r="R685" s="832"/>
      <c r="S685" s="832"/>
      <c r="T685" s="832"/>
    </row>
    <row r="686" spans="1:20" x14ac:dyDescent="0.2">
      <c r="A686" s="990" t="s">
        <v>986</v>
      </c>
      <c r="B686" s="832"/>
      <c r="C686" s="832"/>
      <c r="D686" s="832"/>
      <c r="E686" s="832"/>
      <c r="F686" s="832"/>
      <c r="G686" s="832"/>
      <c r="H686" s="832"/>
      <c r="I686" s="832"/>
      <c r="J686" s="832"/>
      <c r="K686" s="832"/>
      <c r="L686" s="832"/>
      <c r="M686" s="832"/>
      <c r="N686" s="832"/>
      <c r="O686" s="832"/>
      <c r="P686" s="832"/>
      <c r="Q686" s="832"/>
      <c r="R686" s="832"/>
      <c r="S686" s="832"/>
      <c r="T686" s="832"/>
    </row>
    <row r="687" spans="1:20" x14ac:dyDescent="0.2">
      <c r="A687" s="990" t="s">
        <v>950</v>
      </c>
      <c r="B687" s="832"/>
      <c r="C687" s="832"/>
      <c r="D687" s="832"/>
      <c r="E687" s="832"/>
      <c r="F687" s="832"/>
      <c r="G687" s="832"/>
      <c r="H687" s="832"/>
      <c r="I687" s="832"/>
      <c r="J687" s="832"/>
      <c r="K687" s="832"/>
      <c r="L687" s="832"/>
      <c r="M687" s="832"/>
      <c r="N687" s="832"/>
      <c r="O687" s="832"/>
      <c r="P687" s="832"/>
      <c r="Q687" s="832"/>
      <c r="R687" s="832"/>
      <c r="S687" s="832"/>
      <c r="T687" s="832"/>
    </row>
    <row r="688" spans="1:20" x14ac:dyDescent="0.2">
      <c r="A688" s="990" t="s">
        <v>1593</v>
      </c>
      <c r="B688" s="832"/>
      <c r="C688" s="832"/>
      <c r="D688" s="832"/>
      <c r="E688" s="832"/>
      <c r="F688" s="832"/>
      <c r="G688" s="832"/>
      <c r="H688" s="832"/>
      <c r="I688" s="832"/>
      <c r="J688" s="832"/>
      <c r="K688" s="832"/>
      <c r="L688" s="832"/>
      <c r="M688" s="832"/>
      <c r="N688" s="832"/>
      <c r="O688" s="832"/>
      <c r="P688" s="832"/>
      <c r="Q688" s="832"/>
      <c r="R688" s="832"/>
      <c r="S688" s="832"/>
      <c r="T688" s="832"/>
    </row>
    <row r="689" spans="1:20" x14ac:dyDescent="0.2">
      <c r="A689" s="996" t="s">
        <v>1594</v>
      </c>
      <c r="B689" s="832"/>
      <c r="C689" s="832"/>
      <c r="D689" s="832"/>
      <c r="E689" s="832"/>
      <c r="F689" s="832"/>
      <c r="G689" s="832"/>
      <c r="H689" s="832"/>
      <c r="I689" s="832"/>
      <c r="J689" s="832"/>
      <c r="K689" s="832"/>
      <c r="L689" s="832"/>
      <c r="M689" s="832"/>
      <c r="N689" s="832"/>
      <c r="O689" s="832"/>
      <c r="P689" s="832"/>
      <c r="Q689" s="832"/>
      <c r="R689" s="832"/>
      <c r="S689" s="832"/>
      <c r="T689" s="832"/>
    </row>
    <row r="690" spans="1:20" x14ac:dyDescent="0.2">
      <c r="A690" s="832"/>
      <c r="B690" s="990" t="s">
        <v>2209</v>
      </c>
      <c r="C690" s="832"/>
      <c r="D690" s="832"/>
      <c r="E690" s="832"/>
      <c r="F690" s="832"/>
      <c r="G690" s="832"/>
      <c r="H690" s="832"/>
      <c r="I690" s="832"/>
      <c r="J690" s="832"/>
      <c r="K690" s="832"/>
      <c r="L690" s="832"/>
      <c r="M690" s="832"/>
      <c r="N690" s="832"/>
      <c r="O690" s="832"/>
      <c r="P690" s="832"/>
      <c r="Q690" s="832"/>
      <c r="R690" s="832"/>
      <c r="S690" s="832"/>
      <c r="T690" s="832"/>
    </row>
    <row r="691" spans="1:20" x14ac:dyDescent="0.2">
      <c r="A691" s="832"/>
      <c r="B691" s="990" t="s">
        <v>2203</v>
      </c>
      <c r="C691" s="832"/>
      <c r="D691" s="832"/>
      <c r="E691" s="832"/>
      <c r="F691" s="832"/>
      <c r="G691" s="832"/>
      <c r="H691" s="832"/>
      <c r="I691" s="832"/>
      <c r="J691" s="832"/>
      <c r="K691" s="832"/>
      <c r="L691" s="832"/>
      <c r="M691" s="832"/>
      <c r="N691" s="832"/>
      <c r="O691" s="832"/>
      <c r="P691" s="832"/>
      <c r="Q691" s="832"/>
      <c r="R691" s="832"/>
      <c r="S691" s="832"/>
      <c r="T691" s="832"/>
    </row>
    <row r="692" spans="1:20" x14ac:dyDescent="0.2">
      <c r="A692" s="832"/>
      <c r="B692" s="990"/>
      <c r="C692" s="832"/>
      <c r="D692" s="832"/>
      <c r="E692" s="832"/>
      <c r="F692" s="832"/>
      <c r="G692" s="832"/>
      <c r="H692" s="832"/>
      <c r="I692" s="832"/>
      <c r="J692" s="832"/>
      <c r="K692" s="832"/>
      <c r="L692" s="832"/>
      <c r="M692" s="832"/>
      <c r="N692" s="832"/>
      <c r="O692" s="832"/>
      <c r="P692" s="832"/>
      <c r="Q692" s="832"/>
      <c r="R692" s="832"/>
      <c r="S692" s="832"/>
      <c r="T692" s="832"/>
    </row>
    <row r="693" spans="1:20" x14ac:dyDescent="0.2">
      <c r="A693" s="990" t="s">
        <v>950</v>
      </c>
      <c r="B693" s="832"/>
      <c r="C693" s="832"/>
      <c r="D693" s="832"/>
      <c r="E693" s="832"/>
      <c r="F693" s="832"/>
      <c r="G693" s="832"/>
      <c r="H693" s="832"/>
      <c r="I693" s="832"/>
      <c r="J693" s="832"/>
      <c r="K693" s="832"/>
      <c r="L693" s="832"/>
      <c r="M693" s="832"/>
      <c r="N693" s="832"/>
      <c r="O693" s="832"/>
      <c r="P693" s="832"/>
      <c r="Q693" s="832"/>
      <c r="R693" s="832"/>
      <c r="S693" s="832"/>
      <c r="T693" s="832"/>
    </row>
    <row r="694" spans="1:20" x14ac:dyDescent="0.2">
      <c r="A694" s="990" t="s">
        <v>122</v>
      </c>
      <c r="B694" s="832"/>
      <c r="C694" s="832"/>
      <c r="D694" s="832"/>
      <c r="E694" s="832"/>
      <c r="F694" s="832"/>
      <c r="G694" s="832"/>
      <c r="H694" s="832"/>
      <c r="I694" s="832"/>
      <c r="J694" s="832"/>
      <c r="K694" s="832"/>
      <c r="L694" s="832"/>
      <c r="M694" s="832"/>
      <c r="N694" s="832"/>
      <c r="O694" s="832"/>
      <c r="P694" s="832"/>
      <c r="Q694" s="832"/>
      <c r="R694" s="832"/>
      <c r="S694" s="832"/>
      <c r="T694" s="832"/>
    </row>
    <row r="695" spans="1:20" x14ac:dyDescent="0.2">
      <c r="A695" s="996" t="s">
        <v>1594</v>
      </c>
      <c r="B695" s="832"/>
      <c r="C695" s="832"/>
      <c r="D695" s="832"/>
      <c r="E695" s="832"/>
      <c r="F695" s="832"/>
      <c r="G695" s="832"/>
      <c r="H695" s="832"/>
      <c r="I695" s="832"/>
      <c r="J695" s="832"/>
      <c r="K695" s="832"/>
      <c r="L695" s="832"/>
      <c r="M695" s="832"/>
      <c r="N695" s="832"/>
      <c r="O695" s="832"/>
      <c r="P695" s="832"/>
      <c r="Q695" s="832"/>
      <c r="R695" s="832"/>
      <c r="S695" s="832"/>
      <c r="T695" s="832"/>
    </row>
    <row r="696" spans="1:20" x14ac:dyDescent="0.2">
      <c r="A696" s="832"/>
      <c r="B696" s="990" t="s">
        <v>1558</v>
      </c>
      <c r="C696" s="832"/>
      <c r="D696" s="832"/>
      <c r="E696" s="832"/>
      <c r="F696" s="832"/>
      <c r="G696" s="832"/>
      <c r="H696" s="832"/>
      <c r="I696" s="832"/>
      <c r="J696" s="832"/>
      <c r="K696" s="832"/>
      <c r="L696" s="832"/>
      <c r="M696" s="832"/>
      <c r="N696" s="832"/>
      <c r="O696" s="832"/>
      <c r="P696" s="832"/>
      <c r="Q696" s="832"/>
      <c r="R696" s="832"/>
      <c r="S696" s="832"/>
      <c r="T696" s="832"/>
    </row>
    <row r="697" spans="1:20" x14ac:dyDescent="0.2">
      <c r="A697" s="832"/>
      <c r="B697" s="990" t="s">
        <v>1559</v>
      </c>
      <c r="C697" s="832"/>
      <c r="D697" s="832"/>
      <c r="E697" s="832"/>
      <c r="F697" s="832"/>
      <c r="G697" s="832"/>
      <c r="H697" s="832"/>
      <c r="I697" s="832"/>
      <c r="J697" s="832"/>
      <c r="K697" s="832"/>
      <c r="L697" s="832"/>
      <c r="M697" s="832"/>
      <c r="N697" s="832"/>
      <c r="O697" s="832"/>
      <c r="P697" s="832"/>
      <c r="Q697" s="832"/>
      <c r="R697" s="832"/>
      <c r="S697" s="832"/>
      <c r="T697" s="832"/>
    </row>
    <row r="698" spans="1:20" x14ac:dyDescent="0.2">
      <c r="A698" s="832"/>
      <c r="B698" s="832"/>
      <c r="C698" s="832"/>
      <c r="D698" s="832"/>
      <c r="E698" s="832"/>
      <c r="F698" s="832"/>
      <c r="G698" s="832"/>
      <c r="H698" s="832"/>
      <c r="I698" s="832"/>
      <c r="J698" s="832"/>
      <c r="K698" s="832"/>
      <c r="L698" s="832"/>
      <c r="M698" s="832"/>
      <c r="N698" s="832"/>
      <c r="O698" s="832"/>
      <c r="P698" s="832"/>
      <c r="Q698" s="832"/>
      <c r="R698" s="832"/>
      <c r="S698" s="832"/>
      <c r="T698" s="832"/>
    </row>
    <row r="699" spans="1:20" x14ac:dyDescent="0.2">
      <c r="A699" s="832"/>
      <c r="B699" s="990" t="s">
        <v>2210</v>
      </c>
      <c r="C699" s="832"/>
      <c r="D699" s="832"/>
      <c r="E699" s="832"/>
      <c r="F699" s="832"/>
      <c r="G699" s="994">
        <f>$E$24-$E$25</f>
        <v>0.75</v>
      </c>
      <c r="H699" s="990" t="s">
        <v>24</v>
      </c>
      <c r="I699" s="832"/>
      <c r="J699" s="832"/>
      <c r="K699" s="832"/>
      <c r="L699" s="832"/>
      <c r="M699" s="832"/>
      <c r="N699" s="832"/>
      <c r="O699" s="832"/>
      <c r="P699" s="832"/>
      <c r="Q699" s="832"/>
      <c r="R699" s="832"/>
      <c r="S699" s="832"/>
      <c r="T699" s="832"/>
    </row>
    <row r="700" spans="1:20" x14ac:dyDescent="0.2">
      <c r="A700" s="832"/>
      <c r="B700" s="832"/>
      <c r="C700" s="990"/>
      <c r="D700" s="832"/>
      <c r="E700" s="832"/>
      <c r="F700" s="832"/>
      <c r="G700" s="832"/>
      <c r="H700" s="832"/>
      <c r="I700" s="832"/>
      <c r="J700" s="832"/>
      <c r="K700" s="832"/>
      <c r="L700" s="832"/>
      <c r="M700" s="832"/>
      <c r="N700" s="832"/>
      <c r="O700" s="832"/>
      <c r="P700" s="832"/>
      <c r="Q700" s="832"/>
      <c r="R700" s="832"/>
      <c r="S700" s="832"/>
      <c r="T700" s="832"/>
    </row>
    <row r="701" spans="1:20" x14ac:dyDescent="0.2">
      <c r="A701" s="832"/>
      <c r="B701" s="990" t="s">
        <v>1029</v>
      </c>
      <c r="C701" s="832"/>
      <c r="D701" s="832"/>
      <c r="E701" s="832"/>
      <c r="F701" s="832"/>
      <c r="G701" s="832"/>
      <c r="H701" s="832"/>
      <c r="I701" s="832"/>
      <c r="J701" s="832"/>
      <c r="K701" s="832"/>
      <c r="L701" s="832"/>
      <c r="M701" s="832"/>
      <c r="N701" s="832"/>
      <c r="O701" s="832"/>
      <c r="P701" s="832"/>
      <c r="Q701" s="832"/>
      <c r="R701" s="832"/>
      <c r="S701" s="832"/>
      <c r="T701" s="832"/>
    </row>
    <row r="702" spans="1:20" x14ac:dyDescent="0.2">
      <c r="A702" s="832"/>
      <c r="B702" s="990" t="s">
        <v>1030</v>
      </c>
      <c r="C702" s="994" t="str">
        <f>IF(E17="H10"," For H10 Loading, the Height of Soil Surcharge is 0.60 m.",IF(E17="H20"," For H20 Loading, the Height of Soil Surcharge is 0.90 m."," The Height of Soil Surcharge is zero for no Live Vehicle Loading."))</f>
        <v xml:space="preserve"> For H20 Loading, the Height of Soil Surcharge is 0.90 m.</v>
      </c>
      <c r="D702" s="832"/>
      <c r="E702" s="832"/>
      <c r="F702" s="832"/>
      <c r="G702" s="832"/>
      <c r="H702" s="832"/>
      <c r="I702" s="832"/>
      <c r="J702" s="832"/>
      <c r="K702" s="832"/>
      <c r="L702" s="832"/>
      <c r="M702" s="832"/>
      <c r="N702" s="832"/>
      <c r="O702" s="832"/>
      <c r="P702" s="832"/>
      <c r="Q702" s="832"/>
      <c r="R702" s="832"/>
      <c r="S702" s="832"/>
      <c r="T702" s="832"/>
    </row>
    <row r="703" spans="1:20" x14ac:dyDescent="0.2">
      <c r="A703" s="832"/>
      <c r="B703" s="832"/>
      <c r="C703" s="832"/>
      <c r="D703" s="832"/>
      <c r="E703" s="832"/>
      <c r="F703" s="832"/>
      <c r="G703" s="832"/>
      <c r="H703" s="832"/>
      <c r="I703" s="832"/>
      <c r="J703" s="832"/>
      <c r="K703" s="832"/>
      <c r="L703" s="832"/>
      <c r="M703" s="832"/>
      <c r="N703" s="832"/>
      <c r="O703" s="832"/>
      <c r="P703" s="832"/>
      <c r="Q703" s="832"/>
      <c r="R703" s="832"/>
      <c r="S703" s="832"/>
      <c r="T703" s="832"/>
    </row>
    <row r="704" spans="1:20" x14ac:dyDescent="0.2">
      <c r="A704" s="832"/>
      <c r="B704" s="990" t="s">
        <v>1561</v>
      </c>
      <c r="C704" s="994">
        <f>$G$22</f>
        <v>0.58879070648086362</v>
      </c>
      <c r="D704" s="990" t="s">
        <v>1512</v>
      </c>
      <c r="E704" s="994">
        <f>IF($E$17="H10",G699+0.6,IF($E$17="H20",G699+0.9,G699))</f>
        <v>1.65</v>
      </c>
      <c r="F704" s="990" t="s">
        <v>1512</v>
      </c>
      <c r="G704" s="994">
        <f>$E$11</f>
        <v>19.600000000000001</v>
      </c>
      <c r="H704" s="990" t="s">
        <v>55</v>
      </c>
      <c r="I704" s="994">
        <f>C704*E704*G704</f>
        <v>19.041491447591131</v>
      </c>
      <c r="J704" s="990" t="s">
        <v>35</v>
      </c>
      <c r="K704" s="832"/>
      <c r="L704" s="832"/>
      <c r="M704" s="832"/>
      <c r="N704" s="832"/>
      <c r="O704" s="832"/>
      <c r="P704" s="832"/>
      <c r="Q704" s="832"/>
      <c r="R704" s="832"/>
      <c r="S704" s="832"/>
      <c r="T704" s="832"/>
    </row>
    <row r="705" spans="1:20" x14ac:dyDescent="0.2">
      <c r="A705" s="832"/>
      <c r="B705" s="832"/>
      <c r="C705" s="832"/>
      <c r="D705" s="832"/>
      <c r="E705" s="832"/>
      <c r="F705" s="832"/>
      <c r="G705" s="832"/>
      <c r="H705" s="832"/>
      <c r="I705" s="832"/>
      <c r="J705" s="832"/>
      <c r="K705" s="832"/>
      <c r="L705" s="832"/>
      <c r="M705" s="832"/>
      <c r="N705" s="832"/>
      <c r="O705" s="832"/>
      <c r="P705" s="832"/>
      <c r="Q705" s="832"/>
      <c r="R705" s="832"/>
      <c r="S705" s="832"/>
      <c r="T705" s="832"/>
    </row>
    <row r="706" spans="1:20" x14ac:dyDescent="0.2">
      <c r="A706" s="832"/>
      <c r="B706" s="990" t="s">
        <v>1562</v>
      </c>
      <c r="C706" s="832"/>
      <c r="D706" s="832"/>
      <c r="E706" s="832"/>
      <c r="F706" s="832"/>
      <c r="G706" s="832"/>
      <c r="H706" s="832"/>
      <c r="I706" s="832"/>
      <c r="J706" s="832"/>
      <c r="K706" s="832"/>
      <c r="L706" s="832"/>
      <c r="M706" s="832"/>
      <c r="N706" s="832"/>
      <c r="O706" s="832"/>
      <c r="P706" s="832"/>
      <c r="Q706" s="832"/>
      <c r="R706" s="832"/>
      <c r="S706" s="832"/>
      <c r="T706" s="832"/>
    </row>
    <row r="707" spans="1:20" x14ac:dyDescent="0.2">
      <c r="A707" s="832"/>
      <c r="B707" s="990" t="s">
        <v>1559</v>
      </c>
      <c r="C707" s="832"/>
      <c r="D707" s="832"/>
      <c r="E707" s="832"/>
      <c r="F707" s="832"/>
      <c r="G707" s="832"/>
      <c r="H707" s="832"/>
      <c r="I707" s="832"/>
      <c r="J707" s="832"/>
      <c r="K707" s="832"/>
      <c r="L707" s="832"/>
      <c r="M707" s="832"/>
      <c r="N707" s="832"/>
      <c r="O707" s="832"/>
      <c r="P707" s="832"/>
      <c r="Q707" s="832"/>
      <c r="R707" s="832"/>
      <c r="S707" s="832"/>
      <c r="T707" s="832"/>
    </row>
    <row r="708" spans="1:20" x14ac:dyDescent="0.2">
      <c r="A708" s="832"/>
      <c r="B708" s="990" t="s">
        <v>55</v>
      </c>
      <c r="C708" s="994">
        <f>$G$22</f>
        <v>0.58879070648086362</v>
      </c>
      <c r="D708" s="990" t="s">
        <v>1512</v>
      </c>
      <c r="E708" s="994">
        <f>IF($E$17="H10",$E$24-$E$26+0.6,IF($E$17="H20",$E$24-$E$26+0.9,$E$24-$E$26))</f>
        <v>1.9</v>
      </c>
      <c r="F708" s="990" t="s">
        <v>1512</v>
      </c>
      <c r="G708" s="994">
        <f>$E$11</f>
        <v>19.600000000000001</v>
      </c>
      <c r="H708" s="990" t="s">
        <v>55</v>
      </c>
      <c r="I708" s="994">
        <f>C708*E708*G708</f>
        <v>21.926565909347364</v>
      </c>
      <c r="J708" s="990" t="s">
        <v>35</v>
      </c>
      <c r="K708" s="832"/>
      <c r="L708" s="832"/>
      <c r="M708" s="832"/>
      <c r="N708" s="832"/>
      <c r="O708" s="832"/>
      <c r="P708" s="832"/>
      <c r="Q708" s="832"/>
      <c r="R708" s="832"/>
      <c r="S708" s="832"/>
      <c r="T708" s="832"/>
    </row>
    <row r="709" spans="1:20" x14ac:dyDescent="0.2">
      <c r="A709" s="832"/>
      <c r="B709" s="832"/>
      <c r="C709" s="832"/>
      <c r="D709" s="832"/>
      <c r="E709" s="832"/>
      <c r="F709" s="832"/>
      <c r="G709" s="832"/>
      <c r="H709" s="832"/>
      <c r="I709" s="832"/>
      <c r="J709" s="832"/>
      <c r="K709" s="832"/>
      <c r="L709" s="832"/>
      <c r="M709" s="832"/>
      <c r="N709" s="832"/>
      <c r="O709" s="832"/>
      <c r="P709" s="832"/>
      <c r="Q709" s="832"/>
      <c r="R709" s="832"/>
      <c r="S709" s="832"/>
      <c r="T709" s="832"/>
    </row>
    <row r="710" spans="1:20" x14ac:dyDescent="0.2">
      <c r="A710" s="832"/>
      <c r="B710" s="990" t="s">
        <v>1563</v>
      </c>
      <c r="C710" s="832"/>
      <c r="D710" s="832"/>
      <c r="E710" s="832"/>
      <c r="F710" s="832"/>
      <c r="G710" s="994">
        <f>$E$25-$E$26</f>
        <v>0.25</v>
      </c>
      <c r="H710" s="990" t="s">
        <v>24</v>
      </c>
      <c r="I710" s="832"/>
      <c r="J710" s="832"/>
      <c r="K710" s="832"/>
      <c r="L710" s="832"/>
      <c r="M710" s="832"/>
      <c r="N710" s="832"/>
      <c r="O710" s="832"/>
      <c r="P710" s="832"/>
      <c r="Q710" s="832"/>
      <c r="R710" s="832"/>
      <c r="S710" s="832"/>
      <c r="T710" s="832"/>
    </row>
    <row r="711" spans="1:20" x14ac:dyDescent="0.2">
      <c r="A711" s="832"/>
      <c r="B711" s="990" t="s">
        <v>1595</v>
      </c>
      <c r="C711" s="832"/>
      <c r="D711" s="832"/>
      <c r="E711" s="832"/>
      <c r="F711" s="832"/>
      <c r="G711" s="832"/>
      <c r="H711" s="994">
        <f>E39/1000+E44</f>
        <v>1.5</v>
      </c>
      <c r="I711" s="990" t="s">
        <v>24</v>
      </c>
      <c r="J711" s="832"/>
      <c r="K711" s="832"/>
      <c r="L711" s="832"/>
      <c r="M711" s="832"/>
      <c r="N711" s="832"/>
      <c r="O711" s="832"/>
      <c r="P711" s="832"/>
      <c r="Q711" s="832"/>
      <c r="R711" s="832"/>
      <c r="S711" s="832"/>
      <c r="T711" s="832"/>
    </row>
    <row r="712" spans="1:20" x14ac:dyDescent="0.2">
      <c r="A712" s="832"/>
      <c r="B712" s="832"/>
      <c r="C712" s="832"/>
      <c r="D712" s="832"/>
      <c r="E712" s="832"/>
      <c r="F712" s="832"/>
      <c r="G712" s="832"/>
      <c r="H712" s="832"/>
      <c r="I712" s="832"/>
      <c r="J712" s="832"/>
      <c r="K712" s="832"/>
      <c r="L712" s="832"/>
      <c r="M712" s="832"/>
      <c r="N712" s="832"/>
      <c r="O712" s="832"/>
      <c r="P712" s="832"/>
      <c r="Q712" s="832"/>
      <c r="R712" s="832"/>
      <c r="S712" s="832"/>
      <c r="T712" s="832"/>
    </row>
    <row r="713" spans="1:20" x14ac:dyDescent="0.2">
      <c r="A713" s="832"/>
      <c r="B713" s="990" t="s">
        <v>1565</v>
      </c>
      <c r="C713" s="832"/>
      <c r="D713" s="832"/>
      <c r="E713" s="832"/>
      <c r="F713" s="832"/>
      <c r="G713" s="832"/>
      <c r="H713" s="832"/>
      <c r="I713" s="994">
        <f>(I704*G710+(I708-I704)*G710/2)*H711</f>
        <v>7.6815107544259682</v>
      </c>
      <c r="J713" s="832"/>
      <c r="K713" s="990" t="s">
        <v>57</v>
      </c>
      <c r="L713" s="832"/>
      <c r="M713" s="832"/>
      <c r="N713" s="832"/>
      <c r="O713" s="832"/>
      <c r="P713" s="832"/>
      <c r="Q713" s="832"/>
      <c r="R713" s="832"/>
      <c r="S713" s="832"/>
      <c r="T713" s="832"/>
    </row>
    <row r="714" spans="1:20" x14ac:dyDescent="0.2">
      <c r="A714" s="832"/>
      <c r="B714" s="990" t="s">
        <v>1566</v>
      </c>
      <c r="C714" s="832"/>
      <c r="D714" s="832"/>
      <c r="E714" s="832"/>
      <c r="F714" s="832"/>
      <c r="G714" s="832"/>
      <c r="H714" s="832"/>
      <c r="I714" s="994">
        <f>(I704*G710^2/2+(I708-I704)*G710^2/6)*H711</f>
        <v>0.93764920007077546</v>
      </c>
      <c r="J714" s="832"/>
      <c r="K714" s="990" t="s">
        <v>58</v>
      </c>
      <c r="L714" s="832"/>
      <c r="M714" s="832"/>
      <c r="N714" s="832"/>
      <c r="O714" s="832"/>
      <c r="P714" s="832"/>
      <c r="Q714" s="832"/>
      <c r="R714" s="832"/>
      <c r="S714" s="832"/>
      <c r="T714" s="832"/>
    </row>
    <row r="715" spans="1:20" x14ac:dyDescent="0.2">
      <c r="A715" s="832"/>
      <c r="B715" s="832"/>
      <c r="C715" s="832"/>
      <c r="D715" s="832"/>
      <c r="E715" s="832"/>
      <c r="F715" s="832"/>
      <c r="G715" s="832"/>
      <c r="H715" s="832"/>
      <c r="I715" s="832"/>
      <c r="J715" s="832"/>
      <c r="K715" s="832"/>
      <c r="L715" s="832"/>
      <c r="M715" s="832"/>
      <c r="N715" s="832"/>
      <c r="O715" s="832"/>
      <c r="P715" s="832"/>
      <c r="Q715" s="832"/>
      <c r="R715" s="832"/>
      <c r="S715" s="832"/>
      <c r="T715" s="832"/>
    </row>
    <row r="716" spans="1:20" x14ac:dyDescent="0.2">
      <c r="A716" s="990" t="s">
        <v>950</v>
      </c>
      <c r="B716" s="832"/>
      <c r="C716" s="832"/>
      <c r="D716" s="832"/>
      <c r="E716" s="832"/>
      <c r="F716" s="832"/>
      <c r="G716" s="832"/>
      <c r="H716" s="832"/>
      <c r="I716" s="832"/>
      <c r="J716" s="832"/>
      <c r="K716" s="832"/>
      <c r="L716" s="832"/>
      <c r="M716" s="832"/>
      <c r="N716" s="832"/>
      <c r="O716" s="832"/>
      <c r="P716" s="832"/>
      <c r="Q716" s="832"/>
      <c r="R716" s="832"/>
      <c r="S716" s="832"/>
      <c r="T716" s="832"/>
    </row>
    <row r="717" spans="1:20" x14ac:dyDescent="0.2">
      <c r="A717" s="990" t="s">
        <v>59</v>
      </c>
      <c r="B717" s="832"/>
      <c r="C717" s="832"/>
      <c r="D717" s="832"/>
      <c r="E717" s="832"/>
      <c r="F717" s="832"/>
      <c r="G717" s="832"/>
      <c r="H717" s="832"/>
      <c r="I717" s="832"/>
      <c r="J717" s="832"/>
      <c r="K717" s="832"/>
      <c r="L717" s="832"/>
      <c r="M717" s="832"/>
      <c r="N717" s="832"/>
      <c r="O717" s="832"/>
      <c r="P717" s="832"/>
      <c r="Q717" s="832"/>
      <c r="R717" s="832"/>
      <c r="S717" s="832"/>
      <c r="T717" s="832"/>
    </row>
    <row r="718" spans="1:20" x14ac:dyDescent="0.2">
      <c r="A718" s="996" t="s">
        <v>1594</v>
      </c>
      <c r="B718" s="832"/>
      <c r="C718" s="832"/>
      <c r="D718" s="832"/>
      <c r="E718" s="832"/>
      <c r="F718" s="832"/>
      <c r="G718" s="832"/>
      <c r="H718" s="832"/>
      <c r="I718" s="832"/>
      <c r="J718" s="832"/>
      <c r="K718" s="832"/>
      <c r="L718" s="832"/>
      <c r="M718" s="832"/>
      <c r="N718" s="832"/>
      <c r="O718" s="832"/>
      <c r="P718" s="832"/>
      <c r="Q718" s="832"/>
      <c r="R718" s="832"/>
      <c r="S718" s="832"/>
      <c r="T718" s="832"/>
    </row>
    <row r="719" spans="1:20" x14ac:dyDescent="0.2">
      <c r="A719" s="832"/>
      <c r="B719" s="990" t="s">
        <v>499</v>
      </c>
      <c r="C719" s="832"/>
      <c r="D719" s="832"/>
      <c r="E719" s="832"/>
      <c r="F719" s="832"/>
      <c r="G719" s="832"/>
      <c r="H719" s="832"/>
      <c r="I719" s="832"/>
      <c r="J719" s="832"/>
      <c r="K719" s="832"/>
      <c r="L719" s="832"/>
      <c r="M719" s="832"/>
      <c r="N719" s="832"/>
      <c r="O719" s="832"/>
      <c r="P719" s="832"/>
      <c r="Q719" s="832"/>
      <c r="R719" s="832"/>
      <c r="S719" s="832"/>
      <c r="T719" s="832"/>
    </row>
    <row r="720" spans="1:20" x14ac:dyDescent="0.2">
      <c r="A720" s="832"/>
      <c r="B720" s="832"/>
      <c r="C720" s="832"/>
      <c r="D720" s="832"/>
      <c r="E720" s="832"/>
      <c r="F720" s="832"/>
      <c r="G720" s="832"/>
      <c r="H720" s="832"/>
      <c r="I720" s="832"/>
      <c r="J720" s="832"/>
      <c r="K720" s="832"/>
      <c r="L720" s="832"/>
      <c r="M720" s="832"/>
      <c r="N720" s="832"/>
      <c r="O720" s="832"/>
      <c r="P720" s="832"/>
      <c r="Q720" s="832"/>
      <c r="R720" s="832"/>
      <c r="S720" s="832"/>
      <c r="T720" s="832"/>
    </row>
    <row r="721" spans="1:20" x14ac:dyDescent="0.2">
      <c r="A721" s="832"/>
      <c r="B721" s="990" t="s">
        <v>1926</v>
      </c>
      <c r="C721" s="832"/>
      <c r="D721" s="832"/>
      <c r="E721" s="832"/>
      <c r="F721" s="832"/>
      <c r="G721" s="832"/>
      <c r="H721" s="832"/>
      <c r="I721" s="832"/>
      <c r="J721" s="832"/>
      <c r="K721" s="832"/>
      <c r="L721" s="832"/>
      <c r="M721" s="832"/>
      <c r="N721" s="832"/>
      <c r="O721" s="832"/>
      <c r="P721" s="832"/>
      <c r="Q721" s="832"/>
      <c r="R721" s="832"/>
      <c r="S721" s="832"/>
      <c r="T721" s="832"/>
    </row>
    <row r="722" spans="1:20" x14ac:dyDescent="0.2">
      <c r="A722" s="832"/>
      <c r="B722" s="990"/>
      <c r="C722" s="832"/>
      <c r="D722" s="832"/>
      <c r="E722" s="832"/>
      <c r="F722" s="832"/>
      <c r="G722" s="832"/>
      <c r="H722" s="832"/>
      <c r="I722" s="832"/>
      <c r="J722" s="832"/>
      <c r="K722" s="832"/>
      <c r="L722" s="832"/>
      <c r="M722" s="832"/>
      <c r="N722" s="832"/>
      <c r="O722" s="832"/>
      <c r="P722" s="832"/>
      <c r="Q722" s="832"/>
      <c r="R722" s="832"/>
      <c r="S722" s="832"/>
      <c r="T722" s="832"/>
    </row>
    <row r="723" spans="1:20" x14ac:dyDescent="0.2">
      <c r="A723" s="832"/>
      <c r="B723" s="832"/>
      <c r="C723" s="832"/>
      <c r="D723" s="832"/>
      <c r="E723" s="832"/>
      <c r="F723" s="832"/>
      <c r="G723" s="832"/>
      <c r="H723" s="832"/>
      <c r="I723" s="832"/>
      <c r="J723" s="832"/>
      <c r="K723" s="832"/>
      <c r="L723" s="832"/>
      <c r="M723" s="832"/>
      <c r="N723" s="832"/>
      <c r="O723" s="832"/>
      <c r="P723" s="832"/>
      <c r="Q723" s="832"/>
      <c r="R723" s="832"/>
      <c r="S723" s="832"/>
      <c r="T723" s="832"/>
    </row>
    <row r="724" spans="1:20" x14ac:dyDescent="0.2">
      <c r="A724" s="832"/>
      <c r="B724" s="990" t="s">
        <v>1150</v>
      </c>
      <c r="C724" s="832"/>
      <c r="D724" s="832"/>
      <c r="E724" s="832"/>
      <c r="F724" s="832"/>
      <c r="G724" s="832"/>
      <c r="H724" s="832"/>
      <c r="I724" s="832"/>
      <c r="J724" s="832"/>
      <c r="K724" s="832"/>
      <c r="L724" s="832"/>
      <c r="M724" s="832"/>
      <c r="N724" s="832"/>
      <c r="O724" s="832"/>
      <c r="P724" s="832"/>
      <c r="Q724" s="832"/>
      <c r="R724" s="832"/>
      <c r="S724" s="832"/>
      <c r="T724" s="832"/>
    </row>
    <row r="725" spans="1:20" x14ac:dyDescent="0.2">
      <c r="A725" s="832"/>
      <c r="B725" s="990" t="s">
        <v>500</v>
      </c>
      <c r="C725" s="832"/>
      <c r="D725" s="832"/>
      <c r="E725" s="994">
        <f>I714</f>
        <v>0.93764920007077546</v>
      </c>
      <c r="F725" s="990" t="s">
        <v>58</v>
      </c>
      <c r="G725" s="832"/>
      <c r="H725" s="832"/>
      <c r="I725" s="832"/>
      <c r="J725" s="832"/>
      <c r="K725" s="832"/>
      <c r="L725" s="832"/>
      <c r="M725" s="832"/>
      <c r="N725" s="832"/>
      <c r="O725" s="832"/>
      <c r="P725" s="832"/>
      <c r="Q725" s="832"/>
      <c r="R725" s="832"/>
      <c r="S725" s="832"/>
      <c r="T725" s="832"/>
    </row>
    <row r="726" spans="1:20" x14ac:dyDescent="0.2">
      <c r="A726" s="832"/>
      <c r="B726" s="990" t="s">
        <v>1151</v>
      </c>
      <c r="C726" s="832"/>
      <c r="D726" s="832"/>
      <c r="E726" s="999">
        <f>$F$128</f>
        <v>1252.9941383359403</v>
      </c>
      <c r="F726" s="990" t="s">
        <v>35</v>
      </c>
      <c r="G726" s="832"/>
      <c r="H726" s="832"/>
      <c r="I726" s="832"/>
      <c r="J726" s="832"/>
      <c r="K726" s="832"/>
      <c r="L726" s="832"/>
      <c r="M726" s="832"/>
      <c r="N726" s="832"/>
      <c r="O726" s="832"/>
      <c r="P726" s="832"/>
      <c r="Q726" s="832"/>
      <c r="R726" s="832"/>
      <c r="S726" s="832"/>
      <c r="T726" s="832"/>
    </row>
    <row r="727" spans="1:20" x14ac:dyDescent="0.2">
      <c r="A727" s="832"/>
      <c r="B727" s="990" t="s">
        <v>1567</v>
      </c>
      <c r="C727" s="832"/>
      <c r="D727" s="832"/>
      <c r="E727" s="994">
        <f>E39/1000</f>
        <v>0</v>
      </c>
      <c r="F727" s="990" t="s">
        <v>24</v>
      </c>
      <c r="G727" s="832"/>
      <c r="H727" s="832"/>
      <c r="I727" s="832"/>
      <c r="J727" s="832"/>
      <c r="K727" s="832"/>
      <c r="L727" s="832"/>
      <c r="M727" s="832"/>
      <c r="N727" s="832"/>
      <c r="O727" s="832"/>
      <c r="P727" s="832"/>
      <c r="Q727" s="832"/>
      <c r="R727" s="832"/>
      <c r="S727" s="832"/>
      <c r="T727" s="832"/>
    </row>
    <row r="728" spans="1:20" x14ac:dyDescent="0.2">
      <c r="A728" s="832"/>
      <c r="B728" s="990" t="s">
        <v>60</v>
      </c>
      <c r="C728" s="832"/>
      <c r="D728" s="832"/>
      <c r="E728" s="997" t="e">
        <f>SQRT(E725/E726/E727)*1000</f>
        <v>#DIV/0!</v>
      </c>
      <c r="F728" s="990" t="s">
        <v>43</v>
      </c>
      <c r="G728" s="832"/>
      <c r="H728" s="832"/>
      <c r="I728" s="832"/>
      <c r="J728" s="832"/>
      <c r="K728" s="832"/>
      <c r="L728" s="832"/>
      <c r="M728" s="832"/>
      <c r="N728" s="832"/>
      <c r="O728" s="832"/>
      <c r="P728" s="832"/>
      <c r="Q728" s="832"/>
      <c r="R728" s="832"/>
      <c r="S728" s="832"/>
      <c r="T728" s="832"/>
    </row>
    <row r="729" spans="1:20" x14ac:dyDescent="0.2">
      <c r="A729" s="832"/>
      <c r="B729" s="832"/>
      <c r="C729" s="832"/>
      <c r="D729" s="832"/>
      <c r="E729" s="832"/>
      <c r="F729" s="832"/>
      <c r="G729" s="832"/>
      <c r="H729" s="832"/>
      <c r="I729" s="832"/>
      <c r="J729" s="832"/>
      <c r="K729" s="832"/>
      <c r="L729" s="832"/>
      <c r="M729" s="832"/>
      <c r="N729" s="832"/>
      <c r="O729" s="832"/>
      <c r="P729" s="832"/>
      <c r="Q729" s="832"/>
      <c r="R729" s="832"/>
      <c r="S729" s="832"/>
      <c r="T729" s="832"/>
    </row>
    <row r="730" spans="1:20" x14ac:dyDescent="0.2">
      <c r="A730" s="832"/>
      <c r="B730" s="990" t="s">
        <v>1153</v>
      </c>
      <c r="C730" s="832"/>
      <c r="D730" s="832"/>
      <c r="E730" s="832"/>
      <c r="F730" s="832"/>
      <c r="G730" s="832"/>
      <c r="H730" s="832"/>
      <c r="I730" s="832"/>
      <c r="J730" s="832"/>
      <c r="K730" s="832"/>
      <c r="L730" s="832"/>
      <c r="M730" s="832"/>
      <c r="N730" s="832"/>
      <c r="O730" s="832"/>
      <c r="P730" s="832"/>
      <c r="Q730" s="832"/>
      <c r="R730" s="832"/>
      <c r="S730" s="832"/>
      <c r="T730" s="832"/>
    </row>
    <row r="731" spans="1:20" x14ac:dyDescent="0.2">
      <c r="A731" s="832"/>
      <c r="B731" s="990" t="s">
        <v>501</v>
      </c>
      <c r="C731" s="832"/>
      <c r="D731" s="832"/>
      <c r="E731" s="994">
        <f>I713</f>
        <v>7.6815107544259682</v>
      </c>
      <c r="F731" s="990" t="s">
        <v>57</v>
      </c>
      <c r="G731" s="832"/>
      <c r="H731" s="832"/>
      <c r="I731" s="832"/>
      <c r="J731" s="832"/>
      <c r="K731" s="832"/>
      <c r="L731" s="832"/>
      <c r="M731" s="832"/>
      <c r="N731" s="832"/>
      <c r="O731" s="832"/>
      <c r="P731" s="832"/>
      <c r="Q731" s="832"/>
      <c r="R731" s="832"/>
      <c r="S731" s="832"/>
      <c r="T731" s="832"/>
    </row>
    <row r="732" spans="1:20" x14ac:dyDescent="0.2">
      <c r="A732" s="832"/>
      <c r="B732" s="990" t="s">
        <v>1154</v>
      </c>
      <c r="C732" s="832"/>
      <c r="D732" s="832"/>
      <c r="E732" s="832"/>
      <c r="F732" s="999">
        <f>$G$57</f>
        <v>428.65627255412932</v>
      </c>
      <c r="G732" s="990" t="s">
        <v>35</v>
      </c>
      <c r="H732" s="832"/>
      <c r="I732" s="832"/>
      <c r="J732" s="832"/>
      <c r="K732" s="832"/>
      <c r="L732" s="832"/>
      <c r="M732" s="832"/>
      <c r="N732" s="832"/>
      <c r="O732" s="832"/>
      <c r="P732" s="832"/>
      <c r="Q732" s="832"/>
      <c r="R732" s="832"/>
      <c r="S732" s="832"/>
      <c r="T732" s="832"/>
    </row>
    <row r="733" spans="1:20" x14ac:dyDescent="0.2">
      <c r="A733" s="832"/>
      <c r="B733" s="990" t="s">
        <v>61</v>
      </c>
      <c r="C733" s="832"/>
      <c r="D733" s="832"/>
      <c r="E733" s="997" t="e">
        <f>E731/F732/E727*1000</f>
        <v>#DIV/0!</v>
      </c>
      <c r="F733" s="990" t="s">
        <v>43</v>
      </c>
      <c r="G733" s="832"/>
      <c r="H733" s="832"/>
      <c r="I733" s="832"/>
      <c r="J733" s="832"/>
      <c r="K733" s="832"/>
      <c r="L733" s="832"/>
      <c r="M733" s="832"/>
      <c r="N733" s="832"/>
      <c r="O733" s="832"/>
      <c r="P733" s="832"/>
      <c r="Q733" s="832"/>
      <c r="R733" s="832"/>
      <c r="S733" s="832"/>
      <c r="T733" s="832"/>
    </row>
    <row r="734" spans="1:20" x14ac:dyDescent="0.2">
      <c r="A734" s="832"/>
      <c r="B734" s="832"/>
      <c r="C734" s="832"/>
      <c r="D734" s="832"/>
      <c r="E734" s="832"/>
      <c r="F734" s="832"/>
      <c r="G734" s="832"/>
      <c r="H734" s="832"/>
      <c r="I734" s="832"/>
      <c r="J734" s="832"/>
      <c r="K734" s="832"/>
      <c r="L734" s="832"/>
      <c r="M734" s="832"/>
      <c r="N734" s="832"/>
      <c r="O734" s="832"/>
      <c r="P734" s="832"/>
      <c r="Q734" s="832"/>
      <c r="R734" s="832"/>
      <c r="S734" s="832"/>
      <c r="T734" s="832"/>
    </row>
    <row r="735" spans="1:20" x14ac:dyDescent="0.2">
      <c r="A735" s="832"/>
      <c r="B735" s="994" t="e">
        <f>IF(E728&gt;=E733,"dr(Moment)  &gt;  dr(Shear)","dr(Moment)  &lt;  dr(Shear)")</f>
        <v>#DIV/0!</v>
      </c>
      <c r="C735" s="832"/>
      <c r="D735" s="832"/>
      <c r="E735" s="990" t="s">
        <v>1156</v>
      </c>
      <c r="F735" s="832"/>
      <c r="G735" s="997" t="e">
        <f>IF(E728&gt;=E733,E728,E733)</f>
        <v>#DIV/0!</v>
      </c>
      <c r="H735" s="990" t="s">
        <v>62</v>
      </c>
      <c r="I735" s="832"/>
      <c r="J735" s="832"/>
      <c r="K735" s="832"/>
      <c r="L735" s="832"/>
      <c r="M735" s="832"/>
      <c r="N735" s="832"/>
      <c r="O735" s="832"/>
      <c r="P735" s="832"/>
      <c r="Q735" s="832"/>
      <c r="R735" s="832"/>
      <c r="S735" s="832"/>
      <c r="T735" s="832"/>
    </row>
    <row r="736" spans="1:20" x14ac:dyDescent="0.2">
      <c r="A736" s="990" t="s">
        <v>986</v>
      </c>
      <c r="B736" s="832"/>
      <c r="C736" s="832"/>
      <c r="D736" s="832"/>
      <c r="E736" s="832"/>
      <c r="F736" s="832"/>
      <c r="G736" s="832"/>
      <c r="H736" s="832"/>
      <c r="I736" s="832"/>
      <c r="J736" s="832"/>
      <c r="K736" s="832"/>
      <c r="L736" s="832"/>
      <c r="M736" s="832"/>
      <c r="N736" s="832"/>
      <c r="O736" s="832"/>
      <c r="P736" s="832"/>
      <c r="Q736" s="832"/>
      <c r="R736" s="832"/>
      <c r="S736" s="832"/>
      <c r="T736" s="832"/>
    </row>
    <row r="737" spans="1:20" x14ac:dyDescent="0.2">
      <c r="A737" s="832"/>
      <c r="B737" s="990" t="s">
        <v>63</v>
      </c>
      <c r="C737" s="832"/>
      <c r="D737" s="997" t="e">
        <f>G735</f>
        <v>#DIV/0!</v>
      </c>
      <c r="E737" s="990" t="s">
        <v>1502</v>
      </c>
      <c r="F737" s="997">
        <f>G62</f>
        <v>75</v>
      </c>
      <c r="G737" s="990" t="s">
        <v>1503</v>
      </c>
      <c r="H737" s="997" t="e">
        <f>D737+F737</f>
        <v>#DIV/0!</v>
      </c>
      <c r="I737" s="990" t="s">
        <v>43</v>
      </c>
      <c r="J737" s="832"/>
      <c r="K737" s="832"/>
      <c r="L737" s="832"/>
      <c r="M737" s="832"/>
      <c r="N737" s="832"/>
      <c r="O737" s="832"/>
      <c r="P737" s="832"/>
      <c r="Q737" s="832"/>
      <c r="R737" s="832"/>
      <c r="S737" s="832"/>
      <c r="T737" s="832"/>
    </row>
    <row r="738" spans="1:20" x14ac:dyDescent="0.2">
      <c r="A738" s="832"/>
      <c r="B738" s="990" t="s">
        <v>1568</v>
      </c>
      <c r="C738" s="832"/>
      <c r="D738" s="832"/>
      <c r="E738" s="832"/>
      <c r="F738" s="832"/>
      <c r="G738" s="832"/>
      <c r="H738" s="832"/>
      <c r="I738" s="832"/>
      <c r="J738" s="832"/>
      <c r="K738" s="832"/>
      <c r="L738" s="832"/>
      <c r="M738" s="832"/>
      <c r="N738" s="832"/>
      <c r="O738" s="832"/>
      <c r="P738" s="832"/>
      <c r="Q738" s="832"/>
      <c r="R738" s="832"/>
      <c r="S738" s="832"/>
      <c r="T738" s="832"/>
    </row>
    <row r="739" spans="1:20" x14ac:dyDescent="0.2">
      <c r="A739" s="832"/>
      <c r="B739" s="990" t="s">
        <v>1569</v>
      </c>
      <c r="C739" s="832"/>
      <c r="D739" s="832"/>
      <c r="E739" s="832"/>
      <c r="F739" s="832"/>
      <c r="G739" s="832"/>
      <c r="H739" s="997">
        <f>E47*1000+E32</f>
        <v>2450</v>
      </c>
      <c r="I739" s="990" t="s">
        <v>43</v>
      </c>
      <c r="J739" s="832"/>
      <c r="K739" s="832"/>
      <c r="L739" s="832"/>
      <c r="M739" s="832"/>
      <c r="N739" s="832"/>
      <c r="O739" s="832"/>
      <c r="P739" s="832"/>
      <c r="Q739" s="832"/>
      <c r="R739" s="832"/>
      <c r="S739" s="832"/>
      <c r="T739" s="832"/>
    </row>
    <row r="740" spans="1:20" x14ac:dyDescent="0.2">
      <c r="A740" s="832"/>
      <c r="B740" s="832"/>
      <c r="C740" s="832"/>
      <c r="D740" s="832"/>
      <c r="E740" s="832"/>
      <c r="F740" s="832"/>
      <c r="G740" s="832"/>
      <c r="H740" s="832"/>
      <c r="I740" s="832"/>
      <c r="J740" s="832"/>
      <c r="K740" s="832"/>
      <c r="L740" s="832"/>
      <c r="M740" s="832"/>
      <c r="N740" s="832"/>
      <c r="O740" s="832"/>
      <c r="P740" s="832"/>
      <c r="Q740" s="832"/>
      <c r="R740" s="832"/>
      <c r="S740" s="832"/>
      <c r="T740" s="832"/>
    </row>
    <row r="741" spans="1:20" x14ac:dyDescent="0.2">
      <c r="A741" s="832"/>
      <c r="B741" s="1013" t="e">
        <f>IF(H739&gt;=H737,"ta  &gt;  tr     Design is OK.","ta  &lt;  tr     Design is Not OK.")</f>
        <v>#DIV/0!</v>
      </c>
      <c r="C741" s="832"/>
      <c r="D741" s="832"/>
      <c r="E741" s="832"/>
      <c r="F741" s="990" t="s">
        <v>64</v>
      </c>
      <c r="G741" s="832"/>
      <c r="H741" s="832"/>
      <c r="I741" s="832"/>
      <c r="J741" s="832"/>
      <c r="K741" s="832"/>
      <c r="L741" s="832"/>
      <c r="M741" s="832"/>
      <c r="N741" s="832"/>
      <c r="O741" s="832"/>
      <c r="P741" s="832"/>
      <c r="Q741" s="832"/>
      <c r="R741" s="832"/>
      <c r="S741" s="832"/>
      <c r="T741" s="832"/>
    </row>
    <row r="742" spans="1:20" x14ac:dyDescent="0.2">
      <c r="A742" s="832"/>
      <c r="B742" s="832"/>
      <c r="C742" s="832"/>
      <c r="D742" s="832"/>
      <c r="E742" s="832"/>
      <c r="F742" s="832"/>
      <c r="G742" s="832"/>
      <c r="H742" s="832"/>
      <c r="I742" s="832"/>
      <c r="J742" s="832"/>
      <c r="K742" s="832"/>
      <c r="L742" s="832"/>
      <c r="M742" s="832"/>
      <c r="N742" s="832"/>
      <c r="O742" s="832"/>
      <c r="P742" s="832"/>
      <c r="Q742" s="832"/>
      <c r="R742" s="832"/>
      <c r="S742" s="832"/>
      <c r="T742" s="832"/>
    </row>
    <row r="743" spans="1:20" x14ac:dyDescent="0.2">
      <c r="A743" s="990" t="s">
        <v>950</v>
      </c>
      <c r="B743" s="832"/>
      <c r="C743" s="832"/>
      <c r="D743" s="832"/>
      <c r="E743" s="832"/>
      <c r="F743" s="832"/>
      <c r="G743" s="832"/>
      <c r="H743" s="832"/>
      <c r="I743" s="832"/>
      <c r="J743" s="832"/>
      <c r="K743" s="832"/>
      <c r="L743" s="832"/>
      <c r="M743" s="832"/>
      <c r="N743" s="832"/>
      <c r="O743" s="832"/>
      <c r="P743" s="832"/>
      <c r="Q743" s="832"/>
      <c r="R743" s="832"/>
      <c r="S743" s="832"/>
      <c r="T743" s="832"/>
    </row>
    <row r="744" spans="1:20" x14ac:dyDescent="0.2">
      <c r="A744" s="990" t="s">
        <v>1570</v>
      </c>
      <c r="B744" s="832"/>
      <c r="C744" s="832"/>
      <c r="D744" s="832"/>
      <c r="E744" s="832"/>
      <c r="F744" s="832"/>
      <c r="G744" s="832"/>
      <c r="H744" s="832"/>
      <c r="I744" s="832"/>
      <c r="J744" s="832"/>
      <c r="K744" s="832"/>
      <c r="L744" s="832"/>
      <c r="M744" s="832"/>
      <c r="N744" s="832"/>
      <c r="O744" s="832"/>
      <c r="P744" s="832"/>
      <c r="Q744" s="832"/>
      <c r="R744" s="832"/>
      <c r="S744" s="832"/>
      <c r="T744" s="832"/>
    </row>
    <row r="745" spans="1:20" x14ac:dyDescent="0.2">
      <c r="A745" s="996" t="s">
        <v>1594</v>
      </c>
      <c r="B745" s="832"/>
      <c r="C745" s="832"/>
      <c r="D745" s="832"/>
      <c r="E745" s="832"/>
      <c r="F745" s="832"/>
      <c r="G745" s="832"/>
      <c r="H745" s="832"/>
      <c r="I745" s="832"/>
      <c r="J745" s="832"/>
      <c r="K745" s="832"/>
      <c r="L745" s="832"/>
      <c r="M745" s="832"/>
      <c r="N745" s="832"/>
      <c r="O745" s="832"/>
      <c r="P745" s="832"/>
      <c r="Q745" s="832"/>
      <c r="R745" s="832"/>
      <c r="S745" s="832"/>
      <c r="T745" s="832"/>
    </row>
    <row r="746" spans="1:20" x14ac:dyDescent="0.2">
      <c r="A746" s="832"/>
      <c r="B746" s="832"/>
      <c r="C746" s="832"/>
      <c r="D746" s="832"/>
      <c r="E746" s="832"/>
      <c r="F746" s="990"/>
      <c r="G746" s="832"/>
      <c r="H746" s="832"/>
      <c r="I746" s="832"/>
      <c r="J746" s="832"/>
      <c r="K746" s="832"/>
      <c r="L746" s="832"/>
      <c r="M746" s="832"/>
      <c r="N746" s="832"/>
      <c r="O746" s="832"/>
      <c r="P746" s="832"/>
      <c r="Q746" s="832"/>
      <c r="R746" s="832"/>
      <c r="S746" s="832"/>
      <c r="T746" s="832"/>
    </row>
    <row r="747" spans="1:20" x14ac:dyDescent="0.2">
      <c r="A747" s="832"/>
      <c r="B747" s="990" t="s">
        <v>1916</v>
      </c>
      <c r="C747" s="832"/>
      <c r="D747" s="832"/>
      <c r="E747" s="832"/>
      <c r="F747" s="832"/>
      <c r="G747" s="832"/>
      <c r="H747" s="832"/>
      <c r="I747" s="832"/>
      <c r="J747" s="832"/>
      <c r="K747" s="832"/>
      <c r="L747" s="832"/>
      <c r="M747" s="832"/>
      <c r="N747" s="832"/>
      <c r="O747" s="832"/>
      <c r="P747" s="832"/>
      <c r="Q747" s="832"/>
      <c r="R747" s="832"/>
      <c r="S747" s="832"/>
      <c r="T747" s="832"/>
    </row>
    <row r="748" spans="1:20" x14ac:dyDescent="0.2">
      <c r="A748" s="832"/>
      <c r="B748" s="832"/>
      <c r="C748" s="832"/>
      <c r="D748" s="832"/>
      <c r="E748" s="832"/>
      <c r="F748" s="832"/>
      <c r="G748" s="832"/>
      <c r="H748" s="832"/>
      <c r="I748" s="832"/>
      <c r="J748" s="832"/>
      <c r="K748" s="832"/>
      <c r="L748" s="832"/>
      <c r="M748" s="832"/>
      <c r="N748" s="832"/>
      <c r="O748" s="832"/>
      <c r="P748" s="832"/>
      <c r="Q748" s="832"/>
      <c r="R748" s="832"/>
      <c r="S748" s="832"/>
      <c r="T748" s="832"/>
    </row>
    <row r="749" spans="1:20" x14ac:dyDescent="0.2">
      <c r="A749" s="832"/>
      <c r="B749" s="990" t="s">
        <v>1571</v>
      </c>
      <c r="C749" s="832"/>
      <c r="D749" s="832"/>
      <c r="E749" s="994">
        <f>I714</f>
        <v>0.93764920007077546</v>
      </c>
      <c r="F749" s="990" t="s">
        <v>58</v>
      </c>
      <c r="G749" s="832"/>
      <c r="H749" s="832"/>
      <c r="I749" s="832"/>
      <c r="J749" s="832"/>
      <c r="K749" s="832"/>
      <c r="L749" s="832"/>
      <c r="M749" s="832"/>
      <c r="N749" s="832"/>
      <c r="O749" s="832"/>
      <c r="P749" s="832"/>
      <c r="Q749" s="832"/>
      <c r="R749" s="832"/>
      <c r="S749" s="832"/>
      <c r="T749" s="832"/>
    </row>
    <row r="750" spans="1:20" x14ac:dyDescent="0.2">
      <c r="A750" s="832"/>
      <c r="B750" s="990" t="s">
        <v>1505</v>
      </c>
      <c r="C750" s="832"/>
      <c r="D750" s="832"/>
      <c r="E750" s="832"/>
      <c r="F750" s="999">
        <f>$G$54</f>
        <v>186300</v>
      </c>
      <c r="G750" s="990" t="s">
        <v>35</v>
      </c>
      <c r="H750" s="832"/>
      <c r="I750" s="832"/>
      <c r="J750" s="832"/>
      <c r="K750" s="832"/>
      <c r="L750" s="832"/>
      <c r="M750" s="832"/>
      <c r="N750" s="832"/>
      <c r="O750" s="832"/>
      <c r="P750" s="832"/>
      <c r="Q750" s="832"/>
      <c r="R750" s="832"/>
      <c r="S750" s="832"/>
      <c r="T750" s="832"/>
    </row>
    <row r="751" spans="1:20" x14ac:dyDescent="0.2">
      <c r="A751" s="832"/>
      <c r="B751" s="990" t="s">
        <v>1506</v>
      </c>
      <c r="C751" s="832"/>
      <c r="D751" s="832"/>
      <c r="E751" s="998">
        <f>$F$127</f>
        <v>0.89379715799027371</v>
      </c>
      <c r="F751" s="832"/>
      <c r="G751" s="832"/>
      <c r="H751" s="832"/>
      <c r="I751" s="832"/>
      <c r="J751" s="832"/>
      <c r="K751" s="832"/>
      <c r="L751" s="832"/>
      <c r="M751" s="832"/>
      <c r="N751" s="832"/>
      <c r="O751" s="832"/>
      <c r="P751" s="832"/>
      <c r="Q751" s="832"/>
      <c r="R751" s="832"/>
      <c r="S751" s="832"/>
      <c r="T751" s="832"/>
    </row>
    <row r="752" spans="1:20" x14ac:dyDescent="0.2">
      <c r="A752" s="832"/>
      <c r="B752" s="832"/>
      <c r="C752" s="832"/>
      <c r="D752" s="832"/>
      <c r="E752" s="832"/>
      <c r="F752" s="832"/>
      <c r="G752" s="832"/>
      <c r="H752" s="832"/>
      <c r="I752" s="832"/>
      <c r="J752" s="832"/>
      <c r="K752" s="832"/>
      <c r="L752" s="832"/>
      <c r="M752" s="832"/>
      <c r="N752" s="832"/>
      <c r="O752" s="832"/>
      <c r="P752" s="832"/>
      <c r="Q752" s="832"/>
      <c r="R752" s="832"/>
      <c r="S752" s="832"/>
      <c r="T752" s="832"/>
    </row>
    <row r="753" spans="1:20" x14ac:dyDescent="0.2">
      <c r="A753" s="832"/>
      <c r="B753" s="990" t="s">
        <v>1507</v>
      </c>
      <c r="C753" s="832"/>
      <c r="D753" s="832"/>
      <c r="E753" s="832"/>
      <c r="F753" s="832"/>
      <c r="G753" s="832"/>
      <c r="H753" s="832"/>
      <c r="I753" s="832"/>
      <c r="J753" s="832"/>
      <c r="K753" s="832"/>
      <c r="L753" s="832"/>
      <c r="M753" s="832"/>
      <c r="N753" s="832"/>
      <c r="O753" s="832"/>
      <c r="P753" s="832"/>
      <c r="Q753" s="832"/>
      <c r="R753" s="832"/>
      <c r="S753" s="832"/>
      <c r="T753" s="832"/>
    </row>
    <row r="754" spans="1:20" x14ac:dyDescent="0.2">
      <c r="A754" s="832"/>
      <c r="B754" s="990" t="s">
        <v>1572</v>
      </c>
      <c r="C754" s="832"/>
      <c r="D754" s="997">
        <f>H739</f>
        <v>2450</v>
      </c>
      <c r="E754" s="990" t="s">
        <v>1510</v>
      </c>
      <c r="F754" s="997">
        <f>$G$62</f>
        <v>75</v>
      </c>
      <c r="G754" s="990" t="s">
        <v>1485</v>
      </c>
      <c r="H754" s="997">
        <f>D754-F754</f>
        <v>2375</v>
      </c>
      <c r="I754" s="990" t="s">
        <v>43</v>
      </c>
      <c r="J754" s="832"/>
      <c r="K754" s="832"/>
      <c r="L754" s="832"/>
      <c r="M754" s="832"/>
      <c r="N754" s="832"/>
      <c r="O754" s="832"/>
      <c r="P754" s="832"/>
      <c r="Q754" s="832"/>
      <c r="R754" s="832"/>
      <c r="S754" s="832"/>
      <c r="T754" s="832"/>
    </row>
    <row r="755" spans="1:20" x14ac:dyDescent="0.2">
      <c r="A755" s="832"/>
      <c r="B755" s="832"/>
      <c r="C755" s="832"/>
      <c r="D755" s="832"/>
      <c r="E755" s="832"/>
      <c r="F755" s="832"/>
      <c r="G755" s="832"/>
      <c r="H755" s="832"/>
      <c r="I755" s="832"/>
      <c r="J755" s="832"/>
      <c r="K755" s="832"/>
      <c r="L755" s="832"/>
      <c r="M755" s="832"/>
      <c r="N755" s="832"/>
      <c r="O755" s="832"/>
      <c r="P755" s="832"/>
      <c r="Q755" s="832"/>
      <c r="R755" s="832"/>
      <c r="S755" s="832"/>
      <c r="T755" s="832"/>
    </row>
    <row r="756" spans="1:20" x14ac:dyDescent="0.2">
      <c r="A756" s="832"/>
      <c r="B756" s="832"/>
      <c r="C756" s="990" t="s">
        <v>1832</v>
      </c>
      <c r="D756" s="832"/>
      <c r="E756" s="832"/>
      <c r="F756" s="832"/>
      <c r="G756" s="832"/>
      <c r="H756" s="997">
        <f>E749/F750/E751/H754*1000000000</f>
        <v>2.3709639419349777</v>
      </c>
      <c r="I756" s="990" t="s">
        <v>78</v>
      </c>
      <c r="J756" s="832"/>
      <c r="K756" s="832"/>
      <c r="L756" s="832"/>
      <c r="M756" s="832"/>
      <c r="N756" s="832"/>
      <c r="O756" s="832"/>
      <c r="P756" s="832"/>
      <c r="Q756" s="832"/>
      <c r="R756" s="832"/>
      <c r="S756" s="832"/>
      <c r="T756" s="832"/>
    </row>
    <row r="757" spans="1:20" x14ac:dyDescent="0.2">
      <c r="A757" s="832"/>
      <c r="B757" s="832"/>
      <c r="C757" s="832"/>
      <c r="D757" s="832"/>
      <c r="E757" s="832"/>
      <c r="F757" s="832"/>
      <c r="G757" s="832"/>
      <c r="H757" s="832"/>
      <c r="I757" s="832"/>
      <c r="J757" s="832"/>
      <c r="K757" s="832"/>
      <c r="L757" s="832"/>
      <c r="M757" s="832"/>
      <c r="N757" s="832"/>
      <c r="O757" s="832"/>
      <c r="P757" s="832"/>
      <c r="Q757" s="832"/>
      <c r="R757" s="832"/>
      <c r="S757" s="832"/>
      <c r="T757" s="832"/>
    </row>
    <row r="758" spans="1:20" x14ac:dyDescent="0.2">
      <c r="A758" s="832"/>
      <c r="B758" s="990" t="s">
        <v>2206</v>
      </c>
      <c r="C758" s="832"/>
      <c r="D758" s="832"/>
      <c r="E758" s="832"/>
      <c r="F758" s="832"/>
      <c r="G758" s="832"/>
      <c r="H758" s="832"/>
      <c r="I758" s="832"/>
      <c r="J758" s="832"/>
      <c r="K758" s="832"/>
      <c r="L758" s="832"/>
      <c r="M758" s="832"/>
      <c r="N758" s="832"/>
      <c r="O758" s="832"/>
      <c r="P758" s="832"/>
      <c r="Q758" s="832"/>
      <c r="R758" s="832"/>
      <c r="S758" s="832"/>
      <c r="T758" s="832"/>
    </row>
    <row r="759" spans="1:20" x14ac:dyDescent="0.2">
      <c r="A759" s="832"/>
      <c r="B759" s="990"/>
      <c r="C759" s="832"/>
      <c r="D759" s="832"/>
      <c r="E759" s="832"/>
      <c r="F759" s="832"/>
      <c r="G759" s="832"/>
      <c r="H759" s="832"/>
      <c r="I759" s="832"/>
      <c r="J759" s="832"/>
      <c r="K759" s="832"/>
      <c r="L759" s="832"/>
      <c r="M759" s="832"/>
      <c r="N759" s="832"/>
      <c r="O759" s="832"/>
      <c r="P759" s="832"/>
      <c r="Q759" s="832"/>
      <c r="R759" s="832"/>
      <c r="S759" s="832"/>
      <c r="T759" s="832"/>
    </row>
    <row r="760" spans="1:20" x14ac:dyDescent="0.2">
      <c r="A760" s="832"/>
      <c r="B760" s="990" t="s">
        <v>1596</v>
      </c>
      <c r="C760" s="832"/>
      <c r="D760" s="832"/>
      <c r="E760" s="832"/>
      <c r="F760" s="832"/>
      <c r="G760" s="997">
        <f>C685</f>
        <v>12</v>
      </c>
      <c r="H760" s="990" t="s">
        <v>1574</v>
      </c>
      <c r="I760" s="832"/>
      <c r="J760" s="832"/>
      <c r="K760" s="832"/>
      <c r="L760" s="832"/>
      <c r="M760" s="832"/>
      <c r="N760" s="832"/>
      <c r="O760" s="832"/>
      <c r="P760" s="832"/>
      <c r="Q760" s="832"/>
      <c r="R760" s="832"/>
      <c r="S760" s="832"/>
      <c r="T760" s="832"/>
    </row>
    <row r="761" spans="1:20" x14ac:dyDescent="0.2">
      <c r="A761" s="832"/>
      <c r="B761" s="990" t="s">
        <v>1576</v>
      </c>
      <c r="C761" s="832"/>
      <c r="D761" s="832"/>
      <c r="E761" s="832"/>
      <c r="F761" s="832"/>
      <c r="G761" s="832"/>
      <c r="H761" s="832"/>
      <c r="I761" s="997">
        <f>PI()*G760^2/2</f>
        <v>226.1946710584651</v>
      </c>
      <c r="J761" s="990" t="s">
        <v>78</v>
      </c>
      <c r="K761" s="832"/>
      <c r="L761" s="832"/>
      <c r="M761" s="832"/>
      <c r="N761" s="832"/>
      <c r="O761" s="832"/>
      <c r="P761" s="832"/>
      <c r="Q761" s="832"/>
      <c r="R761" s="832"/>
      <c r="S761" s="832"/>
      <c r="T761" s="832"/>
    </row>
    <row r="762" spans="1:20" x14ac:dyDescent="0.2">
      <c r="A762" s="832"/>
      <c r="B762" s="832"/>
      <c r="C762" s="832"/>
      <c r="D762" s="832"/>
      <c r="E762" s="832"/>
      <c r="F762" s="832"/>
      <c r="G762" s="832"/>
      <c r="H762" s="832"/>
      <c r="I762" s="832"/>
      <c r="J762" s="832"/>
      <c r="K762" s="832"/>
      <c r="L762" s="990" t="s">
        <v>66</v>
      </c>
      <c r="M762" s="832"/>
      <c r="N762" s="997">
        <v>12</v>
      </c>
      <c r="O762" s="997">
        <v>16</v>
      </c>
      <c r="P762" s="997">
        <v>20</v>
      </c>
      <c r="Q762" s="997">
        <v>22</v>
      </c>
      <c r="R762" s="997">
        <v>25</v>
      </c>
      <c r="S762" s="832"/>
      <c r="T762" s="832"/>
    </row>
    <row r="763" spans="1:20" x14ac:dyDescent="0.2">
      <c r="A763" s="832"/>
      <c r="B763" s="990" t="s">
        <v>1577</v>
      </c>
      <c r="C763" s="832"/>
      <c r="D763" s="832"/>
      <c r="E763" s="997">
        <f>H756</f>
        <v>2.3709639419349777</v>
      </c>
      <c r="F763" s="990" t="s">
        <v>111</v>
      </c>
      <c r="G763" s="997">
        <f>I761</f>
        <v>226.1946710584651</v>
      </c>
      <c r="H763" s="990" t="s">
        <v>55</v>
      </c>
      <c r="I763" s="997">
        <f>E763-G763</f>
        <v>-223.82370711653013</v>
      </c>
      <c r="J763" s="990" t="s">
        <v>78</v>
      </c>
      <c r="K763" s="832"/>
      <c r="L763" s="990" t="s">
        <v>1578</v>
      </c>
      <c r="M763" s="832"/>
      <c r="N763" s="997">
        <f>IF(I763&lt;=0,0,TRUNC(4*I763/PI()/N762^2)+1)</f>
        <v>0</v>
      </c>
      <c r="O763" s="997">
        <f>IF(I763&lt;=0,0,TRUNC(4*I763/PI()/O762^2)+1)</f>
        <v>0</v>
      </c>
      <c r="P763" s="997">
        <f>IF(I763&lt;=0,0,TRUNC(4*I763/PI()/P762^2)+1)</f>
        <v>0</v>
      </c>
      <c r="Q763" s="997">
        <f>IF(I763&lt;=0,0,TRUNC(4*I763/PI()/Q762^2)+1)</f>
        <v>0</v>
      </c>
      <c r="R763" s="997">
        <f>IF(I763&lt;=0,0,TRUNC(4*I763/PI()/R762^2)+1)</f>
        <v>0</v>
      </c>
      <c r="S763" s="832"/>
      <c r="T763" s="832"/>
    </row>
    <row r="764" spans="1:20" x14ac:dyDescent="0.2">
      <c r="A764" s="832"/>
      <c r="B764" s="832"/>
      <c r="C764" s="832"/>
      <c r="D764" s="832"/>
      <c r="E764" s="832"/>
      <c r="F764" s="832"/>
      <c r="G764" s="832"/>
      <c r="H764" s="832"/>
      <c r="I764" s="832"/>
      <c r="J764" s="832"/>
      <c r="K764" s="832"/>
      <c r="L764" s="990" t="s">
        <v>1579</v>
      </c>
      <c r="M764" s="832"/>
      <c r="N764" s="997">
        <f>N763*N762+(N763+1)*25</f>
        <v>25</v>
      </c>
      <c r="O764" s="997">
        <f>O763*O762+(O763+1)*25</f>
        <v>25</v>
      </c>
      <c r="P764" s="997">
        <f>P763*P762+(P763+1)*25</f>
        <v>25</v>
      </c>
      <c r="Q764" s="997">
        <f>Q763*Q762+(Q763+1)*25</f>
        <v>25</v>
      </c>
      <c r="R764" s="997">
        <f>R763*R762+(R763+1)*25</f>
        <v>25</v>
      </c>
      <c r="S764" s="832"/>
      <c r="T764" s="832"/>
    </row>
    <row r="765" spans="1:20" x14ac:dyDescent="0.2">
      <c r="A765" s="832"/>
      <c r="B765" s="990" t="s">
        <v>2207</v>
      </c>
      <c r="C765" s="832"/>
      <c r="D765" s="832"/>
      <c r="E765" s="832"/>
      <c r="F765" s="832"/>
      <c r="G765" s="832"/>
      <c r="H765" s="832"/>
      <c r="I765" s="832"/>
      <c r="J765" s="832"/>
      <c r="K765" s="832"/>
      <c r="L765" s="990" t="s">
        <v>68</v>
      </c>
      <c r="M765" s="832"/>
      <c r="N765" s="997">
        <f>N763*PI()*N762^2/4</f>
        <v>0</v>
      </c>
      <c r="O765" s="997">
        <f>O763*PI()*O762^2/4</f>
        <v>0</v>
      </c>
      <c r="P765" s="997">
        <f>P763*PI()*P762^2/4</f>
        <v>0</v>
      </c>
      <c r="Q765" s="997">
        <f>Q763*PI()*Q762^2/4</f>
        <v>0</v>
      </c>
      <c r="R765" s="997">
        <f>R763*PI()*R762^2/4</f>
        <v>0</v>
      </c>
      <c r="S765" s="832"/>
      <c r="T765" s="832"/>
    </row>
    <row r="766" spans="1:20" x14ac:dyDescent="0.2">
      <c r="A766" s="832"/>
      <c r="B766" s="990" t="s">
        <v>2211</v>
      </c>
      <c r="C766" s="832"/>
      <c r="D766" s="832"/>
      <c r="E766" s="832"/>
      <c r="F766" s="832"/>
      <c r="G766" s="832"/>
      <c r="H766" s="832"/>
      <c r="I766" s="832"/>
      <c r="J766" s="832"/>
      <c r="K766" s="832"/>
      <c r="L766" s="990" t="s">
        <v>69</v>
      </c>
      <c r="M766" s="832"/>
      <c r="N766" s="997">
        <f>IF(N764&gt;I769,100000000,N765-I763)</f>
        <v>100000000</v>
      </c>
      <c r="O766" s="997">
        <f>IF(O764&gt;I769,100000000,O765-I763)</f>
        <v>100000000</v>
      </c>
      <c r="P766" s="997">
        <f>IF(P764&gt;I769,100000000,P765-I763)</f>
        <v>100000000</v>
      </c>
      <c r="Q766" s="997">
        <f>IF(Q764&gt;I769,100000000,Q765-I763)</f>
        <v>100000000</v>
      </c>
      <c r="R766" s="997">
        <f>IF(R764&gt;I769,100000000,R765-I763)</f>
        <v>100000000</v>
      </c>
      <c r="S766" s="832"/>
      <c r="T766" s="832"/>
    </row>
    <row r="767" spans="1:20" x14ac:dyDescent="0.2">
      <c r="A767" s="832"/>
      <c r="B767" s="990"/>
      <c r="C767" s="832"/>
      <c r="D767" s="832"/>
      <c r="E767" s="832"/>
      <c r="F767" s="832"/>
      <c r="G767" s="832"/>
      <c r="H767" s="832"/>
      <c r="I767" s="832"/>
      <c r="J767" s="832"/>
      <c r="K767" s="832"/>
      <c r="L767" s="990" t="s">
        <v>70</v>
      </c>
      <c r="M767" s="832"/>
      <c r="N767" s="997">
        <f>IF(P767=12,N763,IF(P767=16,O763,IF(P767=20,P763,IF(P767=22,Q763,IF(P767=25,R763,100000000)))))</f>
        <v>100000000</v>
      </c>
      <c r="O767" s="990" t="s">
        <v>1580</v>
      </c>
      <c r="P767" s="997">
        <f>IF(MIN(N764:R764)&gt;I769,100000000,IF(MIN(N766:R766)=N766,12,IF(MIN(N766:R766)=O766,16,IF(MIN(N766:R766)=P766,20,IF(MIN(N766:R766)=Q766,22,25)))))</f>
        <v>100000000</v>
      </c>
      <c r="Q767" s="990" t="s">
        <v>1581</v>
      </c>
      <c r="R767" s="832"/>
      <c r="S767" s="832"/>
      <c r="T767" s="832"/>
    </row>
    <row r="768" spans="1:20" x14ac:dyDescent="0.2">
      <c r="A768" s="832"/>
      <c r="B768" s="990" t="s">
        <v>1582</v>
      </c>
      <c r="C768" s="832"/>
      <c r="D768" s="832"/>
      <c r="E768" s="832"/>
      <c r="F768" s="832"/>
      <c r="G768" s="832"/>
      <c r="H768" s="832"/>
      <c r="I768" s="832"/>
      <c r="J768" s="832"/>
      <c r="K768" s="832"/>
      <c r="L768" s="832"/>
      <c r="M768" s="832"/>
      <c r="N768" s="832"/>
      <c r="O768" s="832"/>
      <c r="P768" s="832"/>
      <c r="Q768" s="832"/>
      <c r="R768" s="832"/>
      <c r="S768" s="832"/>
      <c r="T768" s="832"/>
    </row>
    <row r="769" spans="1:20" x14ac:dyDescent="0.2">
      <c r="A769" s="832"/>
      <c r="B769" s="832"/>
      <c r="C769" s="832"/>
      <c r="D769" s="990" t="s">
        <v>867</v>
      </c>
      <c r="E769" s="997">
        <f>E39</f>
        <v>0</v>
      </c>
      <c r="F769" s="990" t="s">
        <v>111</v>
      </c>
      <c r="G769" s="997">
        <f>2*G62+G760</f>
        <v>162</v>
      </c>
      <c r="H769" s="990" t="s">
        <v>55</v>
      </c>
      <c r="I769" s="997">
        <f>E769-G769</f>
        <v>-162</v>
      </c>
      <c r="J769" s="990" t="s">
        <v>43</v>
      </c>
      <c r="K769" s="832"/>
      <c r="L769" s="832"/>
      <c r="M769" s="832"/>
      <c r="N769" s="832"/>
      <c r="O769" s="832"/>
      <c r="P769" s="832"/>
      <c r="Q769" s="832"/>
      <c r="R769" s="832"/>
      <c r="S769" s="832"/>
      <c r="T769" s="832"/>
    </row>
    <row r="770" spans="1:20" ht="13.5" x14ac:dyDescent="0.25">
      <c r="A770" s="832"/>
      <c r="B770" s="832"/>
      <c r="C770" s="990" t="s">
        <v>79</v>
      </c>
      <c r="D770" s="997">
        <v>4</v>
      </c>
      <c r="E770" s="990" t="s">
        <v>1580</v>
      </c>
      <c r="F770" s="997">
        <f>IF(H1524=0,P767,I1524)</f>
        <v>100000000</v>
      </c>
      <c r="G770" s="990" t="s">
        <v>1583</v>
      </c>
      <c r="H770" s="832"/>
      <c r="I770" s="1399">
        <f>D770*PI()*F770^2/4</f>
        <v>3.1415926535897932E+16</v>
      </c>
      <c r="J770" s="990" t="s">
        <v>81</v>
      </c>
      <c r="K770" s="832"/>
      <c r="L770" s="832"/>
      <c r="M770" s="832"/>
      <c r="N770" s="832"/>
      <c r="O770" s="832"/>
      <c r="P770" s="832"/>
      <c r="Q770" s="832"/>
      <c r="R770" s="832"/>
      <c r="S770" s="832"/>
      <c r="T770" s="832"/>
    </row>
    <row r="771" spans="1:20" x14ac:dyDescent="0.2">
      <c r="A771" s="990" t="s">
        <v>986</v>
      </c>
      <c r="B771" s="832"/>
      <c r="C771" s="832"/>
      <c r="D771" s="832"/>
      <c r="E771" s="832"/>
      <c r="F771" s="832"/>
      <c r="G771" s="832"/>
      <c r="H771" s="832"/>
      <c r="I771" s="832"/>
      <c r="J771" s="832"/>
      <c r="K771" s="832"/>
      <c r="L771" s="832"/>
      <c r="M771" s="832"/>
      <c r="N771" s="832"/>
      <c r="O771" s="832"/>
      <c r="P771" s="832"/>
      <c r="Q771" s="832"/>
      <c r="R771" s="832"/>
      <c r="S771" s="832"/>
      <c r="T771" s="832"/>
    </row>
    <row r="772" spans="1:20" x14ac:dyDescent="0.2">
      <c r="A772" s="990" t="s">
        <v>950</v>
      </c>
      <c r="B772" s="832"/>
      <c r="C772" s="832"/>
      <c r="D772" s="832"/>
      <c r="E772" s="832"/>
      <c r="F772" s="832"/>
      <c r="G772" s="832"/>
      <c r="H772" s="832"/>
      <c r="I772" s="832"/>
      <c r="J772" s="832"/>
      <c r="K772" s="832"/>
      <c r="L772" s="832"/>
      <c r="M772" s="832"/>
      <c r="N772" s="832"/>
      <c r="O772" s="832"/>
      <c r="P772" s="832"/>
      <c r="Q772" s="832"/>
      <c r="R772" s="832"/>
      <c r="S772" s="832"/>
      <c r="T772" s="832"/>
    </row>
    <row r="773" spans="1:20" x14ac:dyDescent="0.2">
      <c r="A773" s="994" t="str">
        <f>IF(E42=1,"4.4","4.5")</f>
        <v>4.4</v>
      </c>
      <c r="B773" s="990" t="s">
        <v>1597</v>
      </c>
      <c r="C773" s="832"/>
      <c r="D773" s="832"/>
      <c r="E773" s="832"/>
      <c r="F773" s="832"/>
      <c r="G773" s="832"/>
      <c r="H773" s="832"/>
      <c r="I773" s="832"/>
      <c r="J773" s="832"/>
      <c r="K773" s="832"/>
      <c r="L773" s="832"/>
      <c r="M773" s="832"/>
      <c r="N773" s="832"/>
      <c r="O773" s="832"/>
      <c r="P773" s="832"/>
      <c r="Q773" s="832"/>
      <c r="R773" s="832"/>
      <c r="S773" s="832"/>
      <c r="T773" s="832"/>
    </row>
    <row r="774" spans="1:20" x14ac:dyDescent="0.2">
      <c r="A774" s="832"/>
      <c r="B774" s="832"/>
      <c r="C774" s="832"/>
      <c r="D774" s="832"/>
      <c r="E774" s="832"/>
      <c r="F774" s="832"/>
      <c r="G774" s="832"/>
      <c r="H774" s="832"/>
      <c r="I774" s="832"/>
      <c r="J774" s="832"/>
      <c r="K774" s="832"/>
      <c r="L774" s="832"/>
      <c r="M774" s="832"/>
      <c r="N774" s="832"/>
      <c r="O774" s="832"/>
      <c r="P774" s="832"/>
      <c r="Q774" s="832"/>
      <c r="R774" s="832"/>
      <c r="S774" s="832"/>
      <c r="T774" s="832"/>
    </row>
    <row r="775" spans="1:20" x14ac:dyDescent="0.2">
      <c r="A775" s="832"/>
      <c r="B775" s="990" t="s">
        <v>2212</v>
      </c>
      <c r="C775" s="832"/>
      <c r="D775" s="832"/>
      <c r="E775" s="832"/>
      <c r="F775" s="832"/>
      <c r="G775" s="832"/>
      <c r="H775" s="832"/>
      <c r="I775" s="832"/>
      <c r="J775" s="832"/>
      <c r="K775" s="832"/>
      <c r="L775" s="832"/>
      <c r="M775" s="832"/>
      <c r="N775" s="832"/>
      <c r="O775" s="832"/>
      <c r="P775" s="832"/>
      <c r="Q775" s="832"/>
      <c r="R775" s="832"/>
      <c r="S775" s="832"/>
      <c r="T775" s="832"/>
    </row>
    <row r="776" spans="1:20" x14ac:dyDescent="0.2">
      <c r="A776" s="832"/>
      <c r="B776" s="990" t="s">
        <v>2213</v>
      </c>
      <c r="C776" s="832"/>
      <c r="D776" s="832"/>
      <c r="E776" s="832"/>
      <c r="F776" s="832"/>
      <c r="G776" s="832"/>
      <c r="H776" s="832"/>
      <c r="I776" s="832"/>
      <c r="J776" s="832"/>
      <c r="K776" s="832"/>
      <c r="L776" s="832"/>
      <c r="M776" s="832"/>
      <c r="N776" s="832"/>
      <c r="O776" s="832"/>
      <c r="P776" s="832"/>
      <c r="Q776" s="832"/>
      <c r="R776" s="832"/>
      <c r="S776" s="832"/>
      <c r="T776" s="832"/>
    </row>
    <row r="777" spans="1:20" x14ac:dyDescent="0.2">
      <c r="A777" s="832"/>
      <c r="B777" s="832"/>
      <c r="C777" s="832"/>
      <c r="D777" s="832"/>
      <c r="E777" s="832"/>
      <c r="F777" s="832"/>
      <c r="G777" s="832"/>
      <c r="H777" s="832"/>
      <c r="I777" s="832"/>
      <c r="J777" s="832"/>
      <c r="K777" s="832"/>
      <c r="L777" s="832"/>
      <c r="M777" s="832"/>
      <c r="N777" s="832"/>
      <c r="O777" s="832"/>
      <c r="P777" s="832"/>
      <c r="Q777" s="832"/>
      <c r="R777" s="832"/>
      <c r="S777" s="832"/>
      <c r="T777" s="832"/>
    </row>
    <row r="778" spans="1:20" x14ac:dyDescent="0.2">
      <c r="A778" s="990" t="s">
        <v>950</v>
      </c>
      <c r="B778" s="832"/>
      <c r="C778" s="832"/>
      <c r="D778" s="832"/>
      <c r="E778" s="832"/>
      <c r="F778" s="832"/>
      <c r="G778" s="832"/>
      <c r="H778" s="832"/>
      <c r="I778" s="832"/>
      <c r="J778" s="832"/>
      <c r="K778" s="832"/>
      <c r="L778" s="832"/>
      <c r="M778" s="832"/>
      <c r="N778" s="832"/>
      <c r="O778" s="832"/>
      <c r="P778" s="832"/>
      <c r="Q778" s="832"/>
      <c r="R778" s="832"/>
      <c r="S778" s="832"/>
      <c r="T778" s="832"/>
    </row>
    <row r="779" spans="1:20" x14ac:dyDescent="0.2">
      <c r="A779" s="990" t="s">
        <v>54</v>
      </c>
      <c r="B779" s="832"/>
      <c r="C779" s="832"/>
      <c r="D779" s="832"/>
      <c r="E779" s="832"/>
      <c r="F779" s="832"/>
      <c r="G779" s="832"/>
      <c r="H779" s="832"/>
      <c r="I779" s="832"/>
      <c r="J779" s="832"/>
      <c r="K779" s="832"/>
      <c r="L779" s="832"/>
      <c r="M779" s="832"/>
      <c r="N779" s="832"/>
      <c r="O779" s="832"/>
      <c r="P779" s="832"/>
      <c r="Q779" s="832"/>
      <c r="R779" s="832"/>
      <c r="S779" s="832"/>
      <c r="T779" s="832"/>
    </row>
    <row r="780" spans="1:20" x14ac:dyDescent="0.2">
      <c r="A780" s="1000" t="s">
        <v>1598</v>
      </c>
      <c r="B780" s="832"/>
      <c r="C780" s="832"/>
      <c r="D780" s="832"/>
      <c r="E780" s="832"/>
      <c r="F780" s="832"/>
      <c r="G780" s="832"/>
      <c r="H780" s="832"/>
      <c r="I780" s="832"/>
      <c r="J780" s="832"/>
      <c r="K780" s="832"/>
      <c r="L780" s="832"/>
      <c r="M780" s="832"/>
      <c r="N780" s="832"/>
      <c r="O780" s="832"/>
      <c r="P780" s="832"/>
      <c r="Q780" s="832"/>
      <c r="R780" s="832"/>
      <c r="S780" s="832"/>
      <c r="T780" s="832"/>
    </row>
    <row r="781" spans="1:20" x14ac:dyDescent="0.2">
      <c r="A781" s="832"/>
      <c r="B781" s="990" t="s">
        <v>1558</v>
      </c>
      <c r="C781" s="832"/>
      <c r="D781" s="832"/>
      <c r="E781" s="832"/>
      <c r="F781" s="832"/>
      <c r="G781" s="832"/>
      <c r="H781" s="832"/>
      <c r="I781" s="832"/>
      <c r="J781" s="832"/>
      <c r="K781" s="832"/>
      <c r="L781" s="832"/>
      <c r="M781" s="832"/>
      <c r="N781" s="832"/>
      <c r="O781" s="832"/>
      <c r="P781" s="832"/>
      <c r="Q781" s="832"/>
      <c r="R781" s="832"/>
      <c r="S781" s="832"/>
      <c r="T781" s="832"/>
    </row>
    <row r="782" spans="1:20" x14ac:dyDescent="0.2">
      <c r="A782" s="832"/>
      <c r="B782" s="990" t="s">
        <v>1559</v>
      </c>
      <c r="C782" s="832"/>
      <c r="D782" s="832"/>
      <c r="E782" s="832"/>
      <c r="F782" s="832"/>
      <c r="G782" s="832"/>
      <c r="H782" s="832"/>
      <c r="I782" s="832"/>
      <c r="J782" s="832"/>
      <c r="K782" s="832"/>
      <c r="L782" s="832"/>
      <c r="M782" s="832"/>
      <c r="N782" s="832"/>
      <c r="O782" s="832"/>
      <c r="P782" s="832"/>
      <c r="Q782" s="832"/>
      <c r="R782" s="832"/>
      <c r="S782" s="832"/>
      <c r="T782" s="832"/>
    </row>
    <row r="783" spans="1:20" x14ac:dyDescent="0.2">
      <c r="A783" s="832"/>
      <c r="B783" s="832"/>
      <c r="C783" s="832"/>
      <c r="D783" s="832"/>
      <c r="E783" s="832"/>
      <c r="F783" s="832"/>
      <c r="G783" s="832"/>
      <c r="H783" s="832"/>
      <c r="I783" s="832"/>
      <c r="J783" s="832"/>
      <c r="K783" s="832"/>
      <c r="L783" s="832"/>
      <c r="M783" s="832"/>
      <c r="N783" s="832"/>
      <c r="O783" s="832"/>
      <c r="P783" s="832"/>
      <c r="Q783" s="832"/>
      <c r="R783" s="832"/>
      <c r="S783" s="832"/>
      <c r="T783" s="832"/>
    </row>
    <row r="784" spans="1:20" x14ac:dyDescent="0.2">
      <c r="A784" s="832"/>
      <c r="B784" s="990" t="s">
        <v>1560</v>
      </c>
      <c r="C784" s="832"/>
      <c r="D784" s="832"/>
      <c r="E784" s="832"/>
      <c r="F784" s="832"/>
      <c r="G784" s="832"/>
      <c r="H784" s="832"/>
      <c r="I784" s="832"/>
      <c r="J784" s="832"/>
      <c r="K784" s="832"/>
      <c r="L784" s="832"/>
      <c r="M784" s="832"/>
      <c r="N784" s="832"/>
      <c r="O784" s="832"/>
      <c r="P784" s="832"/>
      <c r="Q784" s="832"/>
      <c r="R784" s="832"/>
      <c r="S784" s="832"/>
      <c r="T784" s="832"/>
    </row>
    <row r="785" spans="1:20" x14ac:dyDescent="0.2">
      <c r="A785" s="832"/>
      <c r="B785" s="832"/>
      <c r="C785" s="990" t="s">
        <v>1448</v>
      </c>
      <c r="D785" s="994">
        <f>$E$24-$E$25</f>
        <v>0.75</v>
      </c>
      <c r="E785" s="990" t="s">
        <v>24</v>
      </c>
      <c r="F785" s="832"/>
      <c r="G785" s="832"/>
      <c r="H785" s="832"/>
      <c r="I785" s="832"/>
      <c r="J785" s="832"/>
      <c r="K785" s="832"/>
      <c r="L785" s="832"/>
      <c r="M785" s="832"/>
      <c r="N785" s="832"/>
      <c r="O785" s="832"/>
      <c r="P785" s="832"/>
      <c r="Q785" s="832"/>
      <c r="R785" s="832"/>
      <c r="S785" s="832"/>
      <c r="T785" s="832"/>
    </row>
    <row r="786" spans="1:20" x14ac:dyDescent="0.2">
      <c r="A786" s="832"/>
      <c r="B786" s="832"/>
      <c r="C786" s="832"/>
      <c r="D786" s="832"/>
      <c r="E786" s="832"/>
      <c r="F786" s="832"/>
      <c r="G786" s="832"/>
      <c r="H786" s="832"/>
      <c r="I786" s="832"/>
      <c r="J786" s="832"/>
      <c r="K786" s="832"/>
      <c r="L786" s="832"/>
      <c r="M786" s="832"/>
      <c r="N786" s="832"/>
      <c r="O786" s="832"/>
      <c r="P786" s="832"/>
      <c r="Q786" s="832"/>
      <c r="R786" s="832"/>
      <c r="S786" s="832"/>
      <c r="T786" s="832"/>
    </row>
    <row r="787" spans="1:20" x14ac:dyDescent="0.2">
      <c r="A787" s="832"/>
      <c r="B787" s="990" t="s">
        <v>1029</v>
      </c>
      <c r="C787" s="832"/>
      <c r="D787" s="832"/>
      <c r="E787" s="832"/>
      <c r="F787" s="832"/>
      <c r="G787" s="832"/>
      <c r="H787" s="832"/>
      <c r="I787" s="832"/>
      <c r="J787" s="832"/>
      <c r="K787" s="832"/>
      <c r="L787" s="832"/>
      <c r="M787" s="832"/>
      <c r="N787" s="832"/>
      <c r="O787" s="832"/>
      <c r="P787" s="832"/>
      <c r="Q787" s="832"/>
      <c r="R787" s="832"/>
      <c r="S787" s="832"/>
      <c r="T787" s="832"/>
    </row>
    <row r="788" spans="1:20" x14ac:dyDescent="0.2">
      <c r="A788" s="832"/>
      <c r="B788" s="990" t="s">
        <v>1030</v>
      </c>
      <c r="C788" s="994" t="str">
        <f>IF(E17="H10"," For H10 Loading, the Height of Soil Surcharge is 0.60 m.",IF(E17="H20"," For H20 Loading, the Height of Soil Surcharge is 0.90 m."," The Height of Soil Surcharge is zero for no Live Vehicle Loading."))</f>
        <v xml:space="preserve"> For H20 Loading, the Height of Soil Surcharge is 0.90 m.</v>
      </c>
      <c r="D788" s="832"/>
      <c r="E788" s="832"/>
      <c r="F788" s="832"/>
      <c r="G788" s="832"/>
      <c r="H788" s="832"/>
      <c r="I788" s="832"/>
      <c r="J788" s="832"/>
      <c r="K788" s="832"/>
      <c r="L788" s="832"/>
      <c r="M788" s="832"/>
      <c r="N788" s="832"/>
      <c r="O788" s="832"/>
      <c r="P788" s="832"/>
      <c r="Q788" s="832"/>
      <c r="R788" s="832"/>
      <c r="S788" s="832"/>
      <c r="T788" s="832"/>
    </row>
    <row r="789" spans="1:20" x14ac:dyDescent="0.2">
      <c r="A789" s="832"/>
      <c r="B789" s="832"/>
      <c r="C789" s="832"/>
      <c r="D789" s="832"/>
      <c r="E789" s="832"/>
      <c r="F789" s="832"/>
      <c r="G789" s="832"/>
      <c r="H789" s="832"/>
      <c r="I789" s="832"/>
      <c r="J789" s="832"/>
      <c r="K789" s="832"/>
      <c r="L789" s="832"/>
      <c r="M789" s="832"/>
      <c r="N789" s="832"/>
      <c r="O789" s="832"/>
      <c r="P789" s="832"/>
      <c r="Q789" s="832"/>
      <c r="R789" s="832"/>
      <c r="S789" s="832"/>
      <c r="T789" s="832"/>
    </row>
    <row r="790" spans="1:20" x14ac:dyDescent="0.2">
      <c r="A790" s="832"/>
      <c r="B790" s="990" t="s">
        <v>1561</v>
      </c>
      <c r="C790" s="994">
        <f>$G$22</f>
        <v>0.58879070648086362</v>
      </c>
      <c r="D790" s="990" t="s">
        <v>1512</v>
      </c>
      <c r="E790" s="994">
        <f>IF($E$17="H10",D785+0.6,IF($E$17="H20",D785+0.9,D785))</f>
        <v>1.65</v>
      </c>
      <c r="F790" s="990" t="s">
        <v>1512</v>
      </c>
      <c r="G790" s="994">
        <f>$E$11</f>
        <v>19.600000000000001</v>
      </c>
      <c r="H790" s="990" t="s">
        <v>55</v>
      </c>
      <c r="I790" s="994">
        <f>C790*E790*G790</f>
        <v>19.041491447591131</v>
      </c>
      <c r="J790" s="990" t="s">
        <v>35</v>
      </c>
      <c r="K790" s="832"/>
      <c r="L790" s="832"/>
      <c r="M790" s="832"/>
      <c r="N790" s="832"/>
      <c r="O790" s="832"/>
      <c r="P790" s="832"/>
      <c r="Q790" s="832"/>
      <c r="R790" s="832"/>
      <c r="S790" s="832"/>
      <c r="T790" s="832"/>
    </row>
    <row r="791" spans="1:20" x14ac:dyDescent="0.2">
      <c r="A791" s="832"/>
      <c r="B791" s="832"/>
      <c r="C791" s="832"/>
      <c r="D791" s="832"/>
      <c r="E791" s="832"/>
      <c r="F791" s="832"/>
      <c r="G791" s="832"/>
      <c r="H791" s="832"/>
      <c r="I791" s="832"/>
      <c r="J791" s="832"/>
      <c r="K791" s="832"/>
      <c r="L791" s="832"/>
      <c r="M791" s="832"/>
      <c r="N791" s="832"/>
      <c r="O791" s="832"/>
      <c r="P791" s="832"/>
      <c r="Q791" s="832"/>
      <c r="R791" s="832"/>
      <c r="S791" s="832"/>
      <c r="T791" s="832"/>
    </row>
    <row r="792" spans="1:20" x14ac:dyDescent="0.2">
      <c r="A792" s="832"/>
      <c r="B792" s="990" t="s">
        <v>1562</v>
      </c>
      <c r="C792" s="832"/>
      <c r="D792" s="832"/>
      <c r="E792" s="832"/>
      <c r="F792" s="832"/>
      <c r="G792" s="832"/>
      <c r="H792" s="832"/>
      <c r="I792" s="832"/>
      <c r="J792" s="832"/>
      <c r="K792" s="832"/>
      <c r="L792" s="832"/>
      <c r="M792" s="832"/>
      <c r="N792" s="832"/>
      <c r="O792" s="832"/>
      <c r="P792" s="832"/>
      <c r="Q792" s="832"/>
      <c r="R792" s="832"/>
      <c r="S792" s="832"/>
      <c r="T792" s="832"/>
    </row>
    <row r="793" spans="1:20" x14ac:dyDescent="0.2">
      <c r="A793" s="832"/>
      <c r="B793" s="990" t="s">
        <v>1559</v>
      </c>
      <c r="C793" s="832"/>
      <c r="D793" s="832"/>
      <c r="E793" s="832"/>
      <c r="F793" s="832"/>
      <c r="G793" s="832"/>
      <c r="H793" s="832"/>
      <c r="I793" s="832"/>
      <c r="J793" s="832"/>
      <c r="K793" s="832"/>
      <c r="L793" s="832"/>
      <c r="M793" s="832"/>
      <c r="N793" s="832"/>
      <c r="O793" s="832"/>
      <c r="P793" s="832"/>
      <c r="Q793" s="832"/>
      <c r="R793" s="832"/>
      <c r="S793" s="832"/>
      <c r="T793" s="832"/>
    </row>
    <row r="794" spans="1:20" x14ac:dyDescent="0.2">
      <c r="A794" s="832"/>
      <c r="B794" s="990" t="s">
        <v>55</v>
      </c>
      <c r="C794" s="994">
        <f>$G$22</f>
        <v>0.58879070648086362</v>
      </c>
      <c r="D794" s="990" t="s">
        <v>1512</v>
      </c>
      <c r="E794" s="994">
        <f>IF($E$17="H10",$E$24-$E$26+0.6,IF($E$17="H20",$E$24-$E$26+0.9,$E$24-$E$26))</f>
        <v>1.9</v>
      </c>
      <c r="F794" s="990" t="s">
        <v>1512</v>
      </c>
      <c r="G794" s="994">
        <f>$E$11</f>
        <v>19.600000000000001</v>
      </c>
      <c r="H794" s="990" t="s">
        <v>55</v>
      </c>
      <c r="I794" s="994">
        <f>C794*E794*G794</f>
        <v>21.926565909347364</v>
      </c>
      <c r="J794" s="990" t="s">
        <v>35</v>
      </c>
      <c r="K794" s="832"/>
      <c r="L794" s="832"/>
      <c r="M794" s="832"/>
      <c r="N794" s="832"/>
      <c r="O794" s="832"/>
      <c r="P794" s="832"/>
      <c r="Q794" s="832"/>
      <c r="R794" s="832"/>
      <c r="S794" s="832"/>
      <c r="T794" s="832"/>
    </row>
    <row r="795" spans="1:20" x14ac:dyDescent="0.2">
      <c r="A795" s="832"/>
      <c r="B795" s="832"/>
      <c r="C795" s="832"/>
      <c r="D795" s="832"/>
      <c r="E795" s="832"/>
      <c r="F795" s="832"/>
      <c r="G795" s="832"/>
      <c r="H795" s="832"/>
      <c r="I795" s="832"/>
      <c r="J795" s="832"/>
      <c r="K795" s="832"/>
      <c r="L795" s="832"/>
      <c r="M795" s="832"/>
      <c r="N795" s="832"/>
      <c r="O795" s="832"/>
      <c r="P795" s="832"/>
      <c r="Q795" s="832"/>
      <c r="R795" s="832"/>
      <c r="S795" s="832"/>
      <c r="T795" s="832"/>
    </row>
    <row r="796" spans="1:20" x14ac:dyDescent="0.2">
      <c r="A796" s="832"/>
      <c r="B796" s="990" t="s">
        <v>2214</v>
      </c>
      <c r="C796" s="832"/>
      <c r="D796" s="832"/>
      <c r="E796" s="832"/>
      <c r="F796" s="832"/>
      <c r="G796" s="832"/>
      <c r="H796" s="832"/>
      <c r="I796" s="832"/>
      <c r="J796" s="832"/>
      <c r="K796" s="832"/>
      <c r="L796" s="832"/>
      <c r="M796" s="832"/>
      <c r="N796" s="832"/>
      <c r="O796" s="832"/>
      <c r="P796" s="832"/>
      <c r="Q796" s="832"/>
      <c r="R796" s="832"/>
      <c r="S796" s="832"/>
      <c r="T796" s="832"/>
    </row>
    <row r="797" spans="1:20" x14ac:dyDescent="0.2">
      <c r="A797" s="832"/>
      <c r="B797" s="990" t="s">
        <v>2215</v>
      </c>
      <c r="C797" s="832"/>
      <c r="D797" s="832"/>
      <c r="E797" s="832"/>
      <c r="F797" s="832"/>
      <c r="G797" s="832"/>
      <c r="H797" s="832"/>
      <c r="I797" s="832"/>
      <c r="J797" s="832"/>
      <c r="K797" s="832"/>
      <c r="L797" s="832"/>
      <c r="M797" s="832"/>
      <c r="N797" s="832"/>
      <c r="O797" s="832"/>
      <c r="P797" s="832"/>
      <c r="Q797" s="832"/>
      <c r="R797" s="832"/>
      <c r="S797" s="832"/>
      <c r="T797" s="832"/>
    </row>
    <row r="798" spans="1:20" x14ac:dyDescent="0.2">
      <c r="A798" s="832"/>
      <c r="B798" s="990"/>
      <c r="C798" s="832"/>
      <c r="D798" s="832"/>
      <c r="E798" s="832"/>
      <c r="F798" s="832"/>
      <c r="G798" s="832"/>
      <c r="H798" s="832"/>
      <c r="I798" s="832"/>
      <c r="J798" s="832"/>
      <c r="K798" s="832"/>
      <c r="L798" s="832"/>
      <c r="M798" s="832"/>
      <c r="N798" s="832"/>
      <c r="O798" s="832"/>
      <c r="P798" s="832"/>
      <c r="Q798" s="832"/>
      <c r="R798" s="832"/>
      <c r="S798" s="832"/>
      <c r="T798" s="832"/>
    </row>
    <row r="799" spans="1:20" x14ac:dyDescent="0.2">
      <c r="A799" s="832"/>
      <c r="B799" s="832"/>
      <c r="C799" s="832"/>
      <c r="D799" s="832"/>
      <c r="E799" s="832"/>
      <c r="F799" s="832"/>
      <c r="G799" s="832"/>
      <c r="H799" s="832"/>
      <c r="I799" s="832"/>
      <c r="J799" s="832"/>
      <c r="K799" s="832"/>
      <c r="L799" s="832"/>
      <c r="M799" s="832"/>
      <c r="N799" s="832"/>
      <c r="O799" s="832"/>
      <c r="P799" s="832"/>
      <c r="Q799" s="832"/>
      <c r="R799" s="832"/>
      <c r="S799" s="832"/>
      <c r="T799" s="832"/>
    </row>
    <row r="800" spans="1:20" x14ac:dyDescent="0.2">
      <c r="A800" s="832"/>
      <c r="B800" s="990" t="s">
        <v>2216</v>
      </c>
      <c r="C800" s="832"/>
      <c r="D800" s="832"/>
      <c r="E800" s="832"/>
      <c r="F800" s="832"/>
      <c r="G800" s="832"/>
      <c r="H800" s="832"/>
      <c r="I800" s="832"/>
      <c r="J800" s="832"/>
      <c r="K800" s="832"/>
      <c r="L800" s="832"/>
      <c r="M800" s="832"/>
      <c r="N800" s="832"/>
      <c r="O800" s="832"/>
      <c r="P800" s="832"/>
      <c r="Q800" s="832"/>
      <c r="R800" s="832"/>
      <c r="S800" s="832"/>
      <c r="T800" s="832"/>
    </row>
    <row r="801" spans="1:20" x14ac:dyDescent="0.2">
      <c r="A801" s="832"/>
      <c r="B801" s="990" t="s">
        <v>2217</v>
      </c>
      <c r="C801" s="832"/>
      <c r="D801" s="832"/>
      <c r="E801" s="832"/>
      <c r="F801" s="832"/>
      <c r="G801" s="832"/>
      <c r="H801" s="832"/>
      <c r="I801" s="832"/>
      <c r="J801" s="832"/>
      <c r="K801" s="832"/>
      <c r="L801" s="832"/>
      <c r="M801" s="832"/>
      <c r="N801" s="832"/>
      <c r="O801" s="832"/>
      <c r="P801" s="832"/>
      <c r="Q801" s="832"/>
      <c r="R801" s="832"/>
      <c r="S801" s="832"/>
      <c r="T801" s="832"/>
    </row>
    <row r="802" spans="1:20" x14ac:dyDescent="0.2">
      <c r="A802" s="832"/>
      <c r="B802" s="990" t="s">
        <v>2218</v>
      </c>
      <c r="C802" s="832"/>
      <c r="D802" s="832"/>
      <c r="E802" s="832"/>
      <c r="F802" s="832"/>
      <c r="G802" s="832"/>
      <c r="H802" s="832"/>
      <c r="I802" s="832"/>
      <c r="J802" s="832"/>
      <c r="K802" s="832"/>
      <c r="L802" s="832"/>
      <c r="M802" s="832"/>
      <c r="N802" s="832"/>
      <c r="O802" s="832"/>
      <c r="P802" s="832"/>
      <c r="Q802" s="832"/>
      <c r="R802" s="832"/>
      <c r="S802" s="832"/>
      <c r="T802" s="832"/>
    </row>
    <row r="803" spans="1:20" x14ac:dyDescent="0.2">
      <c r="A803" s="832"/>
      <c r="B803" s="990"/>
      <c r="C803" s="832"/>
      <c r="D803" s="832"/>
      <c r="E803" s="832"/>
      <c r="F803" s="832"/>
      <c r="G803" s="832"/>
      <c r="H803" s="832"/>
      <c r="I803" s="832"/>
      <c r="J803" s="832"/>
      <c r="K803" s="832"/>
      <c r="L803" s="832"/>
      <c r="M803" s="832"/>
      <c r="N803" s="832"/>
      <c r="O803" s="832"/>
      <c r="P803" s="832"/>
      <c r="Q803" s="832"/>
      <c r="R803" s="832"/>
      <c r="S803" s="832"/>
      <c r="T803" s="832"/>
    </row>
    <row r="804" spans="1:20" x14ac:dyDescent="0.2">
      <c r="A804" s="832"/>
      <c r="B804" s="990" t="s">
        <v>1489</v>
      </c>
      <c r="C804" s="832"/>
      <c r="D804" s="832"/>
      <c r="E804" s="832"/>
      <c r="F804" s="832"/>
      <c r="G804" s="832"/>
      <c r="H804" s="832"/>
      <c r="I804" s="832"/>
      <c r="J804" s="832"/>
      <c r="K804" s="832"/>
      <c r="L804" s="832"/>
      <c r="M804" s="832"/>
      <c r="N804" s="832"/>
      <c r="O804" s="832"/>
      <c r="P804" s="832"/>
      <c r="Q804" s="832"/>
      <c r="R804" s="832"/>
      <c r="S804" s="832"/>
      <c r="T804" s="832"/>
    </row>
    <row r="805" spans="1:20" x14ac:dyDescent="0.2">
      <c r="A805" s="832"/>
      <c r="B805" s="990" t="s">
        <v>1490</v>
      </c>
      <c r="C805" s="832"/>
      <c r="D805" s="832"/>
      <c r="E805" s="832"/>
      <c r="F805" s="832"/>
      <c r="G805" s="832"/>
      <c r="H805" s="832"/>
      <c r="I805" s="832"/>
      <c r="J805" s="832"/>
      <c r="K805" s="832"/>
      <c r="L805" s="832"/>
      <c r="M805" s="832"/>
      <c r="N805" s="832"/>
      <c r="O805" s="832"/>
      <c r="P805" s="832"/>
      <c r="Q805" s="832"/>
      <c r="R805" s="832"/>
      <c r="S805" s="832"/>
      <c r="T805" s="832"/>
    </row>
    <row r="806" spans="1:20" x14ac:dyDescent="0.2">
      <c r="A806" s="832"/>
      <c r="B806" s="832"/>
      <c r="C806" s="832"/>
      <c r="D806" s="832"/>
      <c r="E806" s="832"/>
      <c r="F806" s="832"/>
      <c r="G806" s="832"/>
      <c r="H806" s="832"/>
      <c r="I806" s="832"/>
      <c r="J806" s="832"/>
      <c r="K806" s="832"/>
      <c r="L806" s="832"/>
      <c r="M806" s="832"/>
      <c r="N806" s="832"/>
      <c r="O806" s="832"/>
      <c r="P806" s="832"/>
      <c r="Q806" s="832"/>
      <c r="R806" s="832"/>
      <c r="S806" s="832"/>
      <c r="T806" s="832"/>
    </row>
    <row r="807" spans="1:20" x14ac:dyDescent="0.2">
      <c r="A807" s="832"/>
      <c r="B807" s="990" t="s">
        <v>1491</v>
      </c>
      <c r="C807" s="832"/>
      <c r="D807" s="832"/>
      <c r="E807" s="832"/>
      <c r="F807" s="832"/>
      <c r="G807" s="832"/>
      <c r="H807" s="832"/>
      <c r="I807" s="832"/>
      <c r="J807" s="832"/>
      <c r="K807" s="832"/>
      <c r="L807" s="832"/>
      <c r="M807" s="832"/>
      <c r="N807" s="832"/>
      <c r="O807" s="832"/>
      <c r="P807" s="832"/>
      <c r="Q807" s="832"/>
      <c r="R807" s="832"/>
      <c r="S807" s="832"/>
      <c r="T807" s="832"/>
    </row>
    <row r="808" spans="1:20" x14ac:dyDescent="0.2">
      <c r="A808" s="832"/>
      <c r="B808" s="1028"/>
      <c r="C808" s="1028"/>
      <c r="D808" s="1028" t="s">
        <v>2219</v>
      </c>
      <c r="E808" s="1028" t="s">
        <v>1824</v>
      </c>
      <c r="F808" s="1028" t="s">
        <v>2220</v>
      </c>
      <c r="G808" s="832"/>
      <c r="H808" s="832"/>
      <c r="I808" s="832"/>
      <c r="J808" s="832"/>
      <c r="K808" s="832"/>
      <c r="L808" s="832"/>
      <c r="M808" s="832"/>
      <c r="N808" s="832"/>
      <c r="O808" s="832"/>
      <c r="P808" s="832"/>
      <c r="Q808" s="832"/>
      <c r="R808" s="832"/>
      <c r="S808" s="832"/>
      <c r="T808" s="832"/>
    </row>
    <row r="809" spans="1:20" x14ac:dyDescent="0.2">
      <c r="A809" s="832"/>
      <c r="B809" s="990" t="s">
        <v>1492</v>
      </c>
      <c r="C809" s="832"/>
      <c r="D809" s="832"/>
      <c r="E809" s="832"/>
      <c r="F809" s="832"/>
      <c r="G809" s="832"/>
      <c r="H809" s="832"/>
      <c r="I809" s="832"/>
      <c r="J809" s="832"/>
      <c r="K809" s="832"/>
      <c r="L809" s="832"/>
      <c r="M809" s="832"/>
      <c r="N809" s="832"/>
      <c r="O809" s="832"/>
      <c r="P809" s="832"/>
      <c r="Q809" s="832"/>
      <c r="R809" s="832"/>
      <c r="S809" s="832"/>
      <c r="T809" s="832"/>
    </row>
    <row r="810" spans="1:20" x14ac:dyDescent="0.2">
      <c r="A810" s="832"/>
      <c r="B810" s="990" t="s">
        <v>1599</v>
      </c>
      <c r="C810" s="832"/>
      <c r="D810" s="998">
        <f t="shared" ref="D810:F811" si="2">D196</f>
        <v>7.1428571428571425E-2</v>
      </c>
      <c r="E810" s="998">
        <f t="shared" si="2"/>
        <v>7.1428571428571425E-2</v>
      </c>
      <c r="F810" s="998">
        <f t="shared" si="2"/>
        <v>7.1428571428571425E-2</v>
      </c>
      <c r="G810" s="832"/>
      <c r="H810" s="832"/>
      <c r="I810" s="832"/>
      <c r="J810" s="832"/>
      <c r="K810" s="832"/>
      <c r="L810" s="832"/>
      <c r="M810" s="832"/>
      <c r="N810" s="832"/>
      <c r="O810" s="832"/>
      <c r="P810" s="832"/>
      <c r="Q810" s="832"/>
      <c r="R810" s="832"/>
      <c r="S810" s="832"/>
      <c r="T810" s="832"/>
    </row>
    <row r="811" spans="1:20" x14ac:dyDescent="0.2">
      <c r="A811" s="832"/>
      <c r="B811" s="990" t="s">
        <v>1540</v>
      </c>
      <c r="C811" s="832"/>
      <c r="D811" s="998">
        <f t="shared" si="2"/>
        <v>6.25E-2</v>
      </c>
      <c r="E811" s="998">
        <f t="shared" si="2"/>
        <v>0.1111111111111111</v>
      </c>
      <c r="F811" s="998">
        <f t="shared" si="2"/>
        <v>0.1</v>
      </c>
      <c r="G811" s="832"/>
      <c r="H811" s="832"/>
      <c r="I811" s="832"/>
      <c r="J811" s="832"/>
      <c r="K811" s="832"/>
      <c r="L811" s="832"/>
      <c r="M811" s="832"/>
      <c r="N811" s="832"/>
      <c r="O811" s="832"/>
      <c r="P811" s="832"/>
      <c r="Q811" s="832"/>
      <c r="R811" s="832"/>
      <c r="S811" s="832"/>
      <c r="T811" s="832"/>
    </row>
    <row r="812" spans="1:20" x14ac:dyDescent="0.2">
      <c r="A812" s="832"/>
      <c r="B812" s="832"/>
      <c r="C812" s="832"/>
      <c r="D812" s="998"/>
      <c r="E812" s="998"/>
      <c r="F812" s="998"/>
      <c r="G812" s="832"/>
      <c r="H812" s="832"/>
      <c r="I812" s="832"/>
      <c r="J812" s="832"/>
      <c r="K812" s="832"/>
      <c r="L812" s="832"/>
      <c r="M812" s="832"/>
      <c r="N812" s="832"/>
      <c r="O812" s="832"/>
      <c r="P812" s="832"/>
      <c r="Q812" s="832"/>
      <c r="R812" s="832"/>
      <c r="S812" s="832"/>
      <c r="T812" s="832"/>
    </row>
    <row r="813" spans="1:20" x14ac:dyDescent="0.2">
      <c r="A813" s="832"/>
      <c r="B813" s="990" t="s">
        <v>1495</v>
      </c>
      <c r="C813" s="832"/>
      <c r="D813" s="998">
        <f>D199</f>
        <v>1.1499999999999999</v>
      </c>
      <c r="E813" s="998">
        <f>E199</f>
        <v>1.1499999999999999</v>
      </c>
      <c r="F813" s="998">
        <f>F199</f>
        <v>1.1499999999999999</v>
      </c>
      <c r="G813" s="832"/>
      <c r="H813" s="832"/>
      <c r="I813" s="832"/>
      <c r="J813" s="832"/>
      <c r="K813" s="832"/>
      <c r="L813" s="832"/>
      <c r="M813" s="832"/>
      <c r="N813" s="832"/>
      <c r="O813" s="832"/>
      <c r="P813" s="832"/>
      <c r="Q813" s="832"/>
      <c r="R813" s="832"/>
      <c r="S813" s="832"/>
      <c r="T813" s="832"/>
    </row>
    <row r="814" spans="1:20" x14ac:dyDescent="0.2">
      <c r="A814" s="832"/>
      <c r="B814" s="995"/>
      <c r="C814" s="995"/>
      <c r="D814" s="995"/>
      <c r="E814" s="995"/>
      <c r="F814" s="995"/>
      <c r="G814" s="832"/>
      <c r="H814" s="832"/>
      <c r="I814" s="832"/>
      <c r="J814" s="832"/>
      <c r="K814" s="832"/>
      <c r="L814" s="832"/>
      <c r="M814" s="832"/>
      <c r="N814" s="832"/>
      <c r="O814" s="832"/>
      <c r="P814" s="832"/>
      <c r="Q814" s="832"/>
      <c r="R814" s="832"/>
      <c r="S814" s="832"/>
      <c r="T814" s="832"/>
    </row>
    <row r="815" spans="1:20" x14ac:dyDescent="0.2">
      <c r="A815" s="832"/>
      <c r="B815" s="990" t="s">
        <v>1600</v>
      </c>
      <c r="C815" s="832"/>
      <c r="D815" s="832"/>
      <c r="E815" s="832"/>
      <c r="F815" s="832"/>
      <c r="G815" s="832"/>
      <c r="H815" s="832"/>
      <c r="I815" s="832"/>
      <c r="J815" s="832"/>
      <c r="K815" s="832"/>
      <c r="L815" s="832"/>
      <c r="M815" s="832"/>
      <c r="N815" s="832"/>
      <c r="O815" s="832"/>
      <c r="P815" s="832"/>
      <c r="Q815" s="832"/>
      <c r="R815" s="832"/>
      <c r="S815" s="832"/>
      <c r="T815" s="832"/>
    </row>
    <row r="816" spans="1:20" x14ac:dyDescent="0.2">
      <c r="A816" s="832"/>
      <c r="B816" s="990" t="s">
        <v>1496</v>
      </c>
      <c r="C816" s="832"/>
      <c r="D816" s="832"/>
      <c r="E816" s="832"/>
      <c r="F816" s="994">
        <f>$E$44</f>
        <v>1.5</v>
      </c>
      <c r="G816" s="990" t="s">
        <v>24</v>
      </c>
      <c r="H816" s="832"/>
      <c r="I816" s="832"/>
      <c r="J816" s="832"/>
      <c r="K816" s="832"/>
      <c r="L816" s="832"/>
      <c r="M816" s="832"/>
      <c r="N816" s="832"/>
      <c r="O816" s="832"/>
      <c r="P816" s="832"/>
      <c r="Q816" s="832"/>
      <c r="R816" s="832"/>
      <c r="S816" s="832"/>
      <c r="T816" s="832"/>
    </row>
    <row r="817" spans="1:20" x14ac:dyDescent="0.2">
      <c r="A817" s="832"/>
      <c r="B817" s="990" t="s">
        <v>1497</v>
      </c>
      <c r="C817" s="832"/>
      <c r="D817" s="997">
        <f>$E$42</f>
        <v>1</v>
      </c>
      <c r="E817" s="832"/>
      <c r="F817" s="832"/>
      <c r="G817" s="832"/>
      <c r="H817" s="832"/>
      <c r="I817" s="832"/>
      <c r="J817" s="832"/>
      <c r="K817" s="832"/>
      <c r="L817" s="832"/>
      <c r="M817" s="832"/>
      <c r="N817" s="832"/>
      <c r="O817" s="832"/>
      <c r="P817" s="832"/>
      <c r="Q817" s="832"/>
      <c r="R817" s="832"/>
      <c r="S817" s="832"/>
      <c r="T817" s="832"/>
    </row>
    <row r="818" spans="1:20" x14ac:dyDescent="0.2">
      <c r="A818" s="832"/>
      <c r="B818" s="832"/>
      <c r="C818" s="832"/>
      <c r="D818" s="832"/>
      <c r="E818" s="832"/>
      <c r="F818" s="832"/>
      <c r="G818" s="832"/>
      <c r="H818" s="832"/>
      <c r="I818" s="832"/>
      <c r="J818" s="832"/>
      <c r="K818" s="832"/>
      <c r="L818" s="832"/>
      <c r="M818" s="832"/>
      <c r="N818" s="832"/>
      <c r="O818" s="832"/>
      <c r="P818" s="832"/>
      <c r="Q818" s="832"/>
      <c r="R818" s="832"/>
      <c r="S818" s="832"/>
      <c r="T818" s="832"/>
    </row>
    <row r="819" spans="1:20" x14ac:dyDescent="0.2">
      <c r="A819" s="832"/>
      <c r="B819" s="990" t="s">
        <v>1601</v>
      </c>
      <c r="C819" s="832"/>
      <c r="D819" s="832"/>
      <c r="E819" s="832"/>
      <c r="F819" s="832"/>
      <c r="G819" s="832"/>
      <c r="H819" s="832"/>
      <c r="I819" s="832"/>
      <c r="J819" s="832"/>
      <c r="K819" s="832"/>
      <c r="L819" s="832"/>
      <c r="M819" s="832"/>
      <c r="N819" s="832"/>
      <c r="O819" s="832"/>
      <c r="P819" s="832"/>
      <c r="Q819" s="832"/>
      <c r="R819" s="832"/>
      <c r="S819" s="832"/>
      <c r="T819" s="832"/>
    </row>
    <row r="820" spans="1:20" x14ac:dyDescent="0.2">
      <c r="A820" s="832"/>
      <c r="B820" s="990" t="s">
        <v>1602</v>
      </c>
      <c r="C820" s="832"/>
      <c r="D820" s="832"/>
      <c r="E820" s="832"/>
      <c r="F820" s="994">
        <f>IF($D$817=1,D810*$I$790*$F$816^2,IF($D$817=2,E810*$I$790*$F$816^2,F810*$I$790*$F$816^2))</f>
        <v>3.0602396969342887</v>
      </c>
      <c r="G820" s="990" t="s">
        <v>58</v>
      </c>
      <c r="H820" s="832"/>
      <c r="I820" s="832"/>
      <c r="J820" s="832"/>
      <c r="K820" s="832"/>
      <c r="L820" s="832"/>
      <c r="M820" s="832"/>
      <c r="N820" s="832"/>
      <c r="O820" s="832"/>
      <c r="P820" s="832"/>
      <c r="Q820" s="832"/>
      <c r="R820" s="832"/>
      <c r="S820" s="832"/>
      <c r="T820" s="832"/>
    </row>
    <row r="821" spans="1:20" x14ac:dyDescent="0.2">
      <c r="A821" s="832"/>
      <c r="B821" s="990" t="s">
        <v>1603</v>
      </c>
      <c r="C821" s="832"/>
      <c r="D821" s="832"/>
      <c r="E821" s="832"/>
      <c r="F821" s="994">
        <f>IF($D$817=1,D811*$I$790*$F$816^2,IF($D$817=2,E811*$I$790*$F$816^2,F811*$I$790*$F$816^2))</f>
        <v>2.677709734817503</v>
      </c>
      <c r="G821" s="990" t="s">
        <v>58</v>
      </c>
      <c r="H821" s="832"/>
      <c r="I821" s="832"/>
      <c r="J821" s="832"/>
      <c r="K821" s="832"/>
      <c r="L821" s="832"/>
      <c r="M821" s="832"/>
      <c r="N821" s="832"/>
      <c r="O821" s="832"/>
      <c r="P821" s="832"/>
      <c r="Q821" s="832"/>
      <c r="R821" s="832"/>
      <c r="S821" s="832"/>
      <c r="T821" s="832"/>
    </row>
    <row r="822" spans="1:20" x14ac:dyDescent="0.2">
      <c r="A822" s="832"/>
      <c r="B822" s="990" t="s">
        <v>1604</v>
      </c>
      <c r="C822" s="832"/>
      <c r="D822" s="832"/>
      <c r="E822" s="832"/>
      <c r="F822" s="994">
        <f>IF($D$817=1,D813*$I$790*$F$816/2,IF($D$817=2,E813*$I$790*$F$816/2,F813*$I$790*$F$816/2))</f>
        <v>16.423286373547349</v>
      </c>
      <c r="G822" s="990" t="s">
        <v>57</v>
      </c>
      <c r="H822" s="832"/>
      <c r="I822" s="832"/>
      <c r="J822" s="832"/>
      <c r="K822" s="832"/>
      <c r="L822" s="832"/>
      <c r="M822" s="832"/>
      <c r="N822" s="832"/>
      <c r="O822" s="832"/>
      <c r="P822" s="832"/>
      <c r="Q822" s="832"/>
      <c r="R822" s="832"/>
      <c r="S822" s="832"/>
      <c r="T822" s="832"/>
    </row>
    <row r="823" spans="1:20" x14ac:dyDescent="0.2">
      <c r="A823" s="832"/>
      <c r="B823" s="832"/>
      <c r="C823" s="832"/>
      <c r="D823" s="832"/>
      <c r="E823" s="832"/>
      <c r="F823" s="832"/>
      <c r="G823" s="832"/>
      <c r="H823" s="832"/>
      <c r="I823" s="832"/>
      <c r="J823" s="832"/>
      <c r="K823" s="832"/>
      <c r="L823" s="832"/>
      <c r="M823" s="832"/>
      <c r="N823" s="832"/>
      <c r="O823" s="832"/>
      <c r="P823" s="832"/>
      <c r="Q823" s="832"/>
      <c r="R823" s="832"/>
      <c r="S823" s="832"/>
      <c r="T823" s="832"/>
    </row>
    <row r="824" spans="1:20" x14ac:dyDescent="0.2">
      <c r="A824" s="832"/>
      <c r="B824" s="990" t="s">
        <v>1605</v>
      </c>
      <c r="C824" s="832"/>
      <c r="D824" s="832"/>
      <c r="E824" s="832"/>
      <c r="F824" s="832"/>
      <c r="G824" s="832"/>
      <c r="H824" s="832"/>
      <c r="I824" s="832"/>
      <c r="J824" s="832"/>
      <c r="K824" s="832"/>
      <c r="L824" s="832"/>
      <c r="M824" s="832"/>
      <c r="N824" s="832"/>
      <c r="O824" s="832"/>
      <c r="P824" s="832"/>
      <c r="Q824" s="832"/>
      <c r="R824" s="832"/>
      <c r="S824" s="832"/>
      <c r="T824" s="832"/>
    </row>
    <row r="825" spans="1:20" x14ac:dyDescent="0.2">
      <c r="A825" s="832"/>
      <c r="B825" s="990" t="s">
        <v>1602</v>
      </c>
      <c r="C825" s="832"/>
      <c r="D825" s="832"/>
      <c r="E825" s="832"/>
      <c r="F825" s="994">
        <f>IF($D$817=1,D810*$I$794*$F$816^2,IF($D$817=2,E810*$I$794*$F$816^2,F810*$I$794*$F$816^2))</f>
        <v>3.5239123782879691</v>
      </c>
      <c r="G825" s="990" t="s">
        <v>58</v>
      </c>
      <c r="H825" s="832"/>
      <c r="I825" s="832"/>
      <c r="J825" s="832"/>
      <c r="K825" s="832"/>
      <c r="L825" s="832"/>
      <c r="M825" s="832"/>
      <c r="N825" s="832"/>
      <c r="O825" s="832"/>
      <c r="P825" s="832"/>
      <c r="Q825" s="832"/>
      <c r="R825" s="832"/>
      <c r="S825" s="832"/>
      <c r="T825" s="832"/>
    </row>
    <row r="826" spans="1:20" x14ac:dyDescent="0.2">
      <c r="A826" s="832"/>
      <c r="B826" s="990" t="s">
        <v>1603</v>
      </c>
      <c r="C826" s="832"/>
      <c r="D826" s="832"/>
      <c r="E826" s="832"/>
      <c r="F826" s="994">
        <f>IF($D$817=1,D811*$I$794*$F$816^2,IF($D$817=2,E811*$I$794*$F$816^2,F811*$I$794*$F$816^2))</f>
        <v>3.0834233310019732</v>
      </c>
      <c r="G826" s="990" t="s">
        <v>58</v>
      </c>
      <c r="H826" s="832"/>
      <c r="I826" s="832"/>
      <c r="J826" s="832"/>
      <c r="K826" s="832"/>
      <c r="L826" s="832"/>
      <c r="M826" s="832"/>
      <c r="N826" s="832"/>
      <c r="O826" s="832"/>
      <c r="P826" s="832"/>
      <c r="Q826" s="832"/>
      <c r="R826" s="832"/>
      <c r="S826" s="832"/>
      <c r="T826" s="832"/>
    </row>
    <row r="827" spans="1:20" x14ac:dyDescent="0.2">
      <c r="A827" s="832"/>
      <c r="B827" s="990" t="s">
        <v>1604</v>
      </c>
      <c r="C827" s="832"/>
      <c r="D827" s="832"/>
      <c r="E827" s="832"/>
      <c r="F827" s="994">
        <f>IF($D$817=1,D813*$I$794*$F$816/2,IF($D$817=2,E813*$I$794*$F$816/2,F813*$I$794*$F$816/2))</f>
        <v>18.911663096812099</v>
      </c>
      <c r="G827" s="990" t="s">
        <v>57</v>
      </c>
      <c r="H827" s="832"/>
      <c r="I827" s="832"/>
      <c r="J827" s="832"/>
      <c r="K827" s="832"/>
      <c r="L827" s="832"/>
      <c r="M827" s="832"/>
      <c r="N827" s="832"/>
      <c r="O827" s="832"/>
      <c r="P827" s="832"/>
      <c r="Q827" s="832"/>
      <c r="R827" s="832"/>
      <c r="S827" s="832"/>
      <c r="T827" s="832"/>
    </row>
    <row r="828" spans="1:20" x14ac:dyDescent="0.2">
      <c r="A828" s="990" t="s">
        <v>986</v>
      </c>
      <c r="B828" s="832"/>
      <c r="C828" s="832"/>
      <c r="D828" s="832"/>
      <c r="E828" s="832"/>
      <c r="F828" s="832"/>
      <c r="G828" s="832"/>
      <c r="H828" s="832"/>
      <c r="I828" s="832"/>
      <c r="J828" s="832"/>
      <c r="K828" s="832"/>
      <c r="L828" s="832"/>
      <c r="M828" s="832"/>
      <c r="N828" s="832"/>
      <c r="O828" s="832"/>
      <c r="P828" s="832"/>
      <c r="Q828" s="832"/>
      <c r="R828" s="832"/>
      <c r="S828" s="832"/>
      <c r="T828" s="832"/>
    </row>
    <row r="829" spans="1:20" x14ac:dyDescent="0.2">
      <c r="A829" s="990" t="s">
        <v>950</v>
      </c>
      <c r="B829" s="832"/>
      <c r="C829" s="832"/>
      <c r="D829" s="832"/>
      <c r="E829" s="832"/>
      <c r="F829" s="832"/>
      <c r="G829" s="832"/>
      <c r="H829" s="832"/>
      <c r="I829" s="832"/>
      <c r="J829" s="832"/>
      <c r="K829" s="832"/>
      <c r="L829" s="832"/>
      <c r="M829" s="832"/>
      <c r="N829" s="832"/>
      <c r="O829" s="832"/>
      <c r="P829" s="832"/>
      <c r="Q829" s="832"/>
      <c r="R829" s="832"/>
      <c r="S829" s="832"/>
      <c r="T829" s="832"/>
    </row>
    <row r="830" spans="1:20" x14ac:dyDescent="0.2">
      <c r="A830" s="990" t="s">
        <v>59</v>
      </c>
      <c r="B830" s="832"/>
      <c r="C830" s="832"/>
      <c r="D830" s="832"/>
      <c r="E830" s="832"/>
      <c r="F830" s="832"/>
      <c r="G830" s="832"/>
      <c r="H830" s="832"/>
      <c r="I830" s="832"/>
      <c r="J830" s="832"/>
      <c r="K830" s="832"/>
      <c r="L830" s="832"/>
      <c r="M830" s="832"/>
      <c r="N830" s="832"/>
      <c r="O830" s="832"/>
      <c r="P830" s="832"/>
      <c r="Q830" s="832"/>
      <c r="R830" s="832"/>
      <c r="S830" s="832"/>
      <c r="T830" s="832"/>
    </row>
    <row r="831" spans="1:20" x14ac:dyDescent="0.2">
      <c r="A831" s="1000" t="s">
        <v>1598</v>
      </c>
      <c r="B831" s="832"/>
      <c r="C831" s="832"/>
      <c r="D831" s="832"/>
      <c r="E831" s="832"/>
      <c r="F831" s="832"/>
      <c r="G831" s="832"/>
      <c r="H831" s="832"/>
      <c r="I831" s="832"/>
      <c r="J831" s="832"/>
      <c r="K831" s="832"/>
      <c r="L831" s="832"/>
      <c r="M831" s="832"/>
      <c r="N831" s="832"/>
      <c r="O831" s="832"/>
      <c r="P831" s="832"/>
      <c r="Q831" s="832"/>
      <c r="R831" s="832"/>
      <c r="S831" s="832"/>
      <c r="T831" s="832"/>
    </row>
    <row r="832" spans="1:20" x14ac:dyDescent="0.2">
      <c r="A832" s="832"/>
      <c r="B832" s="990" t="s">
        <v>1606</v>
      </c>
      <c r="C832" s="832"/>
      <c r="D832" s="832"/>
      <c r="E832" s="832"/>
      <c r="F832" s="832"/>
      <c r="G832" s="832"/>
      <c r="H832" s="832"/>
      <c r="I832" s="832"/>
      <c r="J832" s="832"/>
      <c r="K832" s="832"/>
      <c r="L832" s="832"/>
      <c r="M832" s="832"/>
      <c r="N832" s="832"/>
      <c r="O832" s="832"/>
      <c r="P832" s="832"/>
      <c r="Q832" s="832"/>
      <c r="R832" s="832"/>
      <c r="S832" s="832"/>
      <c r="T832" s="832"/>
    </row>
    <row r="833" spans="1:20" x14ac:dyDescent="0.2">
      <c r="A833" s="832"/>
      <c r="B833" s="990" t="s">
        <v>1607</v>
      </c>
      <c r="C833" s="832"/>
      <c r="D833" s="832"/>
      <c r="E833" s="832"/>
      <c r="F833" s="832"/>
      <c r="G833" s="832"/>
      <c r="H833" s="832"/>
      <c r="I833" s="832"/>
      <c r="J833" s="832"/>
      <c r="K833" s="832"/>
      <c r="L833" s="832"/>
      <c r="M833" s="832"/>
      <c r="N833" s="832"/>
      <c r="O833" s="832"/>
      <c r="P833" s="832"/>
      <c r="Q833" s="832"/>
      <c r="R833" s="832"/>
      <c r="S833" s="832"/>
      <c r="T833" s="832"/>
    </row>
    <row r="834" spans="1:20" x14ac:dyDescent="0.2">
      <c r="A834" s="832"/>
      <c r="B834" s="832"/>
      <c r="C834" s="832"/>
      <c r="D834" s="832"/>
      <c r="E834" s="832"/>
      <c r="F834" s="832"/>
      <c r="G834" s="832"/>
      <c r="H834" s="832"/>
      <c r="I834" s="832"/>
      <c r="J834" s="832"/>
      <c r="K834" s="832"/>
      <c r="L834" s="832"/>
      <c r="M834" s="832"/>
      <c r="N834" s="832"/>
      <c r="O834" s="832"/>
      <c r="P834" s="832"/>
      <c r="Q834" s="832"/>
      <c r="R834" s="832"/>
      <c r="S834" s="832"/>
      <c r="T834" s="832"/>
    </row>
    <row r="835" spans="1:20" x14ac:dyDescent="0.2">
      <c r="A835" s="990" t="s">
        <v>950</v>
      </c>
      <c r="B835" s="832"/>
      <c r="C835" s="832"/>
      <c r="D835" s="832"/>
      <c r="E835" s="832"/>
      <c r="F835" s="832"/>
      <c r="G835" s="832"/>
      <c r="H835" s="832"/>
      <c r="I835" s="832"/>
      <c r="J835" s="832"/>
      <c r="K835" s="832"/>
      <c r="L835" s="832"/>
      <c r="M835" s="832"/>
      <c r="N835" s="832"/>
      <c r="O835" s="832"/>
      <c r="P835" s="832"/>
      <c r="Q835" s="832"/>
      <c r="R835" s="832"/>
      <c r="S835" s="832"/>
      <c r="T835" s="832"/>
    </row>
    <row r="836" spans="1:20" x14ac:dyDescent="0.2">
      <c r="A836" s="832"/>
      <c r="B836" s="990" t="s">
        <v>1543</v>
      </c>
      <c r="C836" s="832"/>
      <c r="D836" s="832"/>
      <c r="E836" s="832"/>
      <c r="F836" s="832"/>
      <c r="G836" s="832"/>
      <c r="H836" s="832"/>
      <c r="I836" s="832"/>
      <c r="J836" s="832"/>
      <c r="K836" s="832"/>
      <c r="L836" s="832"/>
      <c r="M836" s="832"/>
      <c r="N836" s="832"/>
      <c r="O836" s="832"/>
      <c r="P836" s="832"/>
      <c r="Q836" s="832"/>
      <c r="R836" s="832"/>
      <c r="S836" s="832"/>
      <c r="T836" s="832"/>
    </row>
    <row r="837" spans="1:20" x14ac:dyDescent="0.2">
      <c r="A837" s="832"/>
      <c r="B837" s="1000" t="s">
        <v>1598</v>
      </c>
      <c r="C837" s="832"/>
      <c r="D837" s="832"/>
      <c r="E837" s="832"/>
      <c r="F837" s="832"/>
      <c r="G837" s="832"/>
      <c r="H837" s="832"/>
      <c r="I837" s="832"/>
      <c r="J837" s="832"/>
      <c r="K837" s="832"/>
      <c r="L837" s="832"/>
      <c r="M837" s="832"/>
      <c r="N837" s="832"/>
      <c r="O837" s="832"/>
      <c r="P837" s="832"/>
      <c r="Q837" s="832"/>
      <c r="R837" s="832"/>
      <c r="S837" s="832"/>
      <c r="T837" s="832"/>
    </row>
    <row r="838" spans="1:20" x14ac:dyDescent="0.2">
      <c r="A838" s="832"/>
      <c r="B838" s="990" t="s">
        <v>499</v>
      </c>
      <c r="C838" s="832"/>
      <c r="D838" s="832"/>
      <c r="E838" s="832"/>
      <c r="F838" s="832"/>
      <c r="G838" s="832"/>
      <c r="H838" s="832"/>
      <c r="I838" s="832"/>
      <c r="J838" s="832"/>
      <c r="K838" s="832"/>
      <c r="L838" s="832"/>
      <c r="M838" s="832"/>
      <c r="N838" s="832"/>
      <c r="O838" s="832"/>
      <c r="P838" s="832"/>
      <c r="Q838" s="832"/>
      <c r="R838" s="832"/>
      <c r="S838" s="832"/>
      <c r="T838" s="832"/>
    </row>
    <row r="839" spans="1:20" x14ac:dyDescent="0.2">
      <c r="A839" s="832"/>
      <c r="B839" s="832"/>
      <c r="C839" s="832"/>
      <c r="D839" s="832"/>
      <c r="E839" s="832"/>
      <c r="F839" s="832"/>
      <c r="G839" s="832"/>
      <c r="H839" s="832"/>
      <c r="I839" s="832"/>
      <c r="J839" s="832"/>
      <c r="K839" s="832"/>
      <c r="L839" s="832"/>
      <c r="M839" s="832"/>
      <c r="N839" s="832"/>
      <c r="O839" s="832"/>
      <c r="P839" s="832"/>
      <c r="Q839" s="832"/>
      <c r="R839" s="832"/>
      <c r="S839" s="832"/>
      <c r="T839" s="832"/>
    </row>
    <row r="840" spans="1:20" x14ac:dyDescent="0.2">
      <c r="A840" s="832"/>
      <c r="B840" s="990" t="s">
        <v>1150</v>
      </c>
      <c r="C840" s="832"/>
      <c r="D840" s="832"/>
      <c r="E840" s="832"/>
      <c r="F840" s="832"/>
      <c r="G840" s="832"/>
      <c r="H840" s="832"/>
      <c r="I840" s="832"/>
      <c r="J840" s="832"/>
      <c r="K840" s="832"/>
      <c r="L840" s="832"/>
      <c r="M840" s="832"/>
      <c r="N840" s="832"/>
      <c r="O840" s="832"/>
      <c r="P840" s="832"/>
      <c r="Q840" s="832"/>
      <c r="R840" s="832"/>
      <c r="S840" s="832"/>
      <c r="T840" s="832"/>
    </row>
    <row r="841" spans="1:20" x14ac:dyDescent="0.2">
      <c r="A841" s="832"/>
      <c r="B841" s="990" t="s">
        <v>500</v>
      </c>
      <c r="C841" s="832"/>
      <c r="D841" s="832"/>
      <c r="E841" s="994">
        <f>MAX(F820:F821)</f>
        <v>3.0602396969342887</v>
      </c>
      <c r="F841" s="990" t="s">
        <v>58</v>
      </c>
      <c r="G841" s="832"/>
      <c r="H841" s="832"/>
      <c r="I841" s="832"/>
      <c r="J841" s="832"/>
      <c r="K841" s="832"/>
      <c r="L841" s="832"/>
      <c r="M841" s="832"/>
      <c r="N841" s="832"/>
      <c r="O841" s="832"/>
      <c r="P841" s="832"/>
      <c r="Q841" s="832"/>
      <c r="R841" s="832"/>
      <c r="S841" s="832"/>
      <c r="T841" s="832"/>
    </row>
    <row r="842" spans="1:20" x14ac:dyDescent="0.2">
      <c r="A842" s="832"/>
      <c r="B842" s="990" t="s">
        <v>1151</v>
      </c>
      <c r="C842" s="832"/>
      <c r="D842" s="832"/>
      <c r="E842" s="999">
        <f>$F$128</f>
        <v>1252.9941383359403</v>
      </c>
      <c r="F842" s="990" t="s">
        <v>35</v>
      </c>
      <c r="G842" s="832"/>
      <c r="H842" s="832"/>
      <c r="I842" s="832"/>
      <c r="J842" s="832"/>
      <c r="K842" s="832"/>
      <c r="L842" s="832"/>
      <c r="M842" s="832"/>
      <c r="N842" s="832"/>
      <c r="O842" s="832"/>
      <c r="P842" s="832"/>
      <c r="Q842" s="832"/>
      <c r="R842" s="832"/>
      <c r="S842" s="832"/>
      <c r="T842" s="832"/>
    </row>
    <row r="843" spans="1:20" x14ac:dyDescent="0.2">
      <c r="A843" s="832"/>
      <c r="B843" s="990" t="s">
        <v>1152</v>
      </c>
      <c r="C843" s="832"/>
      <c r="D843" s="832"/>
      <c r="E843" s="832"/>
      <c r="F843" s="832"/>
      <c r="G843" s="832"/>
      <c r="H843" s="832"/>
      <c r="I843" s="832"/>
      <c r="J843" s="832"/>
      <c r="K843" s="832"/>
      <c r="L843" s="832"/>
      <c r="M843" s="832"/>
      <c r="N843" s="832"/>
      <c r="O843" s="832"/>
      <c r="P843" s="832"/>
      <c r="Q843" s="832"/>
      <c r="R843" s="832"/>
      <c r="S843" s="832"/>
      <c r="T843" s="832"/>
    </row>
    <row r="844" spans="1:20" x14ac:dyDescent="0.2">
      <c r="A844" s="832"/>
      <c r="B844" s="990" t="s">
        <v>60</v>
      </c>
      <c r="C844" s="832"/>
      <c r="D844" s="832"/>
      <c r="E844" s="997">
        <f>SQRT(E841/E842)*1000</f>
        <v>49.420052515942771</v>
      </c>
      <c r="F844" s="990" t="s">
        <v>43</v>
      </c>
      <c r="G844" s="832"/>
      <c r="H844" s="832"/>
      <c r="I844" s="832"/>
      <c r="J844" s="832"/>
      <c r="K844" s="832"/>
      <c r="L844" s="832"/>
      <c r="M844" s="832"/>
      <c r="N844" s="832"/>
      <c r="O844" s="832"/>
      <c r="P844" s="832"/>
      <c r="Q844" s="832"/>
      <c r="R844" s="832"/>
      <c r="S844" s="832"/>
      <c r="T844" s="832"/>
    </row>
    <row r="845" spans="1:20" x14ac:dyDescent="0.2">
      <c r="A845" s="832"/>
      <c r="B845" s="832"/>
      <c r="C845" s="832"/>
      <c r="D845" s="832"/>
      <c r="E845" s="832"/>
      <c r="F845" s="832"/>
      <c r="G845" s="832"/>
      <c r="H845" s="832"/>
      <c r="I845" s="832"/>
      <c r="J845" s="832"/>
      <c r="K845" s="832"/>
      <c r="L845" s="832"/>
      <c r="M845" s="832"/>
      <c r="N845" s="832"/>
      <c r="O845" s="832"/>
      <c r="P845" s="832"/>
      <c r="Q845" s="832"/>
      <c r="R845" s="832"/>
      <c r="S845" s="832"/>
      <c r="T845" s="832"/>
    </row>
    <row r="846" spans="1:20" x14ac:dyDescent="0.2">
      <c r="A846" s="832"/>
      <c r="B846" s="990" t="s">
        <v>1153</v>
      </c>
      <c r="C846" s="832"/>
      <c r="D846" s="832"/>
      <c r="E846" s="832"/>
      <c r="F846" s="832"/>
      <c r="G846" s="832"/>
      <c r="H846" s="832"/>
      <c r="I846" s="832"/>
      <c r="J846" s="832"/>
      <c r="K846" s="832"/>
      <c r="L846" s="832"/>
      <c r="M846" s="832"/>
      <c r="N846" s="832"/>
      <c r="O846" s="832"/>
      <c r="P846" s="832"/>
      <c r="Q846" s="832"/>
      <c r="R846" s="832"/>
      <c r="S846" s="832"/>
      <c r="T846" s="832"/>
    </row>
    <row r="847" spans="1:20" x14ac:dyDescent="0.2">
      <c r="A847" s="832"/>
      <c r="B847" s="990" t="s">
        <v>501</v>
      </c>
      <c r="C847" s="832"/>
      <c r="D847" s="832"/>
      <c r="E847" s="994">
        <f>F822</f>
        <v>16.423286373547349</v>
      </c>
      <c r="F847" s="990" t="s">
        <v>57</v>
      </c>
      <c r="G847" s="832"/>
      <c r="H847" s="832"/>
      <c r="I847" s="832"/>
      <c r="J847" s="832"/>
      <c r="K847" s="832"/>
      <c r="L847" s="832"/>
      <c r="M847" s="832"/>
      <c r="N847" s="832"/>
      <c r="O847" s="832"/>
      <c r="P847" s="832"/>
      <c r="Q847" s="832"/>
      <c r="R847" s="832"/>
      <c r="S847" s="832"/>
      <c r="T847" s="832"/>
    </row>
    <row r="848" spans="1:20" x14ac:dyDescent="0.2">
      <c r="A848" s="832"/>
      <c r="B848" s="990" t="s">
        <v>1154</v>
      </c>
      <c r="C848" s="832"/>
      <c r="D848" s="832"/>
      <c r="E848" s="832"/>
      <c r="F848" s="999">
        <f>$G$57</f>
        <v>428.65627255412932</v>
      </c>
      <c r="G848" s="990" t="s">
        <v>35</v>
      </c>
      <c r="H848" s="832"/>
      <c r="I848" s="832"/>
      <c r="J848" s="832"/>
      <c r="K848" s="832"/>
      <c r="L848" s="832"/>
      <c r="M848" s="832"/>
      <c r="N848" s="832"/>
      <c r="O848" s="832"/>
      <c r="P848" s="832"/>
      <c r="Q848" s="832"/>
      <c r="R848" s="832"/>
      <c r="S848" s="832"/>
      <c r="T848" s="832"/>
    </row>
    <row r="849" spans="1:20" x14ac:dyDescent="0.2">
      <c r="A849" s="832"/>
      <c r="B849" s="990" t="s">
        <v>61</v>
      </c>
      <c r="C849" s="832"/>
      <c r="D849" s="832"/>
      <c r="E849" s="997">
        <f>E847/F848*1000</f>
        <v>38.313416658270107</v>
      </c>
      <c r="F849" s="990" t="s">
        <v>43</v>
      </c>
      <c r="G849" s="832"/>
      <c r="H849" s="832"/>
      <c r="I849" s="832"/>
      <c r="J849" s="832"/>
      <c r="K849" s="832"/>
      <c r="L849" s="832"/>
      <c r="M849" s="832"/>
      <c r="N849" s="832"/>
      <c r="O849" s="832"/>
      <c r="P849" s="832"/>
      <c r="Q849" s="832"/>
      <c r="R849" s="832"/>
      <c r="S849" s="832"/>
      <c r="T849" s="832"/>
    </row>
    <row r="850" spans="1:20" x14ac:dyDescent="0.2">
      <c r="A850" s="832"/>
      <c r="B850" s="832"/>
      <c r="C850" s="832"/>
      <c r="D850" s="832"/>
      <c r="E850" s="832"/>
      <c r="F850" s="832"/>
      <c r="G850" s="832"/>
      <c r="H850" s="832"/>
      <c r="I850" s="832"/>
      <c r="J850" s="832"/>
      <c r="K850" s="832"/>
      <c r="L850" s="832"/>
      <c r="M850" s="832"/>
      <c r="N850" s="832"/>
      <c r="O850" s="832"/>
      <c r="P850" s="832"/>
      <c r="Q850" s="832"/>
      <c r="R850" s="832"/>
      <c r="S850" s="832"/>
      <c r="T850" s="832"/>
    </row>
    <row r="851" spans="1:20" x14ac:dyDescent="0.2">
      <c r="A851" s="832"/>
      <c r="B851" s="994" t="str">
        <f>IF(E844&gt;=E849,"dr(Moment)  &gt;  dr(Shear)","dr(Moment)  &lt;  dr(Shear)")</f>
        <v>dr(Moment)  &gt;  dr(Shear)</v>
      </c>
      <c r="C851" s="832"/>
      <c r="D851" s="832"/>
      <c r="E851" s="990" t="s">
        <v>1156</v>
      </c>
      <c r="F851" s="832"/>
      <c r="G851" s="997">
        <f>IF(E844&gt;=E849,E844,E849)</f>
        <v>49.420052515942771</v>
      </c>
      <c r="H851" s="990" t="s">
        <v>62</v>
      </c>
      <c r="I851" s="832"/>
      <c r="J851" s="832"/>
      <c r="K851" s="832"/>
      <c r="L851" s="832"/>
      <c r="M851" s="832"/>
      <c r="N851" s="832"/>
      <c r="O851" s="832"/>
      <c r="P851" s="832"/>
      <c r="Q851" s="832"/>
      <c r="R851" s="832"/>
      <c r="S851" s="832"/>
      <c r="T851" s="832"/>
    </row>
    <row r="852" spans="1:20" x14ac:dyDescent="0.2">
      <c r="A852" s="832"/>
      <c r="B852" s="990" t="s">
        <v>63</v>
      </c>
      <c r="C852" s="832"/>
      <c r="D852" s="997">
        <f>G851</f>
        <v>49.420052515942771</v>
      </c>
      <c r="E852" s="990" t="s">
        <v>1502</v>
      </c>
      <c r="F852" s="997">
        <f>G62</f>
        <v>75</v>
      </c>
      <c r="G852" s="990" t="s">
        <v>1503</v>
      </c>
      <c r="H852" s="997">
        <f>D852+F852</f>
        <v>124.42005251594277</v>
      </c>
      <c r="I852" s="990" t="s">
        <v>43</v>
      </c>
      <c r="J852" s="832"/>
      <c r="K852" s="832"/>
      <c r="L852" s="832"/>
      <c r="M852" s="832"/>
      <c r="N852" s="832"/>
      <c r="O852" s="832"/>
      <c r="P852" s="832"/>
      <c r="Q852" s="832"/>
      <c r="R852" s="832"/>
      <c r="S852" s="832"/>
      <c r="T852" s="832"/>
    </row>
    <row r="853" spans="1:20" x14ac:dyDescent="0.2">
      <c r="A853" s="832"/>
      <c r="B853" s="990" t="s">
        <v>574</v>
      </c>
      <c r="C853" s="832"/>
      <c r="D853" s="832"/>
      <c r="E853" s="832"/>
      <c r="F853" s="832"/>
      <c r="G853" s="997">
        <f>$E$31</f>
        <v>350</v>
      </c>
      <c r="H853" s="990" t="s">
        <v>43</v>
      </c>
      <c r="I853" s="832"/>
      <c r="J853" s="832"/>
      <c r="K853" s="832"/>
      <c r="L853" s="832"/>
      <c r="M853" s="832"/>
      <c r="N853" s="832"/>
      <c r="O853" s="832"/>
      <c r="P853" s="832"/>
      <c r="Q853" s="832"/>
      <c r="R853" s="832"/>
      <c r="S853" s="832"/>
      <c r="T853" s="832"/>
    </row>
    <row r="854" spans="1:20" x14ac:dyDescent="0.2">
      <c r="A854" s="832"/>
      <c r="B854" s="832"/>
      <c r="C854" s="832"/>
      <c r="D854" s="832"/>
      <c r="E854" s="832"/>
      <c r="F854" s="832"/>
      <c r="G854" s="832"/>
      <c r="H854" s="832"/>
      <c r="I854" s="832"/>
      <c r="J854" s="832"/>
      <c r="K854" s="832"/>
      <c r="L854" s="832"/>
      <c r="M854" s="832"/>
      <c r="N854" s="832"/>
      <c r="O854" s="832"/>
      <c r="P854" s="832"/>
      <c r="Q854" s="832"/>
      <c r="R854" s="832"/>
      <c r="S854" s="832"/>
      <c r="T854" s="832"/>
    </row>
    <row r="855" spans="1:20" x14ac:dyDescent="0.2">
      <c r="A855" s="832"/>
      <c r="B855" s="1013" t="str">
        <f>IF(G853&gt;=H852,"ta  &gt;  tr     Design is OK.","ta  &lt;  tr     Design is Not OK.")</f>
        <v>ta  &gt;  tr     Design is OK.</v>
      </c>
      <c r="C855" s="832"/>
      <c r="D855" s="832"/>
      <c r="E855" s="832"/>
      <c r="F855" s="990" t="s">
        <v>64</v>
      </c>
      <c r="G855" s="832"/>
      <c r="H855" s="832"/>
      <c r="I855" s="832"/>
      <c r="J855" s="832"/>
      <c r="K855" s="832"/>
      <c r="L855" s="832"/>
      <c r="M855" s="832"/>
      <c r="N855" s="832"/>
      <c r="O855" s="832"/>
      <c r="P855" s="832"/>
      <c r="Q855" s="832"/>
      <c r="R855" s="832"/>
      <c r="S855" s="832"/>
      <c r="T855" s="832"/>
    </row>
    <row r="856" spans="1:20" x14ac:dyDescent="0.2">
      <c r="A856" s="832"/>
      <c r="B856" s="994" t="str">
        <f>IF(G853&gt;1.5*H852,"WARNING:  Actual Member Thickness is considerably larger (&gt;50%) than required.","")</f>
        <v>WARNING:  Actual Member Thickness is considerably larger (&gt;50%) than required.</v>
      </c>
      <c r="C856" s="832"/>
      <c r="D856" s="832"/>
      <c r="E856" s="832"/>
      <c r="F856" s="832"/>
      <c r="G856" s="832"/>
      <c r="H856" s="832"/>
      <c r="I856" s="832"/>
      <c r="J856" s="832"/>
      <c r="K856" s="832"/>
      <c r="L856" s="832"/>
      <c r="M856" s="832"/>
      <c r="N856" s="832"/>
      <c r="O856" s="832"/>
      <c r="P856" s="832"/>
      <c r="Q856" s="832"/>
      <c r="R856" s="832"/>
      <c r="S856" s="832"/>
      <c r="T856" s="832"/>
    </row>
    <row r="857" spans="1:20" x14ac:dyDescent="0.2">
      <c r="A857" s="832"/>
      <c r="B857" s="832"/>
      <c r="C857" s="832"/>
      <c r="D857" s="832"/>
      <c r="E857" s="832"/>
      <c r="F857" s="832"/>
      <c r="G857" s="832"/>
      <c r="H857" s="832"/>
      <c r="I857" s="832"/>
      <c r="J857" s="832"/>
      <c r="K857" s="832"/>
      <c r="L857" s="832"/>
      <c r="M857" s="832"/>
      <c r="N857" s="832"/>
      <c r="O857" s="832"/>
      <c r="P857" s="832"/>
      <c r="Q857" s="832"/>
      <c r="R857" s="832"/>
      <c r="S857" s="832"/>
      <c r="T857" s="832"/>
    </row>
    <row r="858" spans="1:20" x14ac:dyDescent="0.2">
      <c r="A858" s="990" t="s">
        <v>950</v>
      </c>
      <c r="B858" s="832"/>
      <c r="C858" s="832"/>
      <c r="D858" s="832"/>
      <c r="E858" s="832"/>
      <c r="F858" s="832"/>
      <c r="G858" s="832"/>
      <c r="H858" s="832"/>
      <c r="I858" s="832"/>
      <c r="J858" s="832"/>
      <c r="K858" s="832"/>
      <c r="L858" s="832"/>
      <c r="M858" s="832"/>
      <c r="N858" s="832"/>
      <c r="O858" s="832"/>
      <c r="P858" s="832"/>
      <c r="Q858" s="832"/>
      <c r="R858" s="832"/>
      <c r="S858" s="832"/>
      <c r="T858" s="832"/>
    </row>
    <row r="859" spans="1:20" x14ac:dyDescent="0.2">
      <c r="A859" s="832"/>
      <c r="B859" s="990" t="s">
        <v>1544</v>
      </c>
      <c r="C859" s="832"/>
      <c r="D859" s="832"/>
      <c r="E859" s="832"/>
      <c r="F859" s="832"/>
      <c r="G859" s="832"/>
      <c r="H859" s="832"/>
      <c r="I859" s="832"/>
      <c r="J859" s="832"/>
      <c r="K859" s="832"/>
      <c r="L859" s="832"/>
      <c r="M859" s="832"/>
      <c r="N859" s="832"/>
      <c r="O859" s="832"/>
      <c r="P859" s="832"/>
      <c r="Q859" s="832"/>
      <c r="R859" s="832"/>
      <c r="S859" s="832"/>
      <c r="T859" s="832"/>
    </row>
    <row r="860" spans="1:20" x14ac:dyDescent="0.2">
      <c r="A860" s="832"/>
      <c r="B860" s="1000" t="s">
        <v>1598</v>
      </c>
      <c r="C860" s="832"/>
      <c r="D860" s="832"/>
      <c r="E860" s="832"/>
      <c r="F860" s="832"/>
      <c r="G860" s="832"/>
      <c r="H860" s="832"/>
      <c r="I860" s="832"/>
      <c r="J860" s="832"/>
      <c r="K860" s="832"/>
      <c r="L860" s="832"/>
      <c r="M860" s="832"/>
      <c r="N860" s="832"/>
      <c r="O860" s="832"/>
      <c r="P860" s="832"/>
      <c r="Q860" s="832"/>
      <c r="R860" s="832"/>
      <c r="S860" s="832"/>
      <c r="T860" s="832"/>
    </row>
    <row r="861" spans="1:20" x14ac:dyDescent="0.2">
      <c r="A861" s="832"/>
      <c r="B861" s="990" t="s">
        <v>499</v>
      </c>
      <c r="C861" s="832"/>
      <c r="D861" s="832"/>
      <c r="E861" s="832"/>
      <c r="F861" s="832"/>
      <c r="G861" s="832"/>
      <c r="H861" s="832"/>
      <c r="I861" s="832"/>
      <c r="J861" s="832"/>
      <c r="K861" s="832"/>
      <c r="L861" s="832"/>
      <c r="M861" s="832"/>
      <c r="N861" s="832"/>
      <c r="O861" s="832"/>
      <c r="P861" s="832"/>
      <c r="Q861" s="832"/>
      <c r="R861" s="832"/>
      <c r="S861" s="832"/>
      <c r="T861" s="832"/>
    </row>
    <row r="862" spans="1:20" x14ac:dyDescent="0.2">
      <c r="A862" s="832"/>
      <c r="B862" s="832"/>
      <c r="C862" s="832"/>
      <c r="D862" s="832"/>
      <c r="E862" s="832"/>
      <c r="F862" s="832"/>
      <c r="G862" s="832"/>
      <c r="H862" s="832"/>
      <c r="I862" s="832"/>
      <c r="J862" s="832"/>
      <c r="K862" s="832"/>
      <c r="L862" s="832"/>
      <c r="M862" s="832"/>
      <c r="N862" s="832"/>
      <c r="O862" s="832"/>
      <c r="P862" s="832"/>
      <c r="Q862" s="832"/>
      <c r="R862" s="832"/>
      <c r="S862" s="832"/>
      <c r="T862" s="832"/>
    </row>
    <row r="863" spans="1:20" x14ac:dyDescent="0.2">
      <c r="A863" s="832"/>
      <c r="B863" s="990" t="s">
        <v>1926</v>
      </c>
      <c r="C863" s="832"/>
      <c r="D863" s="832"/>
      <c r="E863" s="832"/>
      <c r="F863" s="832"/>
      <c r="G863" s="832"/>
      <c r="H863" s="832"/>
      <c r="I863" s="832"/>
      <c r="J863" s="832"/>
      <c r="K863" s="832"/>
      <c r="L863" s="832"/>
      <c r="M863" s="832"/>
      <c r="N863" s="832"/>
      <c r="O863" s="832"/>
      <c r="P863" s="832"/>
      <c r="Q863" s="832"/>
      <c r="R863" s="832"/>
      <c r="S863" s="832"/>
      <c r="T863" s="832"/>
    </row>
    <row r="864" spans="1:20" x14ac:dyDescent="0.2">
      <c r="A864" s="832"/>
      <c r="B864" s="990"/>
      <c r="C864" s="832"/>
      <c r="D864" s="832"/>
      <c r="E864" s="832"/>
      <c r="F864" s="832"/>
      <c r="G864" s="832"/>
      <c r="H864" s="832"/>
      <c r="I864" s="832"/>
      <c r="J864" s="832"/>
      <c r="K864" s="832"/>
      <c r="L864" s="832"/>
      <c r="M864" s="832"/>
      <c r="N864" s="832"/>
      <c r="O864" s="832"/>
      <c r="P864" s="832"/>
      <c r="Q864" s="832"/>
      <c r="R864" s="832"/>
      <c r="S864" s="832"/>
      <c r="T864" s="832"/>
    </row>
    <row r="865" spans="1:20" x14ac:dyDescent="0.2">
      <c r="A865" s="832"/>
      <c r="B865" s="990" t="s">
        <v>1150</v>
      </c>
      <c r="C865" s="832"/>
      <c r="D865" s="832"/>
      <c r="E865" s="832"/>
      <c r="F865" s="832"/>
      <c r="G865" s="832"/>
      <c r="H865" s="832"/>
      <c r="I865" s="832"/>
      <c r="J865" s="832"/>
      <c r="K865" s="832"/>
      <c r="L865" s="832"/>
      <c r="M865" s="832"/>
      <c r="N865" s="832"/>
      <c r="O865" s="832"/>
      <c r="P865" s="832"/>
      <c r="Q865" s="832"/>
      <c r="R865" s="832"/>
      <c r="S865" s="832"/>
      <c r="T865" s="832"/>
    </row>
    <row r="866" spans="1:20" x14ac:dyDescent="0.2">
      <c r="A866" s="832"/>
      <c r="B866" s="990" t="s">
        <v>500</v>
      </c>
      <c r="C866" s="832"/>
      <c r="D866" s="832"/>
      <c r="E866" s="994">
        <f>MAX(F825:F826)</f>
        <v>3.5239123782879691</v>
      </c>
      <c r="F866" s="990" t="s">
        <v>58</v>
      </c>
      <c r="G866" s="832"/>
      <c r="H866" s="832"/>
      <c r="I866" s="832"/>
      <c r="J866" s="832"/>
      <c r="K866" s="832"/>
      <c r="L866" s="832"/>
      <c r="M866" s="832"/>
      <c r="N866" s="832"/>
      <c r="O866" s="832"/>
      <c r="P866" s="832"/>
      <c r="Q866" s="832"/>
      <c r="R866" s="832"/>
      <c r="S866" s="832"/>
      <c r="T866" s="832"/>
    </row>
    <row r="867" spans="1:20" x14ac:dyDescent="0.2">
      <c r="A867" s="832"/>
      <c r="B867" s="990" t="s">
        <v>1151</v>
      </c>
      <c r="C867" s="832"/>
      <c r="D867" s="832"/>
      <c r="E867" s="999">
        <f>$F$128</f>
        <v>1252.9941383359403</v>
      </c>
      <c r="F867" s="990" t="s">
        <v>35</v>
      </c>
      <c r="G867" s="832"/>
      <c r="H867" s="832"/>
      <c r="I867" s="832"/>
      <c r="J867" s="832"/>
      <c r="K867" s="832"/>
      <c r="L867" s="832"/>
      <c r="M867" s="832"/>
      <c r="N867" s="832"/>
      <c r="O867" s="832"/>
      <c r="P867" s="832"/>
      <c r="Q867" s="832"/>
      <c r="R867" s="832"/>
      <c r="S867" s="832"/>
      <c r="T867" s="832"/>
    </row>
    <row r="868" spans="1:20" x14ac:dyDescent="0.2">
      <c r="A868" s="832"/>
      <c r="B868" s="990" t="s">
        <v>1152</v>
      </c>
      <c r="C868" s="832"/>
      <c r="D868" s="832"/>
      <c r="E868" s="832"/>
      <c r="F868" s="832"/>
      <c r="G868" s="832"/>
      <c r="H868" s="832"/>
      <c r="I868" s="832"/>
      <c r="J868" s="832"/>
      <c r="K868" s="832"/>
      <c r="L868" s="832"/>
      <c r="M868" s="832"/>
      <c r="N868" s="832"/>
      <c r="O868" s="832"/>
      <c r="P868" s="832"/>
      <c r="Q868" s="832"/>
      <c r="R868" s="832"/>
      <c r="S868" s="832"/>
      <c r="T868" s="832"/>
    </row>
    <row r="869" spans="1:20" x14ac:dyDescent="0.2">
      <c r="A869" s="832"/>
      <c r="B869" s="990" t="s">
        <v>60</v>
      </c>
      <c r="C869" s="832"/>
      <c r="D869" s="832"/>
      <c r="E869" s="997">
        <f>SQRT(E866/E867)*1000</f>
        <v>53.032003043840959</v>
      </c>
      <c r="F869" s="990" t="s">
        <v>43</v>
      </c>
      <c r="G869" s="832"/>
      <c r="H869" s="832"/>
      <c r="I869" s="832"/>
      <c r="J869" s="832"/>
      <c r="K869" s="832"/>
      <c r="L869" s="832"/>
      <c r="M869" s="832"/>
      <c r="N869" s="832"/>
      <c r="O869" s="832"/>
      <c r="P869" s="832"/>
      <c r="Q869" s="832"/>
      <c r="R869" s="832"/>
      <c r="S869" s="832"/>
      <c r="T869" s="832"/>
    </row>
    <row r="870" spans="1:20" x14ac:dyDescent="0.2">
      <c r="A870" s="832"/>
      <c r="B870" s="832"/>
      <c r="C870" s="832"/>
      <c r="D870" s="832"/>
      <c r="E870" s="832"/>
      <c r="F870" s="832"/>
      <c r="G870" s="832"/>
      <c r="H870" s="832"/>
      <c r="I870" s="832"/>
      <c r="J870" s="832"/>
      <c r="K870" s="832"/>
      <c r="L870" s="832"/>
      <c r="M870" s="832"/>
      <c r="N870" s="832"/>
      <c r="O870" s="832"/>
      <c r="P870" s="832"/>
      <c r="Q870" s="832"/>
      <c r="R870" s="832"/>
      <c r="S870" s="832"/>
      <c r="T870" s="832"/>
    </row>
    <row r="871" spans="1:20" x14ac:dyDescent="0.2">
      <c r="A871" s="832"/>
      <c r="B871" s="990" t="s">
        <v>1153</v>
      </c>
      <c r="C871" s="832"/>
      <c r="D871" s="832"/>
      <c r="E871" s="832"/>
      <c r="F871" s="832"/>
      <c r="G871" s="832"/>
      <c r="H871" s="832"/>
      <c r="I871" s="832"/>
      <c r="J871" s="832"/>
      <c r="K871" s="832"/>
      <c r="L871" s="832"/>
      <c r="M871" s="832"/>
      <c r="N871" s="832"/>
      <c r="O871" s="832"/>
      <c r="P871" s="832"/>
      <c r="Q871" s="832"/>
      <c r="R871" s="832"/>
      <c r="S871" s="832"/>
      <c r="T871" s="832"/>
    </row>
    <row r="872" spans="1:20" x14ac:dyDescent="0.2">
      <c r="A872" s="832"/>
      <c r="B872" s="990" t="s">
        <v>501</v>
      </c>
      <c r="C872" s="832"/>
      <c r="D872" s="832"/>
      <c r="E872" s="994">
        <f>F827</f>
        <v>18.911663096812099</v>
      </c>
      <c r="F872" s="990" t="s">
        <v>57</v>
      </c>
      <c r="G872" s="832"/>
      <c r="H872" s="832"/>
      <c r="I872" s="832"/>
      <c r="J872" s="832"/>
      <c r="K872" s="832"/>
      <c r="L872" s="832"/>
      <c r="M872" s="832"/>
      <c r="N872" s="832"/>
      <c r="O872" s="832"/>
      <c r="P872" s="832"/>
      <c r="Q872" s="832"/>
      <c r="R872" s="832"/>
      <c r="S872" s="832"/>
      <c r="T872" s="832"/>
    </row>
    <row r="873" spans="1:20" x14ac:dyDescent="0.2">
      <c r="A873" s="832"/>
      <c r="B873" s="990" t="s">
        <v>1154</v>
      </c>
      <c r="C873" s="832"/>
      <c r="D873" s="832"/>
      <c r="E873" s="832"/>
      <c r="F873" s="999">
        <f>$G$57</f>
        <v>428.65627255412932</v>
      </c>
      <c r="G873" s="990" t="s">
        <v>35</v>
      </c>
      <c r="H873" s="832"/>
      <c r="I873" s="832"/>
      <c r="J873" s="832"/>
      <c r="K873" s="832"/>
      <c r="L873" s="832"/>
      <c r="M873" s="832"/>
      <c r="N873" s="832"/>
      <c r="O873" s="832"/>
      <c r="P873" s="832"/>
      <c r="Q873" s="832"/>
      <c r="R873" s="832"/>
      <c r="S873" s="832"/>
      <c r="T873" s="832"/>
    </row>
    <row r="874" spans="1:20" x14ac:dyDescent="0.2">
      <c r="A874" s="832"/>
      <c r="B874" s="990" t="s">
        <v>61</v>
      </c>
      <c r="C874" s="832"/>
      <c r="D874" s="832"/>
      <c r="E874" s="997">
        <f>E872/F873*1000</f>
        <v>44.118479788311028</v>
      </c>
      <c r="F874" s="990" t="s">
        <v>43</v>
      </c>
      <c r="G874" s="832"/>
      <c r="H874" s="832"/>
      <c r="I874" s="832"/>
      <c r="J874" s="832"/>
      <c r="K874" s="832"/>
      <c r="L874" s="832"/>
      <c r="M874" s="832"/>
      <c r="N874" s="832"/>
      <c r="O874" s="832"/>
      <c r="P874" s="832"/>
      <c r="Q874" s="832"/>
      <c r="R874" s="832"/>
      <c r="S874" s="832"/>
      <c r="T874" s="832"/>
    </row>
    <row r="875" spans="1:20" x14ac:dyDescent="0.2">
      <c r="A875" s="990" t="s">
        <v>986</v>
      </c>
      <c r="B875" s="832"/>
      <c r="C875" s="832"/>
      <c r="D875" s="832"/>
      <c r="E875" s="832"/>
      <c r="F875" s="832"/>
      <c r="G875" s="832"/>
      <c r="H875" s="832"/>
      <c r="I875" s="832"/>
      <c r="J875" s="832"/>
      <c r="K875" s="832"/>
      <c r="L875" s="832"/>
      <c r="M875" s="832"/>
      <c r="N875" s="832"/>
      <c r="O875" s="832"/>
      <c r="P875" s="832"/>
      <c r="Q875" s="832"/>
      <c r="R875" s="832"/>
      <c r="S875" s="832"/>
      <c r="T875" s="832"/>
    </row>
    <row r="876" spans="1:20" x14ac:dyDescent="0.2">
      <c r="A876" s="832"/>
      <c r="B876" s="994" t="str">
        <f>IF(E869&gt;=E874,"dr(Moment)  &gt;  dr(Shear)","dr(Moment)  &lt;  dr(Shear)")</f>
        <v>dr(Moment)  &gt;  dr(Shear)</v>
      </c>
      <c r="C876" s="832"/>
      <c r="D876" s="832"/>
      <c r="E876" s="990" t="s">
        <v>1156</v>
      </c>
      <c r="F876" s="832"/>
      <c r="G876" s="997">
        <f>IF(E869&gt;=E874,E869,E874)</f>
        <v>53.032003043840959</v>
      </c>
      <c r="H876" s="990" t="s">
        <v>62</v>
      </c>
      <c r="I876" s="832"/>
      <c r="J876" s="832"/>
      <c r="K876" s="832"/>
      <c r="L876" s="832"/>
      <c r="M876" s="832"/>
      <c r="N876" s="832"/>
      <c r="O876" s="832"/>
      <c r="P876" s="832"/>
      <c r="Q876" s="832"/>
      <c r="R876" s="832"/>
      <c r="S876" s="832"/>
      <c r="T876" s="832"/>
    </row>
    <row r="877" spans="1:20" x14ac:dyDescent="0.2">
      <c r="A877" s="832"/>
      <c r="B877" s="990" t="s">
        <v>63</v>
      </c>
      <c r="C877" s="832"/>
      <c r="D877" s="997">
        <f>G876</f>
        <v>53.032003043840959</v>
      </c>
      <c r="E877" s="990" t="s">
        <v>1502</v>
      </c>
      <c r="F877" s="997">
        <f>G62</f>
        <v>75</v>
      </c>
      <c r="G877" s="990" t="s">
        <v>1503</v>
      </c>
      <c r="H877" s="997">
        <f>D877+F877</f>
        <v>128.03200304384097</v>
      </c>
      <c r="I877" s="990" t="s">
        <v>43</v>
      </c>
      <c r="J877" s="832"/>
      <c r="K877" s="832"/>
      <c r="L877" s="832"/>
      <c r="M877" s="832"/>
      <c r="N877" s="832"/>
      <c r="O877" s="832"/>
      <c r="P877" s="832"/>
      <c r="Q877" s="832"/>
      <c r="R877" s="832"/>
      <c r="S877" s="832"/>
      <c r="T877" s="832"/>
    </row>
    <row r="878" spans="1:20" x14ac:dyDescent="0.2">
      <c r="A878" s="832"/>
      <c r="B878" s="832"/>
      <c r="C878" s="832"/>
      <c r="D878" s="832"/>
      <c r="E878" s="832"/>
      <c r="F878" s="832"/>
      <c r="G878" s="832"/>
      <c r="H878" s="832"/>
      <c r="I878" s="832"/>
      <c r="J878" s="832"/>
      <c r="K878" s="832"/>
      <c r="L878" s="832"/>
      <c r="M878" s="832"/>
      <c r="N878" s="832"/>
      <c r="O878" s="832"/>
      <c r="P878" s="832"/>
      <c r="Q878" s="832"/>
      <c r="R878" s="832"/>
      <c r="S878" s="832"/>
      <c r="T878" s="832"/>
    </row>
    <row r="879" spans="1:20" x14ac:dyDescent="0.2">
      <c r="A879" s="832"/>
      <c r="B879" s="990" t="s">
        <v>574</v>
      </c>
      <c r="C879" s="832"/>
      <c r="D879" s="832"/>
      <c r="E879" s="832"/>
      <c r="F879" s="832"/>
      <c r="G879" s="997">
        <f>$E$32</f>
        <v>350</v>
      </c>
      <c r="H879" s="990" t="s">
        <v>43</v>
      </c>
      <c r="I879" s="832"/>
      <c r="J879" s="832"/>
      <c r="K879" s="832"/>
      <c r="L879" s="832"/>
      <c r="M879" s="832"/>
      <c r="N879" s="832"/>
      <c r="O879" s="832"/>
      <c r="P879" s="832"/>
      <c r="Q879" s="832"/>
      <c r="R879" s="832"/>
      <c r="S879" s="832"/>
      <c r="T879" s="832"/>
    </row>
    <row r="880" spans="1:20" x14ac:dyDescent="0.2">
      <c r="A880" s="832"/>
      <c r="B880" s="1013" t="str">
        <f>IF(G879&gt;=H877,"ta  &gt;  tr     Design is OK.","ta  &lt;  tr     Design is Not OK.")</f>
        <v>ta  &gt;  tr     Design is OK.</v>
      </c>
      <c r="C880" s="832"/>
      <c r="D880" s="832"/>
      <c r="E880" s="832"/>
      <c r="F880" s="990" t="s">
        <v>64</v>
      </c>
      <c r="G880" s="832"/>
      <c r="H880" s="832"/>
      <c r="I880" s="832"/>
      <c r="J880" s="832"/>
      <c r="K880" s="832"/>
      <c r="L880" s="832"/>
      <c r="M880" s="832"/>
      <c r="N880" s="832"/>
      <c r="O880" s="832"/>
      <c r="P880" s="832"/>
      <c r="Q880" s="832"/>
      <c r="R880" s="832"/>
      <c r="S880" s="832"/>
      <c r="T880" s="832"/>
    </row>
    <row r="881" spans="1:20" x14ac:dyDescent="0.2">
      <c r="A881" s="832"/>
      <c r="B881" s="832"/>
      <c r="C881" s="832"/>
      <c r="D881" s="832"/>
      <c r="E881" s="832"/>
      <c r="F881" s="832"/>
      <c r="G881" s="832"/>
      <c r="H881" s="832"/>
      <c r="I881" s="832"/>
      <c r="J881" s="832"/>
      <c r="K881" s="832"/>
      <c r="L881" s="832"/>
      <c r="M881" s="832"/>
      <c r="N881" s="832"/>
      <c r="O881" s="832"/>
      <c r="P881" s="832"/>
      <c r="Q881" s="832"/>
      <c r="R881" s="832"/>
      <c r="S881" s="832"/>
      <c r="T881" s="832"/>
    </row>
    <row r="882" spans="1:20" x14ac:dyDescent="0.2">
      <c r="A882" s="990" t="s">
        <v>950</v>
      </c>
      <c r="B882" s="832"/>
      <c r="C882" s="832"/>
      <c r="D882" s="832"/>
      <c r="E882" s="832"/>
      <c r="F882" s="832"/>
      <c r="G882" s="832"/>
      <c r="H882" s="832"/>
      <c r="I882" s="832"/>
      <c r="J882" s="832"/>
      <c r="K882" s="832"/>
      <c r="L882" s="832"/>
      <c r="M882" s="832"/>
      <c r="N882" s="832"/>
      <c r="O882" s="832"/>
      <c r="P882" s="832"/>
      <c r="Q882" s="832"/>
      <c r="R882" s="832"/>
      <c r="S882" s="832"/>
      <c r="T882" s="832"/>
    </row>
    <row r="883" spans="1:20" x14ac:dyDescent="0.2">
      <c r="A883" s="990" t="s">
        <v>123</v>
      </c>
      <c r="B883" s="832"/>
      <c r="C883" s="832"/>
      <c r="D883" s="832"/>
      <c r="E883" s="832"/>
      <c r="F883" s="832"/>
      <c r="G883" s="832"/>
      <c r="H883" s="832"/>
      <c r="I883" s="832"/>
      <c r="J883" s="832"/>
      <c r="K883" s="832"/>
      <c r="L883" s="832"/>
      <c r="M883" s="832"/>
      <c r="N883" s="832"/>
      <c r="O883" s="832"/>
      <c r="P883" s="832"/>
      <c r="Q883" s="832"/>
      <c r="R883" s="832"/>
      <c r="S883" s="832"/>
      <c r="T883" s="832"/>
    </row>
    <row r="884" spans="1:20" x14ac:dyDescent="0.2">
      <c r="A884" s="832"/>
      <c r="B884" s="832"/>
      <c r="C884" s="832"/>
      <c r="D884" s="832"/>
      <c r="E884" s="832"/>
      <c r="F884" s="832"/>
      <c r="G884" s="832"/>
      <c r="H884" s="832"/>
      <c r="I884" s="832"/>
      <c r="J884" s="832"/>
      <c r="K884" s="832"/>
      <c r="L884" s="832"/>
      <c r="M884" s="832"/>
      <c r="N884" s="832"/>
      <c r="O884" s="832"/>
      <c r="P884" s="832"/>
      <c r="Q884" s="832"/>
      <c r="R884" s="832"/>
      <c r="S884" s="832"/>
      <c r="T884" s="832"/>
    </row>
    <row r="885" spans="1:20" x14ac:dyDescent="0.2">
      <c r="A885" s="832"/>
      <c r="B885" s="990" t="s">
        <v>503</v>
      </c>
      <c r="C885" s="832"/>
      <c r="D885" s="832"/>
      <c r="E885" s="832"/>
      <c r="F885" s="832"/>
      <c r="G885" s="832"/>
      <c r="H885" s="832"/>
      <c r="I885" s="832"/>
      <c r="J885" s="832"/>
      <c r="K885" s="832"/>
      <c r="L885" s="832"/>
      <c r="M885" s="832"/>
      <c r="N885" s="832"/>
      <c r="O885" s="832"/>
      <c r="P885" s="832"/>
      <c r="Q885" s="832"/>
      <c r="R885" s="832"/>
      <c r="S885" s="832"/>
      <c r="T885" s="832"/>
    </row>
    <row r="886" spans="1:20" x14ac:dyDescent="0.2">
      <c r="A886" s="832"/>
      <c r="B886" s="990" t="s">
        <v>504</v>
      </c>
      <c r="C886" s="832"/>
      <c r="D886" s="832"/>
      <c r="E886" s="832"/>
      <c r="F886" s="832"/>
      <c r="G886" s="832"/>
      <c r="H886" s="832"/>
      <c r="I886" s="832"/>
      <c r="J886" s="832"/>
      <c r="K886" s="832"/>
      <c r="L886" s="832"/>
      <c r="M886" s="832"/>
      <c r="N886" s="832"/>
      <c r="O886" s="832"/>
      <c r="P886" s="832"/>
      <c r="Q886" s="832"/>
      <c r="R886" s="832"/>
      <c r="S886" s="832"/>
      <c r="T886" s="832"/>
    </row>
    <row r="887" spans="1:20" x14ac:dyDescent="0.2">
      <c r="A887" s="832"/>
      <c r="B887" s="990" t="s">
        <v>505</v>
      </c>
      <c r="C887" s="832"/>
      <c r="D887" s="832"/>
      <c r="E887" s="832"/>
      <c r="F887" s="832"/>
      <c r="G887" s="832"/>
      <c r="H887" s="832"/>
      <c r="I887" s="832"/>
      <c r="J887" s="832"/>
      <c r="K887" s="832"/>
      <c r="L887" s="990" t="s">
        <v>66</v>
      </c>
      <c r="M887" s="832"/>
      <c r="N887" s="997">
        <v>12</v>
      </c>
      <c r="O887" s="997">
        <v>16</v>
      </c>
      <c r="P887" s="997">
        <v>20</v>
      </c>
      <c r="Q887" s="997">
        <v>22</v>
      </c>
      <c r="R887" s="997">
        <v>25</v>
      </c>
      <c r="S887" s="832"/>
      <c r="T887" s="832"/>
    </row>
    <row r="888" spans="1:20" x14ac:dyDescent="0.2">
      <c r="A888" s="832"/>
      <c r="B888" s="832"/>
      <c r="C888" s="832"/>
      <c r="D888" s="832"/>
      <c r="E888" s="832"/>
      <c r="F888" s="832"/>
      <c r="G888" s="832"/>
      <c r="H888" s="832"/>
      <c r="I888" s="832"/>
      <c r="J888" s="832"/>
      <c r="K888" s="832"/>
      <c r="L888" s="990" t="s">
        <v>67</v>
      </c>
      <c r="M888" s="832"/>
      <c r="N888" s="997">
        <f>IF($I$897=0,100000000,TRUNC(785.4*N887^2/$I$897/25)*25)</f>
        <v>150</v>
      </c>
      <c r="O888" s="997">
        <f>IF($I$897=0,100000000,TRUNC(785.4*O887^2/$I$897/25)*25)</f>
        <v>275</v>
      </c>
      <c r="P888" s="997">
        <f>IF($I$897=0,100000000,TRUNC(785.4*P887^2/$I$897/25)*25)</f>
        <v>425</v>
      </c>
      <c r="Q888" s="997">
        <f>IF($I$897=0,100000000,TRUNC(785.4*Q887^2/$I$897/25)*25)</f>
        <v>525</v>
      </c>
      <c r="R888" s="997">
        <f>IF($I$897=0,100000000,TRUNC(785.4*R887^2/$I$897/25)*25)</f>
        <v>700</v>
      </c>
      <c r="S888" s="832"/>
      <c r="T888" s="832"/>
    </row>
    <row r="889" spans="1:20" x14ac:dyDescent="0.2">
      <c r="A889" s="832"/>
      <c r="B889" s="990" t="s">
        <v>1158</v>
      </c>
      <c r="C889" s="832"/>
      <c r="D889" s="832"/>
      <c r="E889" s="832"/>
      <c r="F889" s="832"/>
      <c r="G889" s="832"/>
      <c r="H889" s="832"/>
      <c r="I889" s="832"/>
      <c r="J889" s="832"/>
      <c r="K889" s="832"/>
      <c r="L889" s="990" t="s">
        <v>68</v>
      </c>
      <c r="M889" s="832"/>
      <c r="N889" s="997">
        <f>785.4*N887^2/N888</f>
        <v>753.98399999999992</v>
      </c>
      <c r="O889" s="997">
        <f>785.4*O887^2/O888</f>
        <v>731.13599999999997</v>
      </c>
      <c r="P889" s="997">
        <f>785.4*P887^2/P888</f>
        <v>739.2</v>
      </c>
      <c r="Q889" s="997">
        <f>785.4*Q887^2/Q888</f>
        <v>724.06399999999996</v>
      </c>
      <c r="R889" s="997">
        <f>785.4*R887^2/R888</f>
        <v>701.25</v>
      </c>
      <c r="S889" s="832"/>
      <c r="T889" s="832"/>
    </row>
    <row r="890" spans="1:20" x14ac:dyDescent="0.2">
      <c r="A890" s="832"/>
      <c r="B890" s="990" t="s">
        <v>1159</v>
      </c>
      <c r="C890" s="832"/>
      <c r="D890" s="832"/>
      <c r="E890" s="832"/>
      <c r="F890" s="832"/>
      <c r="G890" s="832"/>
      <c r="H890" s="832"/>
      <c r="I890" s="832"/>
      <c r="J890" s="832"/>
      <c r="K890" s="832"/>
      <c r="L890" s="990" t="s">
        <v>69</v>
      </c>
      <c r="M890" s="832"/>
      <c r="N890" s="997">
        <f>IF(OR(N888&gt;300,N888&lt;100),100000000,N889-$I$897)</f>
        <v>53.98399999999981</v>
      </c>
      <c r="O890" s="997">
        <f>IF(OR(O888&gt;300,O888&lt;100),100000001,O889-$I$897)</f>
        <v>31.135999999999854</v>
      </c>
      <c r="P890" s="997">
        <f>IF(OR(P888&gt;300,P888&lt;100),100000001,P889-$I$897)</f>
        <v>100000001</v>
      </c>
      <c r="Q890" s="997">
        <f>IF(OR(Q888&gt;300,Q888&lt;100),100000001,Q889-$I$897)</f>
        <v>100000001</v>
      </c>
      <c r="R890" s="997">
        <f>IF(OR(R888&gt;300,R888&lt;100),100000001,R889-$I$897)</f>
        <v>100000001</v>
      </c>
      <c r="S890" s="832"/>
      <c r="T890" s="832"/>
    </row>
    <row r="891" spans="1:20" x14ac:dyDescent="0.2">
      <c r="A891" s="832"/>
      <c r="B891" s="832"/>
      <c r="C891" s="832"/>
      <c r="D891" s="832"/>
      <c r="E891" s="832"/>
      <c r="F891" s="832"/>
      <c r="G891" s="832"/>
      <c r="H891" s="832"/>
      <c r="I891" s="832"/>
      <c r="J891" s="832"/>
      <c r="K891" s="832"/>
      <c r="L891" s="990" t="s">
        <v>70</v>
      </c>
      <c r="M891" s="832"/>
      <c r="N891" s="997">
        <f>IF(R888&lt;100,25,IF(MIN(N890:R890)=N890,12,IF(MIN(N890:R890)=O890,16,IF(MIN(N890:R890)=P890,20,IF(MIN(N890:R890)=Q890,22,IF(MIN(N890:R890)=R890,25,0))))))</f>
        <v>16</v>
      </c>
      <c r="O891" s="990" t="s">
        <v>71</v>
      </c>
      <c r="P891" s="997">
        <f>IF(N891=12,N888,IF(N891=16,O888,IF(N891=20,P888,IF(N891=22,Q888,IF(N891=25,R888,0)))))</f>
        <v>275</v>
      </c>
      <c r="Q891" s="990" t="s">
        <v>72</v>
      </c>
      <c r="R891" s="832"/>
      <c r="S891" s="832"/>
      <c r="T891" s="832"/>
    </row>
    <row r="892" spans="1:20" x14ac:dyDescent="0.2">
      <c r="A892" s="832"/>
      <c r="B892" s="990" t="s">
        <v>508</v>
      </c>
      <c r="C892" s="832" t="s">
        <v>235</v>
      </c>
      <c r="D892" s="832" t="s">
        <v>233</v>
      </c>
      <c r="E892" s="990" t="s">
        <v>1608</v>
      </c>
      <c r="F892" s="832"/>
      <c r="G892" s="832"/>
      <c r="H892" s="994">
        <f>E25-E26+E33/1000</f>
        <v>0.8</v>
      </c>
      <c r="I892" s="990" t="s">
        <v>24</v>
      </c>
      <c r="J892" s="832"/>
      <c r="K892" s="832"/>
      <c r="L892" s="832"/>
      <c r="M892" s="832"/>
      <c r="N892" s="832"/>
      <c r="O892" s="832"/>
      <c r="P892" s="832"/>
      <c r="Q892" s="832"/>
      <c r="R892" s="832"/>
      <c r="S892" s="832"/>
      <c r="T892" s="832"/>
    </row>
    <row r="893" spans="1:20" x14ac:dyDescent="0.2">
      <c r="A893" s="832"/>
      <c r="B893" s="990" t="s">
        <v>2221</v>
      </c>
      <c r="C893" s="832" t="s">
        <v>232</v>
      </c>
      <c r="D893" s="832" t="s">
        <v>232</v>
      </c>
      <c r="E893" s="990" t="s">
        <v>1609</v>
      </c>
      <c r="F893" s="832"/>
      <c r="G893" s="832"/>
      <c r="H893" s="832"/>
      <c r="I893" s="997">
        <f>E32</f>
        <v>350</v>
      </c>
      <c r="J893" s="832" t="s">
        <v>43</v>
      </c>
      <c r="K893" s="990" t="s">
        <v>43</v>
      </c>
      <c r="L893" s="832"/>
      <c r="M893" s="832"/>
      <c r="N893" s="832"/>
      <c r="O893" s="832"/>
      <c r="P893" s="832"/>
      <c r="Q893" s="832"/>
      <c r="R893" s="832"/>
      <c r="S893" s="832"/>
      <c r="T893" s="832"/>
    </row>
    <row r="894" spans="1:20" x14ac:dyDescent="0.2">
      <c r="A894" s="832"/>
      <c r="B894" s="990" t="s">
        <v>75</v>
      </c>
      <c r="C894" s="1015">
        <f>$C$247</f>
        <v>2E-3</v>
      </c>
      <c r="D894" s="1015">
        <f>$D$247</f>
        <v>1E-3</v>
      </c>
      <c r="E894" s="990" t="s">
        <v>1610</v>
      </c>
      <c r="F894" s="832"/>
      <c r="G894" s="832"/>
      <c r="H894" s="832"/>
      <c r="I894" s="832"/>
      <c r="J894" s="832"/>
      <c r="K894" s="832"/>
      <c r="L894" s="832"/>
      <c r="M894" s="832"/>
      <c r="N894" s="832"/>
      <c r="O894" s="832"/>
      <c r="P894" s="832"/>
      <c r="Q894" s="832"/>
      <c r="R894" s="832"/>
      <c r="S894" s="832"/>
      <c r="T894" s="832"/>
    </row>
    <row r="895" spans="1:20" x14ac:dyDescent="0.2">
      <c r="A895" s="832"/>
      <c r="B895" s="990" t="s">
        <v>76</v>
      </c>
      <c r="C895" s="1015">
        <f>$C$248</f>
        <v>2.5000000000000001E-3</v>
      </c>
      <c r="D895" s="1015">
        <f>$D$248</f>
        <v>1.5E-3</v>
      </c>
      <c r="E895" s="832"/>
      <c r="F895" s="832"/>
      <c r="G895" s="832"/>
      <c r="H895" s="832"/>
      <c r="I895" s="832"/>
      <c r="J895" s="832"/>
      <c r="K895" s="832"/>
      <c r="L895" s="832"/>
      <c r="M895" s="832"/>
      <c r="N895" s="832"/>
      <c r="O895" s="832"/>
      <c r="P895" s="832"/>
      <c r="Q895" s="832"/>
      <c r="R895" s="832"/>
      <c r="S895" s="832"/>
      <c r="T895" s="832"/>
    </row>
    <row r="896" spans="1:20" x14ac:dyDescent="0.2">
      <c r="A896" s="832"/>
      <c r="B896" s="832"/>
      <c r="C896" s="832"/>
      <c r="D896" s="832"/>
      <c r="E896" s="832"/>
      <c r="F896" s="832"/>
      <c r="G896" s="832"/>
      <c r="H896" s="832"/>
      <c r="I896" s="832"/>
      <c r="J896" s="832"/>
      <c r="K896" s="832"/>
      <c r="L896" s="832"/>
      <c r="M896" s="832"/>
      <c r="N896" s="832"/>
      <c r="O896" s="832"/>
      <c r="P896" s="832"/>
      <c r="Q896" s="832"/>
      <c r="R896" s="832"/>
      <c r="S896" s="832"/>
      <c r="T896" s="832"/>
    </row>
    <row r="897" spans="1:20" x14ac:dyDescent="0.2">
      <c r="A897" s="832"/>
      <c r="B897" s="990" t="s">
        <v>265</v>
      </c>
      <c r="C897" s="832"/>
      <c r="D897" s="1015">
        <f>IF(H892&lt;=9,C894,C895)</f>
        <v>2E-3</v>
      </c>
      <c r="E897" s="990" t="s">
        <v>1504</v>
      </c>
      <c r="F897" s="997">
        <f>IF(I893&lt;380,I893,380)</f>
        <v>350</v>
      </c>
      <c r="G897" s="990" t="s">
        <v>1175</v>
      </c>
      <c r="H897" s="832"/>
      <c r="I897" s="997">
        <f>D897*F897*1000</f>
        <v>700.00000000000011</v>
      </c>
      <c r="J897" s="832"/>
      <c r="K897" s="990" t="s">
        <v>78</v>
      </c>
      <c r="L897" s="990" t="s">
        <v>66</v>
      </c>
      <c r="M897" s="832"/>
      <c r="N897" s="997">
        <v>12</v>
      </c>
      <c r="O897" s="997">
        <v>16</v>
      </c>
      <c r="P897" s="997">
        <v>20</v>
      </c>
      <c r="Q897" s="997">
        <v>22</v>
      </c>
      <c r="R897" s="997">
        <v>25</v>
      </c>
      <c r="S897" s="832"/>
      <c r="T897" s="832"/>
    </row>
    <row r="898" spans="1:20" x14ac:dyDescent="0.2">
      <c r="A898" s="832"/>
      <c r="B898" s="990" t="s">
        <v>79</v>
      </c>
      <c r="C898" s="997">
        <v>16</v>
      </c>
      <c r="D898" s="990" t="s">
        <v>71</v>
      </c>
      <c r="E898" s="997">
        <v>250</v>
      </c>
      <c r="F898" s="990" t="s">
        <v>80</v>
      </c>
      <c r="G898" s="832"/>
      <c r="H898" s="997">
        <f>785.4*C898^2/E898</f>
        <v>804.24959999999999</v>
      </c>
      <c r="I898" s="990" t="s">
        <v>81</v>
      </c>
      <c r="J898" s="832"/>
      <c r="K898" s="832"/>
      <c r="L898" s="990" t="s">
        <v>67</v>
      </c>
      <c r="M898" s="832"/>
      <c r="N898" s="997">
        <f>IF($I$900=0,100000000,TRUNC(785.4*N897^2/$I$900/25)*25)</f>
        <v>300</v>
      </c>
      <c r="O898" s="997">
        <f>IF($I$900=0,100000000,TRUNC(785.4*O897^2/$I$900/25)*25)</f>
        <v>550</v>
      </c>
      <c r="P898" s="997">
        <f>IF($I$900=0,100000000,TRUNC(785.4*P897^2/$I$900/25)*25)</f>
        <v>875</v>
      </c>
      <c r="Q898" s="997">
        <f>IF($I$900=0,100000000,TRUNC(785.4*Q897^2/$I$900/25)*25)</f>
        <v>1075</v>
      </c>
      <c r="R898" s="997">
        <f>IF($I$900=0,100000000,TRUNC(785.4*R897^2/$I$900/25)*25)</f>
        <v>1400</v>
      </c>
      <c r="S898" s="832"/>
      <c r="T898" s="832"/>
    </row>
    <row r="899" spans="1:20" x14ac:dyDescent="0.2">
      <c r="A899" s="832"/>
      <c r="B899" s="832"/>
      <c r="C899" s="832"/>
      <c r="D899" s="832"/>
      <c r="E899" s="832"/>
      <c r="F899" s="832"/>
      <c r="G899" s="832"/>
      <c r="H899" s="832"/>
      <c r="I899" s="832"/>
      <c r="J899" s="832"/>
      <c r="K899" s="832"/>
      <c r="L899" s="990" t="s">
        <v>68</v>
      </c>
      <c r="M899" s="832"/>
      <c r="N899" s="997">
        <f>785.4*N897^2/N898</f>
        <v>376.99199999999996</v>
      </c>
      <c r="O899" s="997">
        <f>785.4*O897^2/O898</f>
        <v>365.56799999999998</v>
      </c>
      <c r="P899" s="997">
        <f>785.4*P897^2/P898</f>
        <v>359.04</v>
      </c>
      <c r="Q899" s="997">
        <f>785.4*Q897^2/Q898</f>
        <v>353.61265116279066</v>
      </c>
      <c r="R899" s="997">
        <f>785.4*R897^2/R898</f>
        <v>350.625</v>
      </c>
      <c r="S899" s="832"/>
      <c r="T899" s="832"/>
    </row>
    <row r="900" spans="1:20" x14ac:dyDescent="0.2">
      <c r="A900" s="832"/>
      <c r="B900" s="990" t="s">
        <v>243</v>
      </c>
      <c r="C900" s="832"/>
      <c r="D900" s="1015">
        <f>IF(H892&lt;=9,D894,D895)</f>
        <v>1E-3</v>
      </c>
      <c r="E900" s="990" t="s">
        <v>1504</v>
      </c>
      <c r="F900" s="997">
        <f>IF(I893&lt;380,I893,380)</f>
        <v>350</v>
      </c>
      <c r="G900" s="990" t="s">
        <v>1175</v>
      </c>
      <c r="H900" s="832"/>
      <c r="I900" s="997">
        <f>D900*F900*1000</f>
        <v>350.00000000000006</v>
      </c>
      <c r="J900" s="832"/>
      <c r="K900" s="832"/>
      <c r="L900" s="990" t="s">
        <v>69</v>
      </c>
      <c r="M900" s="832"/>
      <c r="N900" s="997">
        <f>IF(OR(N898&gt;300,N898&lt;100),100000000,N899-$I$900)</f>
        <v>26.991999999999905</v>
      </c>
      <c r="O900" s="997">
        <f>IF(OR(O898&gt;300,O898&lt;100),100000001,O899-$I$900)</f>
        <v>100000001</v>
      </c>
      <c r="P900" s="997">
        <f>IF(OR(P898&gt;300,P898&lt;100),100000001,P899-$I$900)</f>
        <v>100000001</v>
      </c>
      <c r="Q900" s="997">
        <f>IF(OR(Q898&gt;300,Q898&lt;100),100000001,Q899-$I$900)</f>
        <v>100000001</v>
      </c>
      <c r="R900" s="997">
        <f>IF(OR(R898&gt;300,R898&lt;100),100000001,R899-$I$900)</f>
        <v>100000001</v>
      </c>
      <c r="S900" s="832"/>
      <c r="T900" s="832"/>
    </row>
    <row r="901" spans="1:20" x14ac:dyDescent="0.2">
      <c r="A901" s="832"/>
      <c r="B901" s="990" t="s">
        <v>79</v>
      </c>
      <c r="C901" s="997">
        <v>16</v>
      </c>
      <c r="D901" s="990" t="s">
        <v>71</v>
      </c>
      <c r="E901" s="997">
        <v>250</v>
      </c>
      <c r="F901" s="990" t="s">
        <v>80</v>
      </c>
      <c r="G901" s="832"/>
      <c r="H901" s="997">
        <f>785.4*C901^2/E901</f>
        <v>804.24959999999999</v>
      </c>
      <c r="I901" s="990" t="s">
        <v>81</v>
      </c>
      <c r="J901" s="832"/>
      <c r="K901" s="832"/>
      <c r="L901" s="990" t="s">
        <v>70</v>
      </c>
      <c r="M901" s="832"/>
      <c r="N901" s="997">
        <f>IF(R898&lt;100,25,IF(MIN(N900:R900)=N900,12,IF(MIN(N900:R900)=O900,16,IF(MIN(N900:R900)=P900,20,IF(MIN(N900:R900)=Q900,22,IF(MIN(N900:R900)=R900,25,0))))))</f>
        <v>12</v>
      </c>
      <c r="O901" s="990" t="s">
        <v>71</v>
      </c>
      <c r="P901" s="997">
        <f>IF(N901=12,N898,IF(N901=16,O898,IF(N901=20,P898,IF(N901=22,Q898,IF(N901=25,R898,0)))))</f>
        <v>300</v>
      </c>
      <c r="Q901" s="990" t="s">
        <v>72</v>
      </c>
      <c r="R901" s="832"/>
      <c r="S901" s="832"/>
      <c r="T901" s="832"/>
    </row>
    <row r="902" spans="1:20" x14ac:dyDescent="0.2">
      <c r="A902" s="832"/>
      <c r="B902" s="832"/>
      <c r="C902" s="832"/>
      <c r="D902" s="832"/>
      <c r="E902" s="832"/>
      <c r="F902" s="832"/>
      <c r="G902" s="832"/>
      <c r="H902" s="832"/>
      <c r="I902" s="832"/>
      <c r="J902" s="832"/>
      <c r="K902" s="990" t="s">
        <v>78</v>
      </c>
      <c r="L902" s="832"/>
      <c r="M902" s="832"/>
      <c r="N902" s="832"/>
      <c r="O902" s="832"/>
      <c r="P902" s="832"/>
      <c r="Q902" s="832"/>
      <c r="R902" s="832"/>
      <c r="S902" s="832"/>
      <c r="T902" s="832"/>
    </row>
    <row r="903" spans="1:20" x14ac:dyDescent="0.2">
      <c r="A903" s="990" t="s">
        <v>986</v>
      </c>
      <c r="B903" s="832"/>
      <c r="C903" s="832"/>
      <c r="D903" s="832"/>
      <c r="E903" s="832"/>
      <c r="F903" s="832"/>
      <c r="G903" s="832"/>
      <c r="H903" s="832"/>
      <c r="I903" s="832"/>
      <c r="J903" s="832"/>
      <c r="K903" s="832"/>
      <c r="L903" s="832"/>
      <c r="M903" s="832"/>
      <c r="N903" s="832"/>
      <c r="O903" s="832"/>
      <c r="P903" s="832"/>
      <c r="Q903" s="832"/>
      <c r="R903" s="832"/>
      <c r="S903" s="832"/>
      <c r="T903" s="832"/>
    </row>
    <row r="904" spans="1:20" x14ac:dyDescent="0.2">
      <c r="A904" s="990" t="s">
        <v>950</v>
      </c>
      <c r="B904" s="832"/>
      <c r="C904" s="832"/>
      <c r="D904" s="832"/>
      <c r="E904" s="832"/>
      <c r="F904" s="832"/>
      <c r="G904" s="832"/>
      <c r="H904" s="832"/>
      <c r="I904" s="832"/>
      <c r="J904" s="832"/>
      <c r="K904" s="832"/>
      <c r="L904" s="832"/>
      <c r="M904" s="832"/>
      <c r="N904" s="832"/>
      <c r="O904" s="832"/>
      <c r="P904" s="832"/>
      <c r="Q904" s="832"/>
      <c r="R904" s="832"/>
      <c r="S904" s="832"/>
      <c r="T904" s="832"/>
    </row>
    <row r="905" spans="1:20" x14ac:dyDescent="0.2">
      <c r="A905" s="990" t="s">
        <v>143</v>
      </c>
      <c r="B905" s="832"/>
      <c r="C905" s="832"/>
      <c r="D905" s="832"/>
      <c r="E905" s="832"/>
      <c r="F905" s="832"/>
      <c r="G905" s="832"/>
      <c r="H905" s="832"/>
      <c r="I905" s="832"/>
      <c r="J905" s="832"/>
      <c r="K905" s="832"/>
      <c r="L905" s="832"/>
      <c r="M905" s="832"/>
      <c r="N905" s="832"/>
      <c r="O905" s="832"/>
      <c r="P905" s="832"/>
      <c r="Q905" s="832"/>
      <c r="R905" s="832"/>
      <c r="S905" s="832"/>
      <c r="T905" s="832"/>
    </row>
    <row r="906" spans="1:20" x14ac:dyDescent="0.2">
      <c r="A906" s="1000" t="s">
        <v>1598</v>
      </c>
      <c r="B906" s="832"/>
      <c r="C906" s="832"/>
      <c r="D906" s="832"/>
      <c r="E906" s="832"/>
      <c r="F906" s="832"/>
      <c r="G906" s="832"/>
      <c r="H906" s="832"/>
      <c r="I906" s="832"/>
      <c r="J906" s="832"/>
      <c r="K906" s="832"/>
      <c r="L906" s="832"/>
      <c r="M906" s="832"/>
      <c r="N906" s="832"/>
      <c r="O906" s="832"/>
      <c r="P906" s="832"/>
      <c r="Q906" s="832"/>
      <c r="R906" s="832"/>
      <c r="S906" s="832"/>
      <c r="T906" s="832"/>
    </row>
    <row r="907" spans="1:20" x14ac:dyDescent="0.2">
      <c r="A907" s="832"/>
      <c r="B907" s="990" t="s">
        <v>1611</v>
      </c>
      <c r="C907" s="832"/>
      <c r="D907" s="832"/>
      <c r="E907" s="832"/>
      <c r="F907" s="832"/>
      <c r="G907" s="832"/>
      <c r="H907" s="832"/>
      <c r="I907" s="832"/>
      <c r="J907" s="832"/>
      <c r="K907" s="832"/>
      <c r="L907" s="832"/>
      <c r="M907" s="832"/>
      <c r="N907" s="832"/>
      <c r="O907" s="832"/>
      <c r="P907" s="832"/>
      <c r="Q907" s="832"/>
      <c r="R907" s="832"/>
      <c r="S907" s="832"/>
      <c r="T907" s="832"/>
    </row>
    <row r="908" spans="1:20" x14ac:dyDescent="0.2">
      <c r="A908" s="832"/>
      <c r="B908" s="990" t="s">
        <v>1612</v>
      </c>
      <c r="C908" s="832"/>
      <c r="D908" s="832"/>
      <c r="E908" s="832"/>
      <c r="F908" s="832"/>
      <c r="G908" s="832"/>
      <c r="H908" s="832"/>
      <c r="I908" s="832"/>
      <c r="J908" s="832"/>
      <c r="K908" s="832"/>
      <c r="L908" s="832"/>
      <c r="M908" s="832"/>
      <c r="N908" s="832"/>
      <c r="O908" s="832"/>
      <c r="P908" s="832"/>
      <c r="Q908" s="832"/>
      <c r="R908" s="832"/>
      <c r="S908" s="832"/>
      <c r="T908" s="832"/>
    </row>
    <row r="909" spans="1:20" x14ac:dyDescent="0.2">
      <c r="A909" s="832"/>
      <c r="B909" s="832"/>
      <c r="C909" s="832"/>
      <c r="D909" s="832"/>
      <c r="E909" s="832"/>
      <c r="F909" s="832"/>
      <c r="G909" s="832"/>
      <c r="H909" s="832"/>
      <c r="I909" s="832"/>
      <c r="J909" s="832"/>
      <c r="K909" s="832"/>
      <c r="L909" s="832"/>
      <c r="M909" s="832"/>
      <c r="N909" s="832"/>
      <c r="O909" s="832"/>
      <c r="P909" s="832"/>
      <c r="Q909" s="832"/>
      <c r="R909" s="832"/>
      <c r="S909" s="832"/>
      <c r="T909" s="832"/>
    </row>
    <row r="910" spans="1:20" x14ac:dyDescent="0.2">
      <c r="A910" s="832"/>
      <c r="B910" s="990" t="s">
        <v>1921</v>
      </c>
      <c r="C910" s="832"/>
      <c r="D910" s="832"/>
      <c r="E910" s="832"/>
      <c r="F910" s="832"/>
      <c r="G910" s="832"/>
      <c r="H910" s="832"/>
      <c r="I910" s="832"/>
      <c r="J910" s="832"/>
      <c r="K910" s="832"/>
      <c r="L910" s="832"/>
      <c r="M910" s="832"/>
      <c r="N910" s="832"/>
      <c r="O910" s="832"/>
      <c r="P910" s="832"/>
      <c r="Q910" s="832"/>
      <c r="R910" s="832"/>
      <c r="S910" s="832"/>
      <c r="T910" s="832"/>
    </row>
    <row r="911" spans="1:20" x14ac:dyDescent="0.2">
      <c r="A911" s="832"/>
      <c r="B911" s="832"/>
      <c r="C911" s="832"/>
      <c r="D911" s="832"/>
      <c r="E911" s="832"/>
      <c r="F911" s="990"/>
      <c r="G911" s="832"/>
      <c r="H911" s="832"/>
      <c r="I911" s="832"/>
      <c r="J911" s="832"/>
      <c r="K911" s="832"/>
      <c r="L911" s="832"/>
      <c r="M911" s="832"/>
      <c r="N911" s="832"/>
      <c r="O911" s="832"/>
      <c r="P911" s="832"/>
      <c r="Q911" s="832"/>
      <c r="R911" s="832"/>
      <c r="S911" s="832"/>
      <c r="T911" s="832"/>
    </row>
    <row r="912" spans="1:20" x14ac:dyDescent="0.2">
      <c r="A912" s="832"/>
      <c r="B912" s="990" t="s">
        <v>1613</v>
      </c>
      <c r="C912" s="832"/>
      <c r="D912" s="832"/>
      <c r="E912" s="832"/>
      <c r="F912" s="994">
        <f>F820</f>
        <v>3.0602396969342887</v>
      </c>
      <c r="G912" s="990" t="s">
        <v>58</v>
      </c>
      <c r="H912" s="832"/>
      <c r="I912" s="832"/>
      <c r="J912" s="832"/>
      <c r="K912" s="832"/>
      <c r="L912" s="832"/>
      <c r="M912" s="832"/>
      <c r="N912" s="832"/>
      <c r="O912" s="832"/>
      <c r="P912" s="832"/>
      <c r="Q912" s="832"/>
      <c r="R912" s="832"/>
      <c r="S912" s="832"/>
      <c r="T912" s="832"/>
    </row>
    <row r="913" spans="1:20" x14ac:dyDescent="0.2">
      <c r="A913" s="832"/>
      <c r="B913" s="990" t="s">
        <v>1614</v>
      </c>
      <c r="C913" s="832"/>
      <c r="D913" s="832"/>
      <c r="E913" s="997">
        <f>G853</f>
        <v>350</v>
      </c>
      <c r="F913" s="990" t="s">
        <v>1510</v>
      </c>
      <c r="G913" s="997">
        <f>$G$62</f>
        <v>75</v>
      </c>
      <c r="H913" s="990" t="s">
        <v>1485</v>
      </c>
      <c r="I913" s="997">
        <f>E913-G913</f>
        <v>275</v>
      </c>
      <c r="J913" s="832"/>
      <c r="K913" s="990" t="s">
        <v>43</v>
      </c>
      <c r="L913" s="832"/>
      <c r="M913" s="832"/>
      <c r="N913" s="832"/>
      <c r="O913" s="832"/>
      <c r="P913" s="832"/>
      <c r="Q913" s="832"/>
      <c r="R913" s="832"/>
      <c r="S913" s="832"/>
      <c r="T913" s="832"/>
    </row>
    <row r="914" spans="1:20" ht="15" x14ac:dyDescent="0.2">
      <c r="A914" s="832"/>
      <c r="B914" s="990" t="s">
        <v>1922</v>
      </c>
      <c r="C914" s="832"/>
      <c r="D914" s="994"/>
      <c r="E914" s="990"/>
      <c r="F914" s="832"/>
      <c r="G914" s="874">
        <f>(F912*1000000000)/(G54*F127*I913)</f>
        <v>66.82991770399137</v>
      </c>
      <c r="H914" s="832" t="s">
        <v>2501</v>
      </c>
      <c r="I914" s="832"/>
      <c r="J914" s="832"/>
      <c r="K914" s="832"/>
      <c r="L914" s="832"/>
      <c r="M914" s="832"/>
      <c r="N914" s="832"/>
      <c r="O914" s="832"/>
      <c r="P914" s="832"/>
      <c r="Q914" s="832"/>
      <c r="R914" s="832"/>
      <c r="S914" s="832"/>
      <c r="T914" s="832"/>
    </row>
    <row r="915" spans="1:20" x14ac:dyDescent="0.2">
      <c r="A915" s="832"/>
      <c r="B915" s="832"/>
      <c r="C915" s="832"/>
      <c r="D915" s="832"/>
      <c r="E915" s="832"/>
      <c r="F915" s="832"/>
      <c r="G915" s="832"/>
      <c r="H915" s="832"/>
      <c r="I915" s="997"/>
      <c r="J915" s="832"/>
      <c r="K915" s="990" t="s">
        <v>78</v>
      </c>
      <c r="L915" s="832"/>
      <c r="M915" s="832"/>
      <c r="N915" s="832"/>
      <c r="O915" s="832"/>
      <c r="P915" s="832"/>
      <c r="Q915" s="832"/>
      <c r="R915" s="832"/>
      <c r="S915" s="832"/>
      <c r="T915" s="832"/>
    </row>
    <row r="916" spans="1:20" x14ac:dyDescent="0.2">
      <c r="A916" s="832"/>
      <c r="B916" s="990" t="s">
        <v>1615</v>
      </c>
      <c r="C916" s="832"/>
      <c r="D916" s="832"/>
      <c r="E916" s="832"/>
      <c r="F916" s="994">
        <f>F825</f>
        <v>3.5239123782879691</v>
      </c>
      <c r="G916" s="990" t="s">
        <v>58</v>
      </c>
      <c r="H916" s="832"/>
      <c r="I916" s="832"/>
      <c r="J916" s="832"/>
      <c r="K916" s="832"/>
      <c r="L916" s="832"/>
      <c r="M916" s="832"/>
      <c r="N916" s="832"/>
      <c r="O916" s="832"/>
      <c r="P916" s="832"/>
      <c r="Q916" s="832"/>
      <c r="R916" s="832"/>
      <c r="S916" s="832"/>
      <c r="T916" s="832"/>
    </row>
    <row r="917" spans="1:20" x14ac:dyDescent="0.2">
      <c r="A917" s="832"/>
      <c r="B917" s="990" t="s">
        <v>1616</v>
      </c>
      <c r="C917" s="832"/>
      <c r="D917" s="832"/>
      <c r="E917" s="997">
        <f>G879</f>
        <v>350</v>
      </c>
      <c r="F917" s="990" t="s">
        <v>1510</v>
      </c>
      <c r="G917" s="997">
        <f>$G$62</f>
        <v>75</v>
      </c>
      <c r="H917" s="990" t="s">
        <v>1485</v>
      </c>
      <c r="I917" s="997">
        <f>E917-G917</f>
        <v>275</v>
      </c>
      <c r="J917" s="832" t="s">
        <v>43</v>
      </c>
      <c r="K917" s="990" t="s">
        <v>43</v>
      </c>
      <c r="L917" s="832"/>
      <c r="M917" s="832"/>
      <c r="N917" s="832"/>
      <c r="O917" s="832"/>
      <c r="P917" s="832"/>
      <c r="Q917" s="832"/>
      <c r="R917" s="832"/>
      <c r="S917" s="832"/>
      <c r="T917" s="832"/>
    </row>
    <row r="918" spans="1:20" ht="15" x14ac:dyDescent="0.2">
      <c r="A918" s="832"/>
      <c r="B918" s="990" t="s">
        <v>1923</v>
      </c>
      <c r="C918" s="832"/>
      <c r="D918" s="994"/>
      <c r="E918" s="990"/>
      <c r="F918" s="832"/>
      <c r="G918" s="874">
        <f>(F916*1000000000)/(G54*F127*I917)</f>
        <v>76.955662810656747</v>
      </c>
      <c r="H918" s="832" t="s">
        <v>2501</v>
      </c>
      <c r="I918" s="832"/>
      <c r="J918" s="832"/>
      <c r="K918" s="832"/>
      <c r="L918" s="832"/>
      <c r="M918" s="832"/>
      <c r="N918" s="832"/>
      <c r="O918" s="832"/>
      <c r="P918" s="832"/>
      <c r="Q918" s="832"/>
      <c r="R918" s="832"/>
      <c r="S918" s="832"/>
      <c r="T918" s="832"/>
    </row>
    <row r="919" spans="1:20" x14ac:dyDescent="0.2">
      <c r="A919" s="832"/>
      <c r="B919" s="832"/>
      <c r="C919" s="832"/>
      <c r="D919" s="832"/>
      <c r="E919" s="832"/>
      <c r="F919" s="832"/>
      <c r="G919" s="832"/>
      <c r="H919" s="832"/>
      <c r="I919" s="997"/>
      <c r="J919" s="832"/>
      <c r="K919" s="990" t="s">
        <v>78</v>
      </c>
      <c r="L919" s="832"/>
      <c r="M919" s="832"/>
      <c r="N919" s="832"/>
      <c r="O919" s="832"/>
      <c r="P919" s="832"/>
      <c r="Q919" s="832"/>
      <c r="R919" s="832"/>
      <c r="S919" s="832"/>
      <c r="T919" s="832"/>
    </row>
    <row r="920" spans="1:20" x14ac:dyDescent="0.2">
      <c r="A920" s="832"/>
      <c r="B920" s="990" t="s">
        <v>1617</v>
      </c>
      <c r="C920" s="832"/>
      <c r="D920" s="832"/>
      <c r="E920" s="832"/>
      <c r="F920" s="832"/>
      <c r="G920" s="832"/>
      <c r="H920" s="832"/>
      <c r="I920" s="832"/>
      <c r="J920" s="832"/>
      <c r="K920" s="832"/>
      <c r="L920" s="832"/>
      <c r="M920" s="832"/>
      <c r="N920" s="832"/>
      <c r="O920" s="832"/>
      <c r="P920" s="832"/>
      <c r="Q920" s="832"/>
      <c r="R920" s="832"/>
      <c r="S920" s="832"/>
      <c r="T920" s="832"/>
    </row>
    <row r="921" spans="1:20" x14ac:dyDescent="0.2">
      <c r="A921" s="832"/>
      <c r="B921" s="990" t="s">
        <v>1618</v>
      </c>
      <c r="C921" s="832"/>
      <c r="D921" s="832"/>
      <c r="E921" s="832"/>
      <c r="F921" s="832"/>
      <c r="G921" s="832"/>
      <c r="H921" s="832"/>
      <c r="I921" s="832"/>
      <c r="J921" s="832"/>
      <c r="K921" s="832"/>
      <c r="L921" s="832"/>
      <c r="M921" s="832"/>
      <c r="N921" s="832"/>
      <c r="O921" s="832"/>
      <c r="P921" s="832"/>
      <c r="Q921" s="832"/>
      <c r="R921" s="832"/>
      <c r="S921" s="832"/>
      <c r="T921" s="832"/>
    </row>
    <row r="922" spans="1:20" x14ac:dyDescent="0.2">
      <c r="A922" s="832"/>
      <c r="B922" s="832"/>
      <c r="C922" s="832"/>
      <c r="D922" s="832"/>
      <c r="E922" s="832"/>
      <c r="F922" s="832"/>
      <c r="G922" s="832"/>
      <c r="H922" s="832"/>
      <c r="I922" s="832"/>
      <c r="J922" s="832"/>
      <c r="K922" s="832"/>
      <c r="L922" s="832"/>
      <c r="M922" s="832"/>
      <c r="N922" s="832"/>
      <c r="O922" s="832"/>
      <c r="P922" s="832"/>
      <c r="Q922" s="832"/>
      <c r="R922" s="832"/>
      <c r="S922" s="832"/>
      <c r="T922" s="832"/>
    </row>
    <row r="923" spans="1:20" x14ac:dyDescent="0.2">
      <c r="A923" s="832"/>
      <c r="B923" s="994" t="str">
        <f>IF(G914&gt;=G918,"Ast(top)  &gt;  Ast(bottom)","Ast(top)  &lt;  Ast(bottom)")</f>
        <v>Ast(top)  &lt;  Ast(bottom)</v>
      </c>
      <c r="C923" s="832"/>
      <c r="D923" s="832"/>
      <c r="E923" s="990" t="s">
        <v>88</v>
      </c>
      <c r="F923" s="832"/>
      <c r="G923" s="997">
        <f>MAX(G914,G918)</f>
        <v>76.955662810656747</v>
      </c>
      <c r="H923" s="990" t="s">
        <v>78</v>
      </c>
      <c r="I923" s="832"/>
      <c r="J923" s="832"/>
      <c r="K923" s="832"/>
      <c r="L923" s="832"/>
      <c r="M923" s="832"/>
      <c r="N923" s="832"/>
      <c r="O923" s="832"/>
      <c r="P923" s="832"/>
      <c r="Q923" s="832"/>
      <c r="R923" s="832"/>
      <c r="S923" s="832"/>
      <c r="T923" s="832"/>
    </row>
    <row r="924" spans="1:20" x14ac:dyDescent="0.2">
      <c r="A924" s="832"/>
      <c r="B924" s="832"/>
      <c r="C924" s="832"/>
      <c r="D924" s="832"/>
      <c r="E924" s="832"/>
      <c r="F924" s="832"/>
      <c r="G924" s="832"/>
      <c r="H924" s="832"/>
      <c r="I924" s="832"/>
      <c r="J924" s="832"/>
      <c r="K924" s="832"/>
      <c r="L924" s="832"/>
      <c r="M924" s="832"/>
      <c r="N924" s="832"/>
      <c r="O924" s="832"/>
      <c r="P924" s="832"/>
      <c r="Q924" s="832"/>
      <c r="R924" s="832"/>
      <c r="S924" s="832"/>
      <c r="T924" s="832"/>
    </row>
    <row r="925" spans="1:20" x14ac:dyDescent="0.2">
      <c r="A925" s="832"/>
      <c r="B925" s="832"/>
      <c r="C925" s="832"/>
      <c r="D925" s="832"/>
      <c r="E925" s="832"/>
      <c r="F925" s="832"/>
      <c r="G925" s="832"/>
      <c r="H925" s="832"/>
      <c r="I925" s="832"/>
      <c r="J925" s="832"/>
      <c r="K925" s="832"/>
      <c r="L925" s="832"/>
      <c r="M925" s="832"/>
      <c r="N925" s="832"/>
      <c r="O925" s="832"/>
      <c r="P925" s="832"/>
      <c r="Q925" s="832"/>
      <c r="R925" s="832"/>
      <c r="S925" s="832"/>
      <c r="T925" s="832"/>
    </row>
    <row r="926" spans="1:20" x14ac:dyDescent="0.2">
      <c r="A926" s="832"/>
      <c r="B926" s="990" t="s">
        <v>87</v>
      </c>
      <c r="C926" s="832"/>
      <c r="D926" s="832"/>
      <c r="E926" s="832"/>
      <c r="F926" s="832"/>
      <c r="G926" s="832"/>
      <c r="H926" s="832"/>
      <c r="I926" s="832"/>
      <c r="J926" s="832"/>
      <c r="K926" s="832"/>
      <c r="L926" s="832"/>
      <c r="M926" s="832"/>
      <c r="N926" s="832"/>
      <c r="O926" s="832"/>
      <c r="P926" s="832"/>
      <c r="Q926" s="832"/>
      <c r="R926" s="832"/>
      <c r="S926" s="832"/>
      <c r="T926" s="832"/>
    </row>
    <row r="927" spans="1:20" x14ac:dyDescent="0.2">
      <c r="A927" s="832"/>
      <c r="B927" s="832"/>
      <c r="C927" s="832"/>
      <c r="D927" s="832"/>
      <c r="E927" s="832"/>
      <c r="F927" s="832"/>
      <c r="G927" s="832"/>
      <c r="H927" s="832"/>
      <c r="I927" s="832"/>
      <c r="J927" s="832"/>
      <c r="K927" s="832"/>
      <c r="L927" s="832"/>
      <c r="M927" s="832"/>
      <c r="N927" s="832"/>
      <c r="O927" s="832"/>
      <c r="P927" s="832"/>
      <c r="Q927" s="832"/>
      <c r="R927" s="832"/>
      <c r="S927" s="832"/>
      <c r="T927" s="832"/>
    </row>
    <row r="928" spans="1:20" x14ac:dyDescent="0.2">
      <c r="A928" s="832"/>
      <c r="B928" s="990" t="s">
        <v>1169</v>
      </c>
      <c r="C928" s="832"/>
      <c r="D928" s="832"/>
      <c r="E928" s="832"/>
      <c r="F928" s="832"/>
      <c r="G928" s="994">
        <f>D66</f>
        <v>2.9</v>
      </c>
      <c r="H928" s="994" t="str">
        <f>IF(G928&lt;=9,"m  &lt;  9 m","m  &gt;  9 m")</f>
        <v>m  &lt;  9 m</v>
      </c>
      <c r="I928" s="832"/>
      <c r="J928" s="832"/>
      <c r="K928" s="832"/>
      <c r="L928" s="832"/>
      <c r="M928" s="832"/>
      <c r="N928" s="832"/>
      <c r="O928" s="832"/>
      <c r="P928" s="832"/>
      <c r="Q928" s="832"/>
      <c r="R928" s="832"/>
      <c r="S928" s="832"/>
      <c r="T928" s="832"/>
    </row>
    <row r="929" spans="1:20" x14ac:dyDescent="0.2">
      <c r="A929" s="832"/>
      <c r="B929" s="990" t="s">
        <v>1548</v>
      </c>
      <c r="C929" s="832"/>
      <c r="D929" s="832"/>
      <c r="E929" s="832"/>
      <c r="F929" s="832"/>
      <c r="G929" s="997">
        <f>G879</f>
        <v>350</v>
      </c>
      <c r="H929" s="994" t="str">
        <f>IF(G929&lt;=380,"mm  &lt;  380 mm","mm  &gt;  380 mm")</f>
        <v>mm  &lt;  380 mm</v>
      </c>
      <c r="I929" s="832"/>
      <c r="J929" s="832"/>
      <c r="K929" s="832"/>
      <c r="L929" s="832"/>
      <c r="M929" s="832"/>
      <c r="N929" s="832"/>
      <c r="O929" s="832"/>
      <c r="P929" s="832"/>
      <c r="Q929" s="832"/>
      <c r="R929" s="832"/>
      <c r="S929" s="832"/>
      <c r="T929" s="832"/>
    </row>
    <row r="930" spans="1:20" x14ac:dyDescent="0.2">
      <c r="A930" s="832"/>
      <c r="B930" s="990" t="s">
        <v>1186</v>
      </c>
      <c r="C930" s="832"/>
      <c r="D930" s="832"/>
      <c r="E930" s="1015">
        <f>IF(G928&lt;=9,$C$247,$C$248)</f>
        <v>2E-3</v>
      </c>
      <c r="F930" s="832"/>
      <c r="G930" s="832"/>
      <c r="H930" s="832"/>
      <c r="I930" s="832"/>
      <c r="J930" s="832"/>
      <c r="K930" s="832"/>
      <c r="L930" s="832"/>
      <c r="M930" s="832"/>
      <c r="N930" s="832"/>
      <c r="O930" s="832"/>
      <c r="P930" s="832"/>
      <c r="Q930" s="832"/>
      <c r="R930" s="832"/>
      <c r="S930" s="832"/>
      <c r="T930" s="832"/>
    </row>
    <row r="931" spans="1:20" x14ac:dyDescent="0.2">
      <c r="A931" s="832"/>
      <c r="B931" s="832"/>
      <c r="C931" s="832"/>
      <c r="D931" s="832"/>
      <c r="E931" s="832"/>
      <c r="F931" s="832"/>
      <c r="G931" s="832"/>
      <c r="H931" s="832"/>
      <c r="I931" s="832"/>
      <c r="J931" s="832"/>
      <c r="K931" s="832"/>
      <c r="L931" s="990" t="s">
        <v>66</v>
      </c>
      <c r="M931" s="832"/>
      <c r="N931" s="997">
        <v>12</v>
      </c>
      <c r="O931" s="997">
        <v>16</v>
      </c>
      <c r="P931" s="997">
        <v>20</v>
      </c>
      <c r="Q931" s="997">
        <v>22</v>
      </c>
      <c r="R931" s="997">
        <v>25</v>
      </c>
      <c r="S931" s="832"/>
      <c r="T931" s="832"/>
    </row>
    <row r="932" spans="1:20" x14ac:dyDescent="0.2">
      <c r="A932" s="832"/>
      <c r="B932" s="990" t="s">
        <v>84</v>
      </c>
      <c r="C932" s="1015">
        <f>E930</f>
        <v>2E-3</v>
      </c>
      <c r="D932" s="990" t="s">
        <v>1012</v>
      </c>
      <c r="E932" s="997">
        <f>IF(G929&lt;380,G929,380)</f>
        <v>350</v>
      </c>
      <c r="F932" s="990" t="s">
        <v>1175</v>
      </c>
      <c r="G932" s="832"/>
      <c r="H932" s="997">
        <f>C932*E932*1000</f>
        <v>700.00000000000011</v>
      </c>
      <c r="I932" s="990" t="s">
        <v>78</v>
      </c>
      <c r="J932" s="832"/>
      <c r="K932" s="832"/>
      <c r="L932" s="990" t="s">
        <v>67</v>
      </c>
      <c r="M932" s="832"/>
      <c r="N932" s="997">
        <f>IF($H$934=0,100000000,TRUNC(785.4*N931^2/$H$934/25)*25)</f>
        <v>150</v>
      </c>
      <c r="O932" s="997">
        <f>IF($H$934=0,100000000,TRUNC(785.4*O931^2/$H$934/25)*25)</f>
        <v>275</v>
      </c>
      <c r="P932" s="997">
        <f>IF($H$934=0,100000000,TRUNC(785.4*P931^2/$H$934/25)*25)</f>
        <v>425</v>
      </c>
      <c r="Q932" s="997">
        <f>IF($H$934=0,100000000,TRUNC(785.4*Q931^2/$H$934/25)*25)</f>
        <v>525</v>
      </c>
      <c r="R932" s="997">
        <f>IF($H$934=0,100000000,TRUNC(785.4*R931^2/$H$934/25)*25)</f>
        <v>700</v>
      </c>
      <c r="S932" s="832"/>
      <c r="T932" s="832"/>
    </row>
    <row r="933" spans="1:20" x14ac:dyDescent="0.2">
      <c r="A933" s="832"/>
      <c r="B933" s="832"/>
      <c r="C933" s="832"/>
      <c r="D933" s="832"/>
      <c r="E933" s="832"/>
      <c r="F933" s="832"/>
      <c r="G933" s="832"/>
      <c r="H933" s="832"/>
      <c r="I933" s="832"/>
      <c r="J933" s="832"/>
      <c r="K933" s="832"/>
      <c r="L933" s="990" t="s">
        <v>68</v>
      </c>
      <c r="M933" s="832"/>
      <c r="N933" s="997">
        <f>785.4*N931^2/N932</f>
        <v>753.98399999999992</v>
      </c>
      <c r="O933" s="997">
        <f>785.4*O931^2/O932</f>
        <v>731.13599999999997</v>
      </c>
      <c r="P933" s="997">
        <f>785.4*P931^2/P932</f>
        <v>739.2</v>
      </c>
      <c r="Q933" s="997">
        <f>785.4*Q931^2/Q932</f>
        <v>724.06399999999996</v>
      </c>
      <c r="R933" s="997">
        <f>785.4*R931^2/R932</f>
        <v>701.25</v>
      </c>
      <c r="S933" s="832"/>
      <c r="T933" s="832"/>
    </row>
    <row r="934" spans="1:20" x14ac:dyDescent="0.2">
      <c r="A934" s="832"/>
      <c r="B934" s="994" t="str">
        <f>IF(G923&gt;H932,"Ast(Moment)  &gt;  Ast(Shrinkage)","Ast(Moment)  &lt;  Ast(Shrinkage)")</f>
        <v>Ast(Moment)  &lt;  Ast(Shrinkage)</v>
      </c>
      <c r="C934" s="832"/>
      <c r="D934" s="832"/>
      <c r="E934" s="832"/>
      <c r="F934" s="990" t="s">
        <v>88</v>
      </c>
      <c r="G934" s="832"/>
      <c r="H934" s="997">
        <f>IF(G923&gt;H932,G923,H932)</f>
        <v>700.00000000000011</v>
      </c>
      <c r="I934" s="990" t="s">
        <v>89</v>
      </c>
      <c r="J934" s="832"/>
      <c r="K934" s="832"/>
      <c r="L934" s="990" t="s">
        <v>69</v>
      </c>
      <c r="M934" s="832"/>
      <c r="N934" s="997">
        <f>IF(OR(N932&gt;300,N932&lt;100),100000000,N933-$H$934)</f>
        <v>53.98399999999981</v>
      </c>
      <c r="O934" s="997">
        <f>IF(OR(O932&gt;300,O932&lt;100),100000001,O933-$H$934)</f>
        <v>31.135999999999854</v>
      </c>
      <c r="P934" s="997">
        <f>IF(OR(P932&gt;300,P932&lt;100),100000001,P933-$H$934)</f>
        <v>100000001</v>
      </c>
      <c r="Q934" s="997">
        <f>IF(OR(Q932&gt;300,Q932&lt;100),100000001,Q933-$H$934)</f>
        <v>100000001</v>
      </c>
      <c r="R934" s="997">
        <f>IF(OR(R932&gt;300,R932&lt;100),100000001,R933-$H$934)</f>
        <v>100000001</v>
      </c>
      <c r="S934" s="832"/>
      <c r="T934" s="832"/>
    </row>
    <row r="935" spans="1:20" x14ac:dyDescent="0.2">
      <c r="A935" s="832"/>
      <c r="B935" s="990" t="s">
        <v>79</v>
      </c>
      <c r="C935" s="997">
        <v>16</v>
      </c>
      <c r="D935" s="990" t="s">
        <v>71</v>
      </c>
      <c r="E935" s="997">
        <v>250</v>
      </c>
      <c r="F935" s="990" t="s">
        <v>80</v>
      </c>
      <c r="G935" s="832"/>
      <c r="H935" s="997">
        <f>785.4*C935^2/E935</f>
        <v>804.24959999999999</v>
      </c>
      <c r="I935" s="990" t="s">
        <v>81</v>
      </c>
      <c r="J935" s="832"/>
      <c r="K935" s="832"/>
      <c r="L935" s="990" t="s">
        <v>70</v>
      </c>
      <c r="M935" s="832"/>
      <c r="N935" s="997">
        <f>IF(R932&lt;100,25,IF(MIN(N934:R934)=N934,12,IF(MIN(N934:R934)=O934,16,IF(MIN(N934:R934)=P934,20,IF(MIN(N934:R934)=Q934,22,IF(MIN(N934:R934)=R934,25,0))))))</f>
        <v>16</v>
      </c>
      <c r="O935" s="990" t="s">
        <v>71</v>
      </c>
      <c r="P935" s="997">
        <f>IF(N935=12,N932,IF(N935=16,O932,IF(N935=20,P932,IF(N935=22,Q932,IF(N935=25,R932,0)))))</f>
        <v>275</v>
      </c>
      <c r="Q935" s="990" t="s">
        <v>72</v>
      </c>
      <c r="R935" s="832"/>
      <c r="S935" s="832"/>
      <c r="T935" s="832"/>
    </row>
    <row r="936" spans="1:20" x14ac:dyDescent="0.2">
      <c r="A936" s="990" t="s">
        <v>986</v>
      </c>
      <c r="B936" s="832"/>
      <c r="C936" s="832"/>
      <c r="D936" s="832"/>
      <c r="E936" s="832"/>
      <c r="F936" s="832"/>
      <c r="G936" s="832"/>
      <c r="H936" s="832"/>
      <c r="I936" s="832"/>
      <c r="J936" s="832"/>
      <c r="K936" s="832"/>
      <c r="L936" s="832"/>
      <c r="M936" s="832"/>
      <c r="N936" s="832"/>
      <c r="O936" s="832"/>
      <c r="P936" s="832"/>
      <c r="Q936" s="832"/>
      <c r="R936" s="832"/>
      <c r="S936" s="832"/>
      <c r="T936" s="832"/>
    </row>
    <row r="937" spans="1:20" x14ac:dyDescent="0.2">
      <c r="A937" s="990" t="s">
        <v>950</v>
      </c>
      <c r="B937" s="832"/>
      <c r="C937" s="832"/>
      <c r="D937" s="832"/>
      <c r="E937" s="832"/>
      <c r="F937" s="832"/>
      <c r="G937" s="832"/>
      <c r="H937" s="832"/>
      <c r="I937" s="832"/>
      <c r="J937" s="832"/>
      <c r="K937" s="832"/>
      <c r="L937" s="832"/>
      <c r="M937" s="832"/>
      <c r="N937" s="832"/>
      <c r="O937" s="832"/>
      <c r="P937" s="832"/>
      <c r="Q937" s="832"/>
      <c r="R937" s="832"/>
      <c r="S937" s="832"/>
      <c r="T937" s="832"/>
    </row>
    <row r="938" spans="1:20" x14ac:dyDescent="0.2">
      <c r="A938" s="990" t="s">
        <v>145</v>
      </c>
      <c r="B938" s="832"/>
      <c r="C938" s="832"/>
      <c r="D938" s="832"/>
      <c r="E938" s="832"/>
      <c r="F938" s="832"/>
      <c r="G938" s="832"/>
      <c r="H938" s="832"/>
      <c r="I938" s="832"/>
      <c r="J938" s="832"/>
      <c r="K938" s="832"/>
      <c r="L938" s="832"/>
      <c r="M938" s="832"/>
      <c r="N938" s="832"/>
      <c r="O938" s="832"/>
      <c r="P938" s="832"/>
      <c r="Q938" s="832"/>
      <c r="R938" s="832"/>
      <c r="S938" s="832"/>
      <c r="T938" s="832"/>
    </row>
    <row r="939" spans="1:20" x14ac:dyDescent="0.2">
      <c r="A939" s="1000" t="s">
        <v>1598</v>
      </c>
      <c r="B939" s="832"/>
      <c r="C939" s="832"/>
      <c r="D939" s="832"/>
      <c r="E939" s="832"/>
      <c r="F939" s="832"/>
      <c r="G939" s="832"/>
      <c r="H939" s="832"/>
      <c r="I939" s="832"/>
      <c r="J939" s="832"/>
      <c r="K939" s="832"/>
      <c r="L939" s="832"/>
      <c r="M939" s="832"/>
      <c r="N939" s="832"/>
      <c r="O939" s="832"/>
      <c r="P939" s="832"/>
      <c r="Q939" s="832"/>
      <c r="R939" s="832"/>
      <c r="S939" s="832"/>
      <c r="T939" s="832"/>
    </row>
    <row r="940" spans="1:20" x14ac:dyDescent="0.2">
      <c r="A940" s="832"/>
      <c r="B940" s="990" t="s">
        <v>1611</v>
      </c>
      <c r="C940" s="832"/>
      <c r="D940" s="832"/>
      <c r="E940" s="832"/>
      <c r="F940" s="832"/>
      <c r="G940" s="832"/>
      <c r="H940" s="832"/>
      <c r="I940" s="832"/>
      <c r="J940" s="832"/>
      <c r="K940" s="832"/>
      <c r="L940" s="832"/>
      <c r="M940" s="832"/>
      <c r="N940" s="832"/>
      <c r="O940" s="832"/>
      <c r="P940" s="832"/>
      <c r="Q940" s="832"/>
      <c r="R940" s="832"/>
      <c r="S940" s="832"/>
      <c r="T940" s="832"/>
    </row>
    <row r="941" spans="1:20" x14ac:dyDescent="0.2">
      <c r="A941" s="832"/>
      <c r="B941" s="990" t="s">
        <v>1612</v>
      </c>
      <c r="C941" s="832"/>
      <c r="D941" s="832"/>
      <c r="E941" s="832"/>
      <c r="F941" s="832"/>
      <c r="G941" s="832"/>
      <c r="H941" s="832"/>
      <c r="I941" s="832"/>
      <c r="J941" s="832"/>
      <c r="K941" s="832"/>
      <c r="L941" s="832"/>
      <c r="M941" s="832"/>
      <c r="N941" s="832"/>
      <c r="O941" s="832"/>
      <c r="P941" s="832"/>
      <c r="Q941" s="832"/>
      <c r="R941" s="832"/>
      <c r="S941" s="832"/>
      <c r="T941" s="832"/>
    </row>
    <row r="942" spans="1:20" x14ac:dyDescent="0.2">
      <c r="A942" s="832"/>
      <c r="B942" s="832"/>
      <c r="C942" s="832"/>
      <c r="D942" s="832"/>
      <c r="E942" s="832"/>
      <c r="F942" s="832"/>
      <c r="G942" s="832"/>
      <c r="H942" s="832"/>
      <c r="I942" s="832"/>
      <c r="J942" s="832"/>
      <c r="K942" s="832"/>
      <c r="L942" s="832"/>
      <c r="M942" s="832"/>
      <c r="N942" s="832"/>
      <c r="O942" s="832"/>
      <c r="P942" s="832"/>
      <c r="Q942" s="832"/>
      <c r="R942" s="832"/>
      <c r="S942" s="832"/>
      <c r="T942" s="832"/>
    </row>
    <row r="943" spans="1:20" x14ac:dyDescent="0.2">
      <c r="A943" s="832"/>
      <c r="B943" s="990" t="s">
        <v>1924</v>
      </c>
      <c r="C943" s="832"/>
      <c r="D943" s="832"/>
      <c r="E943" s="832"/>
      <c r="F943" s="990"/>
      <c r="G943" s="832"/>
      <c r="H943" s="832"/>
      <c r="I943" s="832"/>
      <c r="J943" s="832"/>
      <c r="K943" s="832"/>
      <c r="L943" s="832"/>
      <c r="M943" s="832"/>
      <c r="N943" s="832"/>
      <c r="O943" s="832"/>
      <c r="P943" s="832"/>
      <c r="Q943" s="832"/>
      <c r="R943" s="832"/>
      <c r="S943" s="832"/>
      <c r="T943" s="832"/>
    </row>
    <row r="944" spans="1:20" x14ac:dyDescent="0.2">
      <c r="A944" s="832"/>
      <c r="B944" s="832"/>
      <c r="C944" s="832"/>
      <c r="D944" s="832"/>
      <c r="E944" s="832"/>
      <c r="F944" s="832"/>
      <c r="G944" s="832"/>
      <c r="H944" s="832"/>
      <c r="I944" s="832"/>
      <c r="J944" s="832"/>
      <c r="K944" s="832"/>
      <c r="L944" s="832"/>
      <c r="M944" s="832"/>
      <c r="N944" s="832"/>
      <c r="O944" s="832"/>
      <c r="P944" s="832"/>
      <c r="Q944" s="832"/>
      <c r="R944" s="832"/>
      <c r="S944" s="832"/>
      <c r="T944" s="832"/>
    </row>
    <row r="945" spans="1:20" x14ac:dyDescent="0.2">
      <c r="A945" s="832"/>
      <c r="B945" s="990" t="s">
        <v>1613</v>
      </c>
      <c r="C945" s="832"/>
      <c r="D945" s="832"/>
      <c r="E945" s="832"/>
      <c r="F945" s="994">
        <f>F821</f>
        <v>2.677709734817503</v>
      </c>
      <c r="G945" s="990" t="s">
        <v>58</v>
      </c>
      <c r="H945" s="832"/>
      <c r="I945" s="832"/>
      <c r="J945" s="832"/>
      <c r="K945" s="832"/>
      <c r="L945" s="832"/>
      <c r="M945" s="832"/>
      <c r="N945" s="832"/>
      <c r="O945" s="832"/>
      <c r="P945" s="832"/>
      <c r="Q945" s="832"/>
      <c r="R945" s="832"/>
      <c r="S945" s="832"/>
      <c r="T945" s="832"/>
    </row>
    <row r="946" spans="1:20" x14ac:dyDescent="0.2">
      <c r="A946" s="832"/>
      <c r="B946" s="990" t="s">
        <v>1614</v>
      </c>
      <c r="C946" s="832"/>
      <c r="D946" s="832"/>
      <c r="E946" s="997">
        <f>G853</f>
        <v>350</v>
      </c>
      <c r="F946" s="990" t="s">
        <v>1510</v>
      </c>
      <c r="G946" s="997">
        <f>$G$62</f>
        <v>75</v>
      </c>
      <c r="H946" s="990" t="s">
        <v>1485</v>
      </c>
      <c r="I946" s="997">
        <f>E946-G946</f>
        <v>275</v>
      </c>
      <c r="J946" s="832"/>
      <c r="K946" s="990" t="s">
        <v>43</v>
      </c>
      <c r="L946" s="832"/>
      <c r="M946" s="832"/>
      <c r="N946" s="832"/>
      <c r="O946" s="832"/>
      <c r="P946" s="832"/>
      <c r="Q946" s="832"/>
      <c r="R946" s="832"/>
      <c r="S946" s="832"/>
      <c r="T946" s="832"/>
    </row>
    <row r="947" spans="1:20" x14ac:dyDescent="0.2">
      <c r="A947" s="832"/>
      <c r="B947" s="990" t="s">
        <v>1925</v>
      </c>
      <c r="C947" s="832"/>
      <c r="D947" s="994"/>
      <c r="E947" s="990"/>
      <c r="F947" s="832"/>
      <c r="G947" s="874">
        <f>(F945*1000000000)/(G54*F127*I946)</f>
        <v>58.476177990992468</v>
      </c>
      <c r="H947" s="990" t="s">
        <v>78</v>
      </c>
      <c r="I947" s="832"/>
      <c r="J947" s="832"/>
      <c r="K947" s="832"/>
      <c r="L947" s="832"/>
      <c r="M947" s="832"/>
      <c r="N947" s="832"/>
      <c r="O947" s="832"/>
      <c r="P947" s="832"/>
      <c r="Q947" s="832"/>
      <c r="R947" s="832"/>
      <c r="S947" s="832"/>
      <c r="T947" s="832"/>
    </row>
    <row r="948" spans="1:20" x14ac:dyDescent="0.2">
      <c r="A948" s="832"/>
      <c r="B948" s="832"/>
      <c r="C948" s="832"/>
      <c r="D948" s="832"/>
      <c r="E948" s="832"/>
      <c r="F948" s="832"/>
      <c r="G948" s="832"/>
      <c r="H948" s="832"/>
      <c r="I948" s="997"/>
      <c r="J948" s="832"/>
      <c r="K948" s="990" t="s">
        <v>78</v>
      </c>
      <c r="L948" s="832"/>
      <c r="M948" s="832"/>
      <c r="N948" s="832"/>
      <c r="O948" s="832"/>
      <c r="P948" s="832"/>
      <c r="Q948" s="832"/>
      <c r="R948" s="832"/>
      <c r="S948" s="832"/>
      <c r="T948" s="832"/>
    </row>
    <row r="949" spans="1:20" x14ac:dyDescent="0.2">
      <c r="A949" s="832"/>
      <c r="B949" s="990" t="s">
        <v>1615</v>
      </c>
      <c r="C949" s="832"/>
      <c r="D949" s="832"/>
      <c r="E949" s="832"/>
      <c r="F949" s="994">
        <f>F826</f>
        <v>3.0834233310019732</v>
      </c>
      <c r="G949" s="990" t="s">
        <v>58</v>
      </c>
      <c r="H949" s="832"/>
      <c r="I949" s="832"/>
      <c r="J949" s="832"/>
      <c r="K949" s="832"/>
      <c r="L949" s="832"/>
      <c r="M949" s="832"/>
      <c r="N949" s="832"/>
      <c r="O949" s="832"/>
      <c r="P949" s="832"/>
      <c r="Q949" s="832"/>
      <c r="R949" s="832"/>
      <c r="S949" s="832"/>
      <c r="T949" s="832"/>
    </row>
    <row r="950" spans="1:20" x14ac:dyDescent="0.2">
      <c r="A950" s="832"/>
      <c r="B950" s="990" t="s">
        <v>1616</v>
      </c>
      <c r="C950" s="832"/>
      <c r="D950" s="832"/>
      <c r="E950" s="997">
        <f>G879</f>
        <v>350</v>
      </c>
      <c r="F950" s="990" t="s">
        <v>1510</v>
      </c>
      <c r="G950" s="997">
        <f>$G$62</f>
        <v>75</v>
      </c>
      <c r="H950" s="990" t="s">
        <v>1485</v>
      </c>
      <c r="I950" s="997">
        <f>E950-G950</f>
        <v>275</v>
      </c>
      <c r="J950" s="832"/>
      <c r="K950" s="990" t="s">
        <v>43</v>
      </c>
      <c r="L950" s="832"/>
      <c r="M950" s="832"/>
      <c r="N950" s="832"/>
      <c r="O950" s="832"/>
      <c r="P950" s="832"/>
      <c r="Q950" s="832"/>
      <c r="R950" s="832"/>
      <c r="S950" s="832"/>
      <c r="T950" s="832"/>
    </row>
    <row r="951" spans="1:20" x14ac:dyDescent="0.2">
      <c r="A951" s="832"/>
      <c r="B951" s="990" t="s">
        <v>1923</v>
      </c>
      <c r="C951" s="832"/>
      <c r="D951" s="994"/>
      <c r="E951" s="990"/>
      <c r="F951" s="832"/>
      <c r="G951" s="869">
        <f>(F949*1000000000)/(G54*F127*I950)</f>
        <v>67.336204959324661</v>
      </c>
      <c r="H951" s="990" t="s">
        <v>78</v>
      </c>
      <c r="I951" s="832"/>
      <c r="J951" s="832"/>
      <c r="K951" s="832"/>
      <c r="L951" s="832"/>
      <c r="M951" s="832"/>
      <c r="N951" s="832"/>
      <c r="O951" s="832"/>
      <c r="P951" s="832"/>
      <c r="Q951" s="832"/>
      <c r="R951" s="832"/>
      <c r="S951" s="832"/>
      <c r="T951" s="832"/>
    </row>
    <row r="952" spans="1:20" x14ac:dyDescent="0.2">
      <c r="A952" s="832"/>
      <c r="B952" s="832"/>
      <c r="C952" s="832"/>
      <c r="D952" s="832"/>
      <c r="E952" s="832"/>
      <c r="F952" s="832"/>
      <c r="G952" s="832"/>
      <c r="H952" s="832"/>
      <c r="I952" s="997"/>
      <c r="J952" s="832"/>
      <c r="K952" s="990" t="s">
        <v>78</v>
      </c>
      <c r="L952" s="832"/>
      <c r="M952" s="832"/>
      <c r="N952" s="832"/>
      <c r="O952" s="832"/>
      <c r="P952" s="832"/>
      <c r="Q952" s="832"/>
      <c r="R952" s="832"/>
      <c r="S952" s="832"/>
      <c r="T952" s="832"/>
    </row>
    <row r="953" spans="1:20" x14ac:dyDescent="0.2">
      <c r="A953" s="832"/>
      <c r="B953" s="990" t="s">
        <v>1617</v>
      </c>
      <c r="C953" s="832"/>
      <c r="D953" s="832"/>
      <c r="E953" s="832"/>
      <c r="F953" s="832"/>
      <c r="G953" s="832"/>
      <c r="H953" s="832"/>
      <c r="I953" s="832"/>
      <c r="J953" s="832"/>
      <c r="K953" s="832"/>
      <c r="L953" s="832"/>
      <c r="M953" s="832"/>
      <c r="N953" s="832"/>
      <c r="O953" s="832"/>
      <c r="P953" s="832"/>
      <c r="Q953" s="832"/>
      <c r="R953" s="832"/>
      <c r="S953" s="832"/>
      <c r="T953" s="832"/>
    </row>
    <row r="954" spans="1:20" x14ac:dyDescent="0.2">
      <c r="A954" s="832"/>
      <c r="B954" s="990" t="s">
        <v>1618</v>
      </c>
      <c r="C954" s="832"/>
      <c r="D954" s="832"/>
      <c r="E954" s="832"/>
      <c r="F954" s="832"/>
      <c r="G954" s="832"/>
      <c r="H954" s="832"/>
      <c r="I954" s="832"/>
      <c r="J954" s="832"/>
      <c r="K954" s="832"/>
      <c r="L954" s="832"/>
      <c r="M954" s="832"/>
      <c r="N954" s="832"/>
      <c r="O954" s="832"/>
      <c r="P954" s="832"/>
      <c r="Q954" s="832"/>
      <c r="R954" s="832"/>
      <c r="S954" s="832"/>
      <c r="T954" s="832"/>
    </row>
    <row r="955" spans="1:20" x14ac:dyDescent="0.2">
      <c r="A955" s="832"/>
      <c r="B955" s="832"/>
      <c r="C955" s="832"/>
      <c r="D955" s="832"/>
      <c r="E955" s="832"/>
      <c r="F955" s="832"/>
      <c r="G955" s="832"/>
      <c r="H955" s="832"/>
      <c r="I955" s="832"/>
      <c r="J955" s="832"/>
      <c r="K955" s="832"/>
      <c r="L955" s="832"/>
      <c r="M955" s="832"/>
      <c r="N955" s="832"/>
      <c r="O955" s="832"/>
      <c r="P955" s="832"/>
      <c r="Q955" s="832"/>
      <c r="R955" s="832"/>
      <c r="S955" s="832"/>
      <c r="T955" s="832"/>
    </row>
    <row r="956" spans="1:20" x14ac:dyDescent="0.2">
      <c r="A956" s="832"/>
      <c r="B956" s="994" t="str">
        <f>IF(G947&gt;=G951,"Ast(top)  &gt;  Ast(bottom)","Ast(top)  &lt;  Ast(bottom)")</f>
        <v>Ast(top)  &lt;  Ast(bottom)</v>
      </c>
      <c r="C956" s="832"/>
      <c r="D956" s="832"/>
      <c r="E956" s="990" t="s">
        <v>88</v>
      </c>
      <c r="F956" s="832"/>
      <c r="G956" s="997">
        <f>MAX(G947,G951)</f>
        <v>67.336204959324661</v>
      </c>
      <c r="H956" s="990" t="s">
        <v>78</v>
      </c>
      <c r="I956" s="832"/>
      <c r="J956" s="832"/>
      <c r="K956" s="832"/>
      <c r="L956" s="832"/>
      <c r="M956" s="832"/>
      <c r="N956" s="832"/>
      <c r="O956" s="832"/>
      <c r="P956" s="832"/>
      <c r="Q956" s="832"/>
      <c r="R956" s="832"/>
      <c r="S956" s="832"/>
      <c r="T956" s="832"/>
    </row>
    <row r="957" spans="1:20" x14ac:dyDescent="0.2">
      <c r="A957" s="832"/>
      <c r="B957" s="832"/>
      <c r="C957" s="832"/>
      <c r="D957" s="832"/>
      <c r="E957" s="832"/>
      <c r="F957" s="832"/>
      <c r="G957" s="832"/>
      <c r="H957" s="832"/>
      <c r="I957" s="832"/>
      <c r="J957" s="832"/>
      <c r="K957" s="832"/>
      <c r="L957" s="832"/>
      <c r="M957" s="832"/>
      <c r="N957" s="832"/>
      <c r="O957" s="832"/>
      <c r="P957" s="832"/>
      <c r="Q957" s="832"/>
      <c r="R957" s="832"/>
      <c r="S957" s="832"/>
      <c r="T957" s="832"/>
    </row>
    <row r="958" spans="1:20" x14ac:dyDescent="0.2">
      <c r="A958" s="832"/>
      <c r="B958" s="990" t="s">
        <v>87</v>
      </c>
      <c r="C958" s="832"/>
      <c r="D958" s="832"/>
      <c r="E958" s="832"/>
      <c r="F958" s="832"/>
      <c r="G958" s="832"/>
      <c r="H958" s="832"/>
      <c r="I958" s="832"/>
      <c r="J958" s="832"/>
      <c r="K958" s="832"/>
      <c r="L958" s="832"/>
      <c r="M958" s="832"/>
      <c r="N958" s="832"/>
      <c r="O958" s="832"/>
      <c r="P958" s="832"/>
      <c r="Q958" s="832"/>
      <c r="R958" s="832"/>
      <c r="S958" s="832"/>
      <c r="T958" s="832"/>
    </row>
    <row r="959" spans="1:20" x14ac:dyDescent="0.2">
      <c r="A959" s="832"/>
      <c r="B959" s="832"/>
      <c r="C959" s="832"/>
      <c r="D959" s="832"/>
      <c r="E959" s="832"/>
      <c r="F959" s="832"/>
      <c r="G959" s="832"/>
      <c r="H959" s="832"/>
      <c r="I959" s="832"/>
      <c r="J959" s="832"/>
      <c r="K959" s="832"/>
      <c r="L959" s="832"/>
      <c r="M959" s="832"/>
      <c r="N959" s="832"/>
      <c r="O959" s="832"/>
      <c r="P959" s="832"/>
      <c r="Q959" s="832"/>
      <c r="R959" s="832"/>
      <c r="S959" s="832"/>
      <c r="T959" s="832"/>
    </row>
    <row r="960" spans="1:20" x14ac:dyDescent="0.2">
      <c r="A960" s="832"/>
      <c r="B960" s="990" t="s">
        <v>1169</v>
      </c>
      <c r="C960" s="832"/>
      <c r="D960" s="832"/>
      <c r="E960" s="832"/>
      <c r="F960" s="832"/>
      <c r="G960" s="994">
        <f>D66</f>
        <v>2.9</v>
      </c>
      <c r="H960" s="994" t="str">
        <f>IF(G960&lt;=9,"m  &lt;  9 m","m  &gt;  9 m")</f>
        <v>m  &lt;  9 m</v>
      </c>
      <c r="I960" s="832"/>
      <c r="J960" s="832"/>
      <c r="K960" s="832"/>
      <c r="L960" s="832"/>
      <c r="M960" s="832"/>
      <c r="N960" s="832"/>
      <c r="O960" s="832"/>
      <c r="P960" s="832"/>
      <c r="Q960" s="832"/>
      <c r="R960" s="832"/>
      <c r="S960" s="832"/>
      <c r="T960" s="832"/>
    </row>
    <row r="961" spans="1:20" x14ac:dyDescent="0.2">
      <c r="A961" s="832"/>
      <c r="B961" s="990" t="s">
        <v>1548</v>
      </c>
      <c r="C961" s="832"/>
      <c r="D961" s="832"/>
      <c r="E961" s="832"/>
      <c r="F961" s="832"/>
      <c r="G961" s="997">
        <f>G879</f>
        <v>350</v>
      </c>
      <c r="H961" s="994" t="str">
        <f>IF(G961&lt;=380,"mm  &lt;  380 mm","mm  &gt;  380 mm")</f>
        <v>mm  &lt;  380 mm</v>
      </c>
      <c r="I961" s="832"/>
      <c r="J961" s="832"/>
      <c r="K961" s="832"/>
      <c r="L961" s="832"/>
      <c r="M961" s="832"/>
      <c r="N961" s="832"/>
      <c r="O961" s="832"/>
      <c r="P961" s="832"/>
      <c r="Q961" s="832"/>
      <c r="R961" s="832"/>
      <c r="S961" s="832"/>
      <c r="T961" s="832"/>
    </row>
    <row r="962" spans="1:20" x14ac:dyDescent="0.2">
      <c r="A962" s="832"/>
      <c r="B962" s="990" t="s">
        <v>1619</v>
      </c>
      <c r="C962" s="832"/>
      <c r="D962" s="832"/>
      <c r="E962" s="1015">
        <f>IF(G960&lt;=9,$D$247,$D$248)</f>
        <v>1E-3</v>
      </c>
      <c r="F962" s="832"/>
      <c r="G962" s="832"/>
      <c r="H962" s="832"/>
      <c r="I962" s="832"/>
      <c r="J962" s="832"/>
      <c r="K962" s="832"/>
      <c r="L962" s="990" t="s">
        <v>66</v>
      </c>
      <c r="M962" s="832"/>
      <c r="N962" s="997">
        <v>12</v>
      </c>
      <c r="O962" s="997">
        <v>16</v>
      </c>
      <c r="P962" s="997">
        <v>20</v>
      </c>
      <c r="Q962" s="997">
        <v>22</v>
      </c>
      <c r="R962" s="997">
        <v>25</v>
      </c>
      <c r="S962" s="832"/>
      <c r="T962" s="832"/>
    </row>
    <row r="963" spans="1:20" x14ac:dyDescent="0.2">
      <c r="A963" s="832"/>
      <c r="B963" s="832"/>
      <c r="C963" s="832"/>
      <c r="D963" s="832"/>
      <c r="E963" s="832"/>
      <c r="F963" s="832"/>
      <c r="G963" s="832"/>
      <c r="H963" s="832"/>
      <c r="I963" s="832"/>
      <c r="J963" s="832"/>
      <c r="K963" s="832"/>
      <c r="L963" s="990" t="s">
        <v>67</v>
      </c>
      <c r="M963" s="832"/>
      <c r="N963" s="997">
        <f>IF($H$966=0,100000000,TRUNC(785.4*N962^2/$H$966/25)*25)</f>
        <v>300</v>
      </c>
      <c r="O963" s="997">
        <f>IF($H$966=0,100000000,TRUNC(785.4*O962^2/$H$966/25)*25)</f>
        <v>550</v>
      </c>
      <c r="P963" s="997">
        <f>IF($H$966=0,100000000,TRUNC(785.4*P962^2/$H$966/25)*25)</f>
        <v>875</v>
      </c>
      <c r="Q963" s="997">
        <f>IF($H$966=0,100000000,TRUNC(785.4*Q962^2/$H$966/25)*25)</f>
        <v>1075</v>
      </c>
      <c r="R963" s="997">
        <f>IF($H$966=0,100000000,TRUNC(785.4*R962^2/$H$966/25)*25)</f>
        <v>1400</v>
      </c>
      <c r="S963" s="832"/>
      <c r="T963" s="832"/>
    </row>
    <row r="964" spans="1:20" x14ac:dyDescent="0.2">
      <c r="A964" s="832"/>
      <c r="B964" s="990" t="s">
        <v>84</v>
      </c>
      <c r="C964" s="1015">
        <f>E962</f>
        <v>1E-3</v>
      </c>
      <c r="D964" s="990" t="s">
        <v>1012</v>
      </c>
      <c r="E964" s="997">
        <f>IF(G961&lt;380,G961,380)</f>
        <v>350</v>
      </c>
      <c r="F964" s="990" t="s">
        <v>1175</v>
      </c>
      <c r="G964" s="832"/>
      <c r="H964" s="997">
        <f>C964*E964*1000</f>
        <v>350.00000000000006</v>
      </c>
      <c r="I964" s="990" t="s">
        <v>78</v>
      </c>
      <c r="J964" s="832"/>
      <c r="K964" s="832"/>
      <c r="L964" s="990" t="s">
        <v>68</v>
      </c>
      <c r="M964" s="832"/>
      <c r="N964" s="997">
        <f>785.4*N962^2/N963</f>
        <v>376.99199999999996</v>
      </c>
      <c r="O964" s="997">
        <f>785.4*O962^2/O963</f>
        <v>365.56799999999998</v>
      </c>
      <c r="P964" s="997">
        <f>785.4*P962^2/P963</f>
        <v>359.04</v>
      </c>
      <c r="Q964" s="997">
        <f>785.4*Q962^2/Q963</f>
        <v>353.61265116279066</v>
      </c>
      <c r="R964" s="997">
        <f>785.4*R962^2/R963</f>
        <v>350.625</v>
      </c>
      <c r="S964" s="832"/>
      <c r="T964" s="832"/>
    </row>
    <row r="965" spans="1:20" x14ac:dyDescent="0.2">
      <c r="A965" s="832"/>
      <c r="B965" s="832"/>
      <c r="C965" s="832"/>
      <c r="D965" s="832"/>
      <c r="E965" s="832"/>
      <c r="F965" s="832"/>
      <c r="G965" s="832"/>
      <c r="H965" s="832"/>
      <c r="I965" s="832"/>
      <c r="J965" s="832"/>
      <c r="K965" s="832"/>
      <c r="L965" s="990" t="s">
        <v>69</v>
      </c>
      <c r="M965" s="832"/>
      <c r="N965" s="997">
        <f>IF(OR(N963&gt;300,N963&lt;100),100000000,N964-$H$966)</f>
        <v>26.991999999999905</v>
      </c>
      <c r="O965" s="997">
        <f>IF(OR(O963&gt;300,O963&lt;100),100000001,O964-$H$966)</f>
        <v>100000001</v>
      </c>
      <c r="P965" s="997">
        <f>IF(OR(P963&gt;300,P963&lt;100),100000001,P964-$H$966)</f>
        <v>100000001</v>
      </c>
      <c r="Q965" s="997">
        <f>IF(OR(Q963&gt;300,Q963&lt;100),100000001,Q964-$H$966)</f>
        <v>100000001</v>
      </c>
      <c r="R965" s="997">
        <f>IF(OR(R963&gt;300,R963&lt;100),100000001,R964-$H$966)</f>
        <v>100000001</v>
      </c>
      <c r="S965" s="832"/>
      <c r="T965" s="832"/>
    </row>
    <row r="966" spans="1:20" x14ac:dyDescent="0.2">
      <c r="A966" s="832"/>
      <c r="B966" s="994" t="str">
        <f>IF(G956&gt;H964,"Ast(Moment)  &gt;  Ast(Shrinkage)","Ast(Moment)  &lt;  Ast(Shrinkage)")</f>
        <v>Ast(Moment)  &lt;  Ast(Shrinkage)</v>
      </c>
      <c r="C966" s="832"/>
      <c r="D966" s="832"/>
      <c r="E966" s="832"/>
      <c r="F966" s="990" t="s">
        <v>88</v>
      </c>
      <c r="G966" s="832"/>
      <c r="H966" s="997">
        <f>IF(G956&gt;H964,G956,H964)</f>
        <v>350.00000000000006</v>
      </c>
      <c r="I966" s="990" t="s">
        <v>89</v>
      </c>
      <c r="J966" s="832"/>
      <c r="K966" s="832"/>
      <c r="L966" s="990" t="s">
        <v>70</v>
      </c>
      <c r="M966" s="832"/>
      <c r="N966" s="997">
        <f>IF(R963&lt;100,25,IF(MIN(N965:R965)=N965,12,IF(MIN(N965:R965)=O965,16,IF(MIN(N965:R965)=P965,20,IF(MIN(N965:R965)=Q965,22,IF(MIN(N965:R965)=R965,25,0))))))</f>
        <v>12</v>
      </c>
      <c r="O966" s="990" t="s">
        <v>71</v>
      </c>
      <c r="P966" s="997">
        <f>IF(N966=12,N963,IF(N966=16,O963,IF(N966=20,P963,IF(N966=22,Q963,IF(N966=25,R963,0)))))</f>
        <v>300</v>
      </c>
      <c r="Q966" s="990" t="s">
        <v>72</v>
      </c>
      <c r="R966" s="832"/>
      <c r="S966" s="832"/>
      <c r="T966" s="832"/>
    </row>
    <row r="967" spans="1:20" x14ac:dyDescent="0.2">
      <c r="A967" s="832"/>
      <c r="B967" s="990" t="s">
        <v>79</v>
      </c>
      <c r="C967" s="997">
        <f>IF(P1510=0,N966,P1510)</f>
        <v>12</v>
      </c>
      <c r="D967" s="990" t="s">
        <v>71</v>
      </c>
      <c r="E967" s="997">
        <v>150</v>
      </c>
      <c r="F967" s="990" t="s">
        <v>80</v>
      </c>
      <c r="G967" s="832"/>
      <c r="H967" s="997">
        <f>785.4*C967^2/E967</f>
        <v>753.98399999999992</v>
      </c>
      <c r="I967" s="990" t="s">
        <v>81</v>
      </c>
      <c r="J967" s="832"/>
      <c r="K967" s="832"/>
      <c r="L967" s="832"/>
      <c r="M967" s="832"/>
      <c r="N967" s="832"/>
      <c r="O967" s="832"/>
      <c r="P967" s="832"/>
      <c r="Q967" s="832"/>
      <c r="R967" s="832"/>
      <c r="S967" s="832"/>
      <c r="T967" s="832"/>
    </row>
    <row r="968" spans="1:20" x14ac:dyDescent="0.2">
      <c r="A968" s="990" t="s">
        <v>986</v>
      </c>
      <c r="B968" s="832"/>
      <c r="C968" s="832"/>
      <c r="D968" s="832"/>
      <c r="E968" s="832"/>
      <c r="F968" s="832"/>
      <c r="G968" s="832"/>
      <c r="H968" s="832"/>
      <c r="I968" s="832"/>
      <c r="J968" s="832"/>
      <c r="K968" s="832"/>
      <c r="L968" s="832"/>
      <c r="M968" s="832"/>
      <c r="N968" s="832"/>
      <c r="O968" s="832"/>
      <c r="P968" s="832"/>
      <c r="Q968" s="832"/>
      <c r="R968" s="832"/>
      <c r="S968" s="832"/>
      <c r="T968" s="832"/>
    </row>
    <row r="969" spans="1:20" x14ac:dyDescent="0.2">
      <c r="A969" s="990" t="s">
        <v>950</v>
      </c>
      <c r="B969" s="832"/>
      <c r="C969" s="832"/>
      <c r="D969" s="832"/>
      <c r="E969" s="832"/>
      <c r="F969" s="832"/>
      <c r="G969" s="832"/>
      <c r="H969" s="832"/>
      <c r="I969" s="832"/>
      <c r="J969" s="832"/>
      <c r="K969" s="832"/>
      <c r="L969" s="832"/>
      <c r="M969" s="832"/>
      <c r="N969" s="832"/>
      <c r="O969" s="832"/>
      <c r="P969" s="832"/>
      <c r="Q969" s="832"/>
      <c r="R969" s="832"/>
      <c r="S969" s="832"/>
      <c r="T969" s="832"/>
    </row>
    <row r="970" spans="1:20" x14ac:dyDescent="0.2">
      <c r="A970" s="994" t="str">
        <f>IF(E42=1,"4.5","4.6")</f>
        <v>4.5</v>
      </c>
      <c r="B970" s="990" t="s">
        <v>1620</v>
      </c>
      <c r="C970" s="832"/>
      <c r="D970" s="832"/>
      <c r="E970" s="832"/>
      <c r="F970" s="832"/>
      <c r="G970" s="832"/>
      <c r="H970" s="832"/>
      <c r="I970" s="832"/>
      <c r="J970" s="832"/>
      <c r="K970" s="832"/>
      <c r="L970" s="832"/>
      <c r="M970" s="832"/>
      <c r="N970" s="832"/>
      <c r="O970" s="832"/>
      <c r="P970" s="832"/>
      <c r="Q970" s="832"/>
      <c r="R970" s="832"/>
      <c r="S970" s="832"/>
      <c r="T970" s="832"/>
    </row>
    <row r="971" spans="1:20" x14ac:dyDescent="0.2">
      <c r="A971" s="832"/>
      <c r="B971" s="832"/>
      <c r="C971" s="832"/>
      <c r="D971" s="832"/>
      <c r="E971" s="832"/>
      <c r="F971" s="832"/>
      <c r="G971" s="832"/>
      <c r="H971" s="832"/>
      <c r="I971" s="832"/>
      <c r="J971" s="832"/>
      <c r="K971" s="832"/>
      <c r="L971" s="832"/>
      <c r="M971" s="832"/>
      <c r="N971" s="832"/>
      <c r="O971" s="832"/>
      <c r="P971" s="832"/>
      <c r="Q971" s="832"/>
      <c r="R971" s="832"/>
      <c r="S971" s="832"/>
      <c r="T971" s="832"/>
    </row>
    <row r="972" spans="1:20" x14ac:dyDescent="0.2">
      <c r="A972" s="832"/>
      <c r="B972" s="990" t="s">
        <v>1990</v>
      </c>
      <c r="C972" s="832"/>
      <c r="D972" s="832"/>
      <c r="E972" s="832"/>
      <c r="F972" s="832"/>
      <c r="G972" s="832"/>
      <c r="H972" s="832"/>
      <c r="I972" s="832"/>
      <c r="J972" s="832"/>
      <c r="K972" s="832"/>
      <c r="L972" s="832"/>
      <c r="M972" s="832"/>
      <c r="N972" s="832"/>
      <c r="O972" s="832"/>
      <c r="P972" s="832"/>
      <c r="Q972" s="832"/>
      <c r="R972" s="832"/>
      <c r="S972" s="832"/>
      <c r="T972" s="832"/>
    </row>
    <row r="973" spans="1:20" x14ac:dyDescent="0.2">
      <c r="A973" s="832"/>
      <c r="B973" s="990" t="s">
        <v>1991</v>
      </c>
      <c r="C973" s="832"/>
      <c r="D973" s="832"/>
      <c r="E973" s="832"/>
      <c r="F973" s="832"/>
      <c r="G973" s="832"/>
      <c r="H973" s="832"/>
      <c r="I973" s="832"/>
      <c r="J973" s="832"/>
      <c r="K973" s="832"/>
      <c r="L973" s="832"/>
      <c r="M973" s="832"/>
      <c r="N973" s="832"/>
      <c r="O973" s="832"/>
      <c r="P973" s="832"/>
      <c r="Q973" s="832"/>
      <c r="R973" s="832"/>
      <c r="S973" s="832"/>
      <c r="T973" s="832"/>
    </row>
    <row r="974" spans="1:20" x14ac:dyDescent="0.2">
      <c r="A974" s="832"/>
      <c r="B974" s="990" t="s">
        <v>1992</v>
      </c>
      <c r="C974" s="832"/>
      <c r="D974" s="832"/>
      <c r="E974" s="832"/>
      <c r="F974" s="832"/>
      <c r="G974" s="832"/>
      <c r="H974" s="832"/>
      <c r="I974" s="832"/>
      <c r="J974" s="832"/>
      <c r="K974" s="832"/>
      <c r="L974" s="832"/>
      <c r="M974" s="832"/>
      <c r="N974" s="832"/>
      <c r="O974" s="832"/>
      <c r="P974" s="832"/>
      <c r="Q974" s="832"/>
      <c r="R974" s="832"/>
      <c r="S974" s="832"/>
      <c r="T974" s="832"/>
    </row>
    <row r="975" spans="1:20" x14ac:dyDescent="0.2">
      <c r="A975" s="832"/>
      <c r="B975" s="990"/>
      <c r="C975" s="832"/>
      <c r="D975" s="832"/>
      <c r="E975" s="832"/>
      <c r="F975" s="832"/>
      <c r="G975" s="832"/>
      <c r="H975" s="832"/>
      <c r="I975" s="832"/>
      <c r="J975" s="832"/>
      <c r="K975" s="832"/>
      <c r="L975" s="832"/>
      <c r="M975" s="832"/>
      <c r="N975" s="832"/>
      <c r="O975" s="832"/>
      <c r="P975" s="832"/>
      <c r="Q975" s="832"/>
      <c r="R975" s="832"/>
      <c r="S975" s="832"/>
      <c r="T975" s="832"/>
    </row>
    <row r="976" spans="1:20" x14ac:dyDescent="0.2">
      <c r="A976" s="990" t="s">
        <v>950</v>
      </c>
      <c r="B976" s="832"/>
      <c r="C976" s="832"/>
      <c r="D976" s="832"/>
      <c r="E976" s="832"/>
      <c r="F976" s="832"/>
      <c r="G976" s="832"/>
      <c r="H976" s="832"/>
      <c r="I976" s="832"/>
      <c r="J976" s="832"/>
      <c r="K976" s="832"/>
      <c r="L976" s="832"/>
      <c r="M976" s="832"/>
      <c r="N976" s="832"/>
      <c r="O976" s="832"/>
      <c r="P976" s="832"/>
      <c r="Q976" s="832"/>
      <c r="R976" s="832"/>
      <c r="S976" s="832"/>
      <c r="T976" s="832"/>
    </row>
    <row r="977" spans="1:20" x14ac:dyDescent="0.2">
      <c r="A977" s="990" t="s">
        <v>1621</v>
      </c>
      <c r="B977" s="832"/>
      <c r="C977" s="832"/>
      <c r="D977" s="832"/>
      <c r="E977" s="832"/>
      <c r="F977" s="832"/>
      <c r="G977" s="832"/>
      <c r="H977" s="832"/>
      <c r="I977" s="832"/>
      <c r="J977" s="832"/>
      <c r="K977" s="832"/>
      <c r="L977" s="832"/>
      <c r="M977" s="832"/>
      <c r="N977" s="832"/>
      <c r="O977" s="832"/>
      <c r="P977" s="832"/>
      <c r="Q977" s="832"/>
      <c r="R977" s="832"/>
      <c r="S977" s="832"/>
      <c r="T977" s="832"/>
    </row>
    <row r="978" spans="1:20" x14ac:dyDescent="0.2">
      <c r="A978" s="832"/>
      <c r="B978" s="832"/>
      <c r="C978" s="832"/>
      <c r="D978" s="832"/>
      <c r="E978" s="832"/>
      <c r="F978" s="832"/>
      <c r="G978" s="832"/>
      <c r="H978" s="832"/>
      <c r="I978" s="832"/>
      <c r="J978" s="832"/>
      <c r="K978" s="832"/>
      <c r="L978" s="832"/>
      <c r="M978" s="832"/>
      <c r="N978" s="832"/>
      <c r="O978" s="832"/>
      <c r="P978" s="832"/>
      <c r="Q978" s="832"/>
      <c r="R978" s="832"/>
      <c r="S978" s="832"/>
      <c r="T978" s="832"/>
    </row>
    <row r="979" spans="1:20" x14ac:dyDescent="0.2">
      <c r="A979" s="990" t="s">
        <v>950</v>
      </c>
      <c r="B979" s="832"/>
      <c r="C979" s="832"/>
      <c r="D979" s="832"/>
      <c r="E979" s="832"/>
      <c r="F979" s="832"/>
      <c r="G979" s="832"/>
      <c r="H979" s="832"/>
      <c r="I979" s="832"/>
      <c r="J979" s="832"/>
      <c r="K979" s="832"/>
      <c r="L979" s="832"/>
      <c r="M979" s="832"/>
      <c r="N979" s="832"/>
      <c r="O979" s="832"/>
      <c r="P979" s="832"/>
      <c r="Q979" s="832"/>
      <c r="R979" s="832"/>
      <c r="S979" s="832"/>
      <c r="T979" s="832"/>
    </row>
    <row r="980" spans="1:20" x14ac:dyDescent="0.2">
      <c r="A980" s="990" t="s">
        <v>54</v>
      </c>
      <c r="B980" s="832"/>
      <c r="C980" s="832"/>
      <c r="D980" s="832"/>
      <c r="E980" s="832"/>
      <c r="F980" s="832"/>
      <c r="G980" s="832"/>
      <c r="H980" s="832"/>
      <c r="I980" s="832"/>
      <c r="J980" s="832"/>
      <c r="K980" s="832"/>
      <c r="L980" s="832"/>
      <c r="M980" s="832"/>
      <c r="N980" s="832"/>
      <c r="O980" s="832"/>
      <c r="P980" s="832"/>
      <c r="Q980" s="832"/>
      <c r="R980" s="832"/>
      <c r="S980" s="832"/>
      <c r="T980" s="832"/>
    </row>
    <row r="981" spans="1:20" x14ac:dyDescent="0.2">
      <c r="A981" s="832"/>
      <c r="B981" s="832"/>
      <c r="C981" s="832"/>
      <c r="D981" s="832"/>
      <c r="E981" s="832"/>
      <c r="F981" s="832"/>
      <c r="G981" s="832"/>
      <c r="H981" s="832"/>
      <c r="I981" s="832"/>
      <c r="J981" s="832"/>
      <c r="K981" s="832"/>
      <c r="L981" s="832"/>
      <c r="M981" s="832"/>
      <c r="N981" s="832"/>
      <c r="O981" s="832"/>
      <c r="P981" s="832"/>
      <c r="Q981" s="832"/>
      <c r="R981" s="832"/>
      <c r="S981" s="832"/>
      <c r="T981" s="832"/>
    </row>
    <row r="982" spans="1:20" x14ac:dyDescent="0.2">
      <c r="A982" s="832"/>
      <c r="B982" s="990" t="s">
        <v>1622</v>
      </c>
      <c r="C982" s="832"/>
      <c r="D982" s="832"/>
      <c r="E982" s="832"/>
      <c r="F982" s="832"/>
      <c r="G982" s="832"/>
      <c r="H982" s="832"/>
      <c r="I982" s="832"/>
      <c r="J982" s="832"/>
      <c r="K982" s="832"/>
      <c r="L982" s="832"/>
      <c r="M982" s="832"/>
      <c r="N982" s="832"/>
      <c r="O982" s="832"/>
      <c r="P982" s="832"/>
      <c r="Q982" s="832"/>
      <c r="R982" s="832"/>
      <c r="S982" s="832"/>
      <c r="T982" s="832"/>
    </row>
    <row r="983" spans="1:20" x14ac:dyDescent="0.2">
      <c r="A983" s="832"/>
      <c r="B983" s="990" t="s">
        <v>1485</v>
      </c>
      <c r="C983" s="994">
        <f>E40/1000</f>
        <v>0.35</v>
      </c>
      <c r="D983" s="990" t="s">
        <v>1012</v>
      </c>
      <c r="E983" s="994">
        <v>0.3</v>
      </c>
      <c r="F983" s="990" t="s">
        <v>1012</v>
      </c>
      <c r="G983" s="994">
        <f>E10</f>
        <v>23.6</v>
      </c>
      <c r="H983" s="990" t="s">
        <v>55</v>
      </c>
      <c r="I983" s="994">
        <f>C983*E983*G983</f>
        <v>2.4780000000000002</v>
      </c>
      <c r="J983" s="832"/>
      <c r="K983" s="990" t="s">
        <v>120</v>
      </c>
      <c r="L983" s="832"/>
      <c r="M983" s="832"/>
      <c r="N983" s="832"/>
      <c r="O983" s="832"/>
      <c r="P983" s="832"/>
      <c r="Q983" s="832"/>
      <c r="R983" s="832"/>
      <c r="S983" s="832"/>
      <c r="T983" s="832"/>
    </row>
    <row r="984" spans="1:20" x14ac:dyDescent="0.2">
      <c r="A984" s="832"/>
      <c r="B984" s="832"/>
      <c r="C984" s="832"/>
      <c r="D984" s="832"/>
      <c r="E984" s="832"/>
      <c r="F984" s="832"/>
      <c r="G984" s="832"/>
      <c r="H984" s="832"/>
      <c r="I984" s="832"/>
      <c r="J984" s="832"/>
      <c r="K984" s="832"/>
      <c r="L984" s="832"/>
      <c r="M984" s="832"/>
      <c r="N984" s="832"/>
      <c r="O984" s="832"/>
      <c r="P984" s="832"/>
      <c r="Q984" s="832"/>
      <c r="R984" s="832"/>
      <c r="S984" s="832"/>
      <c r="T984" s="832"/>
    </row>
    <row r="985" spans="1:20" x14ac:dyDescent="0.2">
      <c r="A985" s="832"/>
      <c r="B985" s="990" t="s">
        <v>1623</v>
      </c>
      <c r="C985" s="832"/>
      <c r="D985" s="832"/>
      <c r="E985" s="994">
        <f>E19</f>
        <v>20</v>
      </c>
      <c r="F985" s="990" t="s">
        <v>57</v>
      </c>
      <c r="G985" s="832"/>
      <c r="H985" s="832"/>
      <c r="I985" s="832"/>
      <c r="J985" s="832"/>
      <c r="K985" s="832"/>
      <c r="L985" s="832"/>
      <c r="M985" s="832"/>
      <c r="N985" s="832"/>
      <c r="O985" s="832"/>
      <c r="P985" s="832"/>
      <c r="Q985" s="832"/>
      <c r="R985" s="832"/>
      <c r="S985" s="832"/>
      <c r="T985" s="832"/>
    </row>
    <row r="986" spans="1:20" x14ac:dyDescent="0.2">
      <c r="A986" s="832"/>
      <c r="B986" s="832"/>
      <c r="C986" s="832"/>
      <c r="D986" s="832"/>
      <c r="E986" s="832"/>
      <c r="F986" s="832"/>
      <c r="G986" s="832"/>
      <c r="H986" s="832"/>
      <c r="I986" s="832"/>
      <c r="J986" s="832"/>
      <c r="K986" s="832"/>
      <c r="L986" s="832"/>
      <c r="M986" s="832"/>
      <c r="N986" s="832"/>
      <c r="O986" s="832"/>
      <c r="P986" s="832"/>
      <c r="Q986" s="832"/>
      <c r="R986" s="832"/>
      <c r="S986" s="832"/>
      <c r="T986" s="832"/>
    </row>
    <row r="987" spans="1:20" x14ac:dyDescent="0.2">
      <c r="A987" s="832"/>
      <c r="B987" s="832"/>
      <c r="C987" s="832"/>
      <c r="D987" s="832"/>
      <c r="E987" s="832"/>
      <c r="F987" s="832"/>
      <c r="G987" s="832"/>
      <c r="H987" s="832"/>
      <c r="I987" s="832"/>
      <c r="J987" s="832"/>
      <c r="K987" s="832"/>
      <c r="L987" s="832"/>
      <c r="M987" s="832"/>
      <c r="N987" s="832"/>
      <c r="O987" s="832"/>
      <c r="P987" s="832"/>
      <c r="Q987" s="832"/>
      <c r="R987" s="832"/>
      <c r="S987" s="832"/>
      <c r="T987" s="832"/>
    </row>
    <row r="988" spans="1:20" x14ac:dyDescent="0.2">
      <c r="A988" s="832"/>
      <c r="B988" s="990" t="s">
        <v>1624</v>
      </c>
      <c r="C988" s="832"/>
      <c r="D988" s="832"/>
      <c r="E988" s="832"/>
      <c r="F988" s="832"/>
      <c r="G988" s="832"/>
      <c r="H988" s="832"/>
      <c r="I988" s="832"/>
      <c r="J988" s="832"/>
      <c r="K988" s="832"/>
      <c r="L988" s="832"/>
      <c r="M988" s="832"/>
      <c r="N988" s="832"/>
      <c r="O988" s="832"/>
      <c r="P988" s="832"/>
      <c r="Q988" s="832"/>
      <c r="R988" s="832"/>
      <c r="S988" s="832"/>
      <c r="T988" s="832"/>
    </row>
    <row r="989" spans="1:20" x14ac:dyDescent="0.2">
      <c r="A989" s="832"/>
      <c r="B989" s="832"/>
      <c r="C989" s="832"/>
      <c r="D989" s="832"/>
      <c r="E989" s="832"/>
      <c r="F989" s="832"/>
      <c r="G989" s="832"/>
      <c r="H989" s="832"/>
      <c r="I989" s="832"/>
      <c r="J989" s="832"/>
      <c r="K989" s="832"/>
      <c r="L989" s="832"/>
      <c r="M989" s="832"/>
      <c r="N989" s="832"/>
      <c r="O989" s="832"/>
      <c r="P989" s="832"/>
      <c r="Q989" s="832"/>
      <c r="R989" s="832"/>
      <c r="S989" s="832"/>
      <c r="T989" s="832"/>
    </row>
    <row r="990" spans="1:20" x14ac:dyDescent="0.2">
      <c r="A990" s="832"/>
      <c r="B990" s="990" t="s">
        <v>1993</v>
      </c>
      <c r="C990" s="832"/>
      <c r="D990" s="832"/>
      <c r="E990" s="832"/>
      <c r="F990" s="832"/>
      <c r="G990" s="832"/>
      <c r="H990" s="832"/>
      <c r="I990" s="832"/>
      <c r="J990" s="832"/>
      <c r="K990" s="832"/>
      <c r="L990" s="832"/>
      <c r="M990" s="832"/>
      <c r="N990" s="832"/>
      <c r="O990" s="832"/>
      <c r="P990" s="832"/>
      <c r="Q990" s="832"/>
      <c r="R990" s="832"/>
      <c r="S990" s="832"/>
      <c r="T990" s="832"/>
    </row>
    <row r="991" spans="1:20" x14ac:dyDescent="0.2">
      <c r="A991" s="832"/>
      <c r="B991" s="990" t="s">
        <v>1994</v>
      </c>
      <c r="C991" s="832"/>
      <c r="D991" s="832"/>
      <c r="E991" s="832"/>
      <c r="F991" s="832"/>
      <c r="G991" s="832"/>
      <c r="H991" s="832"/>
      <c r="I991" s="832"/>
      <c r="J991" s="832"/>
      <c r="K991" s="832"/>
      <c r="L991" s="832"/>
      <c r="M991" s="832"/>
      <c r="N991" s="832"/>
      <c r="O991" s="832"/>
      <c r="P991" s="832"/>
      <c r="Q991" s="832"/>
      <c r="R991" s="832"/>
      <c r="S991" s="832"/>
      <c r="T991" s="832"/>
    </row>
    <row r="992" spans="1:20" x14ac:dyDescent="0.2">
      <c r="A992" s="832"/>
      <c r="B992" s="990" t="s">
        <v>1995</v>
      </c>
      <c r="C992" s="832"/>
      <c r="D992" s="832"/>
      <c r="E992" s="832"/>
      <c r="F992" s="832"/>
      <c r="G992" s="832"/>
      <c r="H992" s="832"/>
      <c r="I992" s="832"/>
      <c r="J992" s="832"/>
      <c r="K992" s="832"/>
      <c r="L992" s="832"/>
      <c r="M992" s="832"/>
      <c r="N992" s="832"/>
      <c r="O992" s="832"/>
      <c r="P992" s="832"/>
      <c r="Q992" s="832"/>
      <c r="R992" s="832"/>
      <c r="S992" s="832"/>
      <c r="T992" s="832"/>
    </row>
    <row r="993" spans="1:20" x14ac:dyDescent="0.2">
      <c r="A993" s="832"/>
      <c r="B993" s="832"/>
      <c r="C993" s="832"/>
      <c r="D993" s="832"/>
      <c r="E993" s="832"/>
      <c r="F993" s="832"/>
      <c r="G993" s="832"/>
      <c r="H993" s="832"/>
      <c r="I993" s="832"/>
      <c r="J993" s="832"/>
      <c r="K993" s="832"/>
      <c r="L993" s="832"/>
      <c r="M993" s="832"/>
      <c r="N993" s="832"/>
      <c r="O993" s="832"/>
      <c r="P993" s="832"/>
      <c r="Q993" s="832"/>
      <c r="R993" s="832"/>
      <c r="S993" s="832"/>
      <c r="T993" s="832"/>
    </row>
    <row r="994" spans="1:20" x14ac:dyDescent="0.2">
      <c r="A994" s="832"/>
      <c r="B994" s="990" t="s">
        <v>1489</v>
      </c>
      <c r="C994" s="832"/>
      <c r="D994" s="832"/>
      <c r="E994" s="832"/>
      <c r="F994" s="832"/>
      <c r="G994" s="832"/>
      <c r="H994" s="832"/>
      <c r="I994" s="832"/>
      <c r="J994" s="832"/>
      <c r="K994" s="832"/>
      <c r="L994" s="832"/>
      <c r="M994" s="832"/>
      <c r="N994" s="832"/>
      <c r="O994" s="832"/>
      <c r="P994" s="832"/>
      <c r="Q994" s="832"/>
      <c r="R994" s="832"/>
      <c r="S994" s="832"/>
      <c r="T994" s="832"/>
    </row>
    <row r="995" spans="1:20" x14ac:dyDescent="0.2">
      <c r="A995" s="832"/>
      <c r="B995" s="990" t="s">
        <v>1490</v>
      </c>
      <c r="C995" s="832"/>
      <c r="D995" s="832"/>
      <c r="E995" s="832"/>
      <c r="F995" s="832"/>
      <c r="G995" s="832"/>
      <c r="H995" s="832"/>
      <c r="I995" s="832"/>
      <c r="J995" s="832"/>
      <c r="K995" s="832"/>
      <c r="L995" s="832"/>
      <c r="M995" s="832"/>
      <c r="N995" s="832"/>
      <c r="O995" s="832"/>
      <c r="P995" s="832"/>
      <c r="Q995" s="832"/>
      <c r="R995" s="832"/>
      <c r="S995" s="832"/>
      <c r="T995" s="832"/>
    </row>
    <row r="996" spans="1:20" x14ac:dyDescent="0.2">
      <c r="A996" s="832"/>
      <c r="B996" s="832"/>
      <c r="C996" s="832"/>
      <c r="D996" s="832"/>
      <c r="E996" s="832"/>
      <c r="F996" s="832"/>
      <c r="G996" s="832"/>
      <c r="H996" s="832"/>
      <c r="I996" s="832"/>
      <c r="J996" s="832"/>
      <c r="K996" s="832"/>
      <c r="L996" s="832"/>
      <c r="M996" s="832"/>
      <c r="N996" s="832"/>
      <c r="O996" s="832"/>
      <c r="P996" s="832"/>
      <c r="Q996" s="832"/>
      <c r="R996" s="832"/>
      <c r="S996" s="832"/>
      <c r="T996" s="832"/>
    </row>
    <row r="997" spans="1:20" x14ac:dyDescent="0.2">
      <c r="A997" s="832"/>
      <c r="B997" s="990" t="s">
        <v>1491</v>
      </c>
      <c r="C997" s="832"/>
      <c r="D997" s="832"/>
      <c r="E997" s="832"/>
      <c r="F997" s="832"/>
      <c r="G997" s="832"/>
      <c r="H997" s="832"/>
      <c r="I997" s="832"/>
      <c r="J997" s="832"/>
      <c r="K997" s="832"/>
      <c r="L997" s="832"/>
      <c r="M997" s="832"/>
      <c r="N997" s="832"/>
      <c r="O997" s="832"/>
      <c r="P997" s="832"/>
      <c r="Q997" s="832"/>
      <c r="R997" s="832"/>
      <c r="S997" s="832"/>
      <c r="T997" s="832"/>
    </row>
    <row r="998" spans="1:20" x14ac:dyDescent="0.2">
      <c r="A998" s="832"/>
      <c r="B998" s="832"/>
      <c r="C998" s="832"/>
      <c r="D998" s="990"/>
      <c r="E998" s="832"/>
      <c r="F998" s="832"/>
      <c r="G998" s="832"/>
      <c r="H998" s="832"/>
      <c r="I998" s="832"/>
      <c r="J998" s="832"/>
      <c r="K998" s="832"/>
      <c r="L998" s="832"/>
      <c r="M998" s="832"/>
      <c r="N998" s="832"/>
      <c r="O998" s="832"/>
      <c r="P998" s="832"/>
      <c r="Q998" s="832"/>
      <c r="R998" s="832"/>
      <c r="S998" s="832"/>
      <c r="T998" s="832"/>
    </row>
    <row r="999" spans="1:20" x14ac:dyDescent="0.2">
      <c r="A999" s="832"/>
      <c r="B999" s="995"/>
      <c r="C999" s="995"/>
      <c r="D999" s="1028" t="s">
        <v>2219</v>
      </c>
      <c r="E999" s="1028" t="s">
        <v>2222</v>
      </c>
      <c r="F999" s="1028" t="s">
        <v>1823</v>
      </c>
      <c r="G999" s="832"/>
      <c r="H999" s="832"/>
      <c r="I999" s="832"/>
      <c r="J999" s="832"/>
      <c r="K999" s="832"/>
      <c r="L999" s="832"/>
      <c r="M999" s="832"/>
      <c r="N999" s="832"/>
      <c r="O999" s="832"/>
      <c r="P999" s="832"/>
      <c r="Q999" s="832"/>
      <c r="R999" s="832"/>
      <c r="S999" s="832"/>
      <c r="T999" s="832"/>
    </row>
    <row r="1000" spans="1:20" x14ac:dyDescent="0.2">
      <c r="A1000" s="832"/>
      <c r="B1000" s="990" t="s">
        <v>1492</v>
      </c>
      <c r="C1000" s="832"/>
      <c r="D1000" s="832"/>
      <c r="E1000" s="832"/>
      <c r="F1000" s="832"/>
      <c r="G1000" s="832"/>
      <c r="H1000" s="832"/>
      <c r="I1000" s="832"/>
      <c r="J1000" s="832"/>
      <c r="K1000" s="832"/>
      <c r="L1000" s="832"/>
      <c r="M1000" s="832"/>
      <c r="N1000" s="832"/>
      <c r="O1000" s="832"/>
      <c r="P1000" s="832"/>
      <c r="Q1000" s="832"/>
      <c r="R1000" s="832"/>
      <c r="S1000" s="832"/>
      <c r="T1000" s="832"/>
    </row>
    <row r="1001" spans="1:20" x14ac:dyDescent="0.2">
      <c r="A1001" s="832"/>
      <c r="B1001" s="990" t="s">
        <v>1494</v>
      </c>
      <c r="C1001" s="832"/>
      <c r="D1001" s="998">
        <f t="shared" ref="D1001:F1002" si="3">D196</f>
        <v>7.1428571428571425E-2</v>
      </c>
      <c r="E1001" s="998">
        <f t="shared" si="3"/>
        <v>7.1428571428571425E-2</v>
      </c>
      <c r="F1001" s="998">
        <f t="shared" si="3"/>
        <v>7.1428571428571425E-2</v>
      </c>
      <c r="G1001" s="832"/>
      <c r="H1001" s="832"/>
      <c r="I1001" s="832"/>
      <c r="J1001" s="832"/>
      <c r="K1001" s="832"/>
      <c r="L1001" s="832"/>
      <c r="M1001" s="832"/>
      <c r="N1001" s="832"/>
      <c r="O1001" s="832"/>
      <c r="P1001" s="832"/>
      <c r="Q1001" s="832"/>
      <c r="R1001" s="832"/>
      <c r="S1001" s="832"/>
      <c r="T1001" s="832"/>
    </row>
    <row r="1002" spans="1:20" x14ac:dyDescent="0.2">
      <c r="A1002" s="832"/>
      <c r="B1002" s="990" t="s">
        <v>1493</v>
      </c>
      <c r="C1002" s="832"/>
      <c r="D1002" s="998">
        <f t="shared" si="3"/>
        <v>6.25E-2</v>
      </c>
      <c r="E1002" s="998">
        <f t="shared" si="3"/>
        <v>0.1111111111111111</v>
      </c>
      <c r="F1002" s="998">
        <f t="shared" si="3"/>
        <v>0.1</v>
      </c>
      <c r="G1002" s="832"/>
      <c r="H1002" s="832"/>
      <c r="I1002" s="832"/>
      <c r="J1002" s="832"/>
      <c r="K1002" s="832"/>
      <c r="L1002" s="832"/>
      <c r="M1002" s="832"/>
      <c r="N1002" s="832"/>
      <c r="O1002" s="832"/>
      <c r="P1002" s="832"/>
      <c r="Q1002" s="832"/>
      <c r="R1002" s="832"/>
      <c r="S1002" s="832"/>
      <c r="T1002" s="832"/>
    </row>
    <row r="1003" spans="1:20" x14ac:dyDescent="0.2">
      <c r="A1003" s="832"/>
      <c r="B1003" s="990" t="s">
        <v>1495</v>
      </c>
      <c r="C1003" s="832"/>
      <c r="D1003" s="998">
        <f>D199</f>
        <v>1.1499999999999999</v>
      </c>
      <c r="E1003" s="998">
        <f>E199</f>
        <v>1.1499999999999999</v>
      </c>
      <c r="F1003" s="998">
        <f>F199</f>
        <v>1.1499999999999999</v>
      </c>
      <c r="G1003" s="832"/>
      <c r="H1003" s="832"/>
      <c r="I1003" s="832"/>
      <c r="J1003" s="832"/>
      <c r="K1003" s="832"/>
      <c r="L1003" s="832"/>
      <c r="M1003" s="832"/>
      <c r="N1003" s="832"/>
      <c r="O1003" s="832"/>
      <c r="P1003" s="832"/>
      <c r="Q1003" s="832"/>
      <c r="R1003" s="832"/>
      <c r="S1003" s="832"/>
      <c r="T1003" s="832"/>
    </row>
    <row r="1004" spans="1:20" x14ac:dyDescent="0.2">
      <c r="A1004" s="832"/>
      <c r="B1004" s="995"/>
      <c r="C1004" s="995"/>
      <c r="D1004" s="995"/>
      <c r="E1004" s="995"/>
      <c r="F1004" s="995"/>
      <c r="G1004" s="832"/>
      <c r="H1004" s="832"/>
      <c r="I1004" s="832"/>
      <c r="J1004" s="832"/>
      <c r="K1004" s="832"/>
      <c r="L1004" s="832"/>
      <c r="M1004" s="832"/>
      <c r="N1004" s="832"/>
      <c r="O1004" s="832"/>
      <c r="P1004" s="832"/>
      <c r="Q1004" s="832"/>
      <c r="R1004" s="832"/>
      <c r="S1004" s="832"/>
      <c r="T1004" s="832"/>
    </row>
    <row r="1005" spans="1:20" x14ac:dyDescent="0.2">
      <c r="A1005" s="832"/>
      <c r="B1005" s="990" t="s">
        <v>2223</v>
      </c>
      <c r="C1005" s="832"/>
      <c r="D1005" s="832"/>
      <c r="E1005" s="832"/>
      <c r="F1005" s="994">
        <f>E44</f>
        <v>1.5</v>
      </c>
      <c r="G1005" s="990" t="s">
        <v>24</v>
      </c>
      <c r="H1005" s="832"/>
      <c r="I1005" s="832"/>
      <c r="J1005" s="832"/>
      <c r="K1005" s="832"/>
      <c r="L1005" s="832"/>
      <c r="M1005" s="832"/>
      <c r="N1005" s="832"/>
      <c r="O1005" s="832"/>
      <c r="P1005" s="832"/>
      <c r="Q1005" s="832"/>
      <c r="R1005" s="832"/>
      <c r="S1005" s="832"/>
      <c r="T1005" s="832"/>
    </row>
    <row r="1006" spans="1:20" x14ac:dyDescent="0.2">
      <c r="A1006" s="832"/>
      <c r="B1006" s="832"/>
      <c r="C1006" s="832"/>
      <c r="D1006" s="832"/>
      <c r="E1006" s="832"/>
      <c r="F1006" s="832"/>
      <c r="G1006" s="832"/>
      <c r="H1006" s="832"/>
      <c r="I1006" s="832"/>
      <c r="J1006" s="832"/>
      <c r="K1006" s="832"/>
      <c r="L1006" s="832"/>
      <c r="M1006" s="832"/>
      <c r="N1006" s="832"/>
      <c r="O1006" s="832"/>
      <c r="P1006" s="832"/>
      <c r="Q1006" s="832"/>
      <c r="R1006" s="832"/>
      <c r="S1006" s="832"/>
      <c r="T1006" s="832"/>
    </row>
    <row r="1007" spans="1:20" x14ac:dyDescent="0.2">
      <c r="A1007" s="832"/>
      <c r="B1007" s="990" t="s">
        <v>1497</v>
      </c>
      <c r="C1007" s="832"/>
      <c r="D1007" s="997">
        <f>E42</f>
        <v>1</v>
      </c>
      <c r="E1007" s="832"/>
      <c r="F1007" s="832"/>
      <c r="G1007" s="832"/>
      <c r="H1007" s="832"/>
      <c r="I1007" s="832"/>
      <c r="J1007" s="832"/>
      <c r="K1007" s="832"/>
      <c r="L1007" s="832"/>
      <c r="M1007" s="832"/>
      <c r="N1007" s="832"/>
      <c r="O1007" s="832"/>
      <c r="P1007" s="832"/>
      <c r="Q1007" s="832"/>
      <c r="R1007" s="832"/>
      <c r="S1007" s="832"/>
      <c r="T1007" s="832"/>
    </row>
    <row r="1008" spans="1:20" x14ac:dyDescent="0.2">
      <c r="A1008" s="832"/>
      <c r="B1008" s="832"/>
      <c r="C1008" s="832"/>
      <c r="D1008" s="832"/>
      <c r="E1008" s="832"/>
      <c r="F1008" s="832"/>
      <c r="G1008" s="832"/>
      <c r="H1008" s="832"/>
      <c r="I1008" s="832"/>
      <c r="J1008" s="832"/>
      <c r="K1008" s="832"/>
      <c r="L1008" s="832"/>
      <c r="M1008" s="832"/>
      <c r="N1008" s="832"/>
      <c r="O1008" s="832"/>
      <c r="P1008" s="832"/>
      <c r="Q1008" s="832"/>
      <c r="R1008" s="832"/>
      <c r="S1008" s="832"/>
      <c r="T1008" s="832"/>
    </row>
    <row r="1009" spans="1:20" x14ac:dyDescent="0.2">
      <c r="A1009" s="832"/>
      <c r="B1009" s="990" t="s">
        <v>1499</v>
      </c>
      <c r="C1009" s="832"/>
      <c r="D1009" s="832"/>
      <c r="E1009" s="994">
        <f>IF($D$1007=1,D1001*$I$983*$F$1005^2,IF($D$1007=2,E1001*$I$983*$F$1005^2,F1001*$I$983*$F$1005^2))</f>
        <v>0.39825000000000005</v>
      </c>
      <c r="F1009" s="990" t="s">
        <v>58</v>
      </c>
      <c r="G1009" s="832"/>
      <c r="H1009" s="832"/>
      <c r="I1009" s="832"/>
      <c r="J1009" s="832"/>
      <c r="K1009" s="832"/>
      <c r="L1009" s="832"/>
      <c r="M1009" s="832"/>
      <c r="N1009" s="832"/>
      <c r="O1009" s="832"/>
      <c r="P1009" s="832"/>
      <c r="Q1009" s="832"/>
      <c r="R1009" s="832"/>
      <c r="S1009" s="832"/>
      <c r="T1009" s="832"/>
    </row>
    <row r="1010" spans="1:20" x14ac:dyDescent="0.2">
      <c r="A1010" s="832"/>
      <c r="B1010" s="990" t="s">
        <v>1498</v>
      </c>
      <c r="C1010" s="832"/>
      <c r="D1010" s="832"/>
      <c r="E1010" s="994">
        <f>IF($D$1007=1,D1002*$I$983*$F$1005^2,IF($D$1007=2,E1002*$I$983*$F$1005^2,F1002*$I$983*$F$1005^2))</f>
        <v>0.34846875000000005</v>
      </c>
      <c r="F1010" s="990" t="s">
        <v>58</v>
      </c>
      <c r="G1010" s="832"/>
      <c r="H1010" s="832"/>
      <c r="I1010" s="832"/>
      <c r="J1010" s="832"/>
      <c r="K1010" s="832"/>
      <c r="L1010" s="832"/>
      <c r="M1010" s="832"/>
      <c r="N1010" s="832"/>
      <c r="O1010" s="832"/>
      <c r="P1010" s="832"/>
      <c r="Q1010" s="832"/>
      <c r="R1010" s="832"/>
      <c r="S1010" s="832"/>
      <c r="T1010" s="832"/>
    </row>
    <row r="1011" spans="1:20" x14ac:dyDescent="0.2">
      <c r="A1011" s="832"/>
      <c r="B1011" s="832"/>
      <c r="C1011" s="832"/>
      <c r="D1011" s="832"/>
      <c r="E1011" s="832"/>
      <c r="F1011" s="832"/>
      <c r="G1011" s="832"/>
      <c r="H1011" s="832"/>
      <c r="I1011" s="832"/>
      <c r="J1011" s="832"/>
      <c r="K1011" s="832"/>
      <c r="L1011" s="832"/>
      <c r="M1011" s="832"/>
      <c r="N1011" s="832"/>
      <c r="O1011" s="832"/>
      <c r="P1011" s="832"/>
      <c r="Q1011" s="832"/>
      <c r="R1011" s="832"/>
      <c r="S1011" s="832"/>
      <c r="T1011" s="832"/>
    </row>
    <row r="1012" spans="1:20" x14ac:dyDescent="0.2">
      <c r="A1012" s="832"/>
      <c r="B1012" s="990" t="s">
        <v>1500</v>
      </c>
      <c r="C1012" s="832"/>
      <c r="D1012" s="832"/>
      <c r="E1012" s="994">
        <f>IF($D$1007=1,D1003*$I$983*$F$1005/2,IF($D$1007=2,E1003*$I$983*$F$1005/2,F1003*$I$983*$F$1005/2))</f>
        <v>2.1372749999999998</v>
      </c>
      <c r="F1012" s="990" t="s">
        <v>57</v>
      </c>
      <c r="G1012" s="832"/>
      <c r="H1012" s="832"/>
      <c r="I1012" s="832"/>
      <c r="J1012" s="832"/>
      <c r="K1012" s="832"/>
      <c r="L1012" s="832"/>
      <c r="M1012" s="832"/>
      <c r="N1012" s="832"/>
      <c r="O1012" s="832"/>
      <c r="P1012" s="832"/>
      <c r="Q1012" s="832"/>
      <c r="R1012" s="832"/>
      <c r="S1012" s="832"/>
      <c r="T1012" s="832"/>
    </row>
    <row r="1013" spans="1:20" x14ac:dyDescent="0.2">
      <c r="A1013" s="832"/>
      <c r="B1013" s="832"/>
      <c r="C1013" s="832"/>
      <c r="D1013" s="832"/>
      <c r="E1013" s="832"/>
      <c r="F1013" s="832"/>
      <c r="G1013" s="832"/>
      <c r="H1013" s="832"/>
      <c r="I1013" s="832"/>
      <c r="J1013" s="832"/>
      <c r="K1013" s="832"/>
      <c r="L1013" s="832"/>
      <c r="M1013" s="832"/>
      <c r="N1013" s="832"/>
      <c r="O1013" s="832"/>
      <c r="P1013" s="832"/>
      <c r="Q1013" s="832"/>
      <c r="R1013" s="832"/>
      <c r="S1013" s="832"/>
      <c r="T1013" s="832"/>
    </row>
    <row r="1014" spans="1:20" x14ac:dyDescent="0.2">
      <c r="A1014" s="832"/>
      <c r="B1014" s="990" t="s">
        <v>1625</v>
      </c>
      <c r="C1014" s="832"/>
      <c r="D1014" s="832"/>
      <c r="E1014" s="832"/>
      <c r="F1014" s="832"/>
      <c r="G1014" s="832"/>
      <c r="H1014" s="832"/>
      <c r="I1014" s="832"/>
      <c r="J1014" s="832"/>
      <c r="K1014" s="832"/>
      <c r="L1014" s="832"/>
      <c r="M1014" s="832"/>
      <c r="N1014" s="832"/>
      <c r="O1014" s="832"/>
      <c r="P1014" s="832"/>
      <c r="Q1014" s="832"/>
      <c r="R1014" s="832"/>
      <c r="S1014" s="832"/>
      <c r="T1014" s="832"/>
    </row>
    <row r="1015" spans="1:20" x14ac:dyDescent="0.2">
      <c r="A1015" s="832"/>
      <c r="B1015" s="832"/>
      <c r="C1015" s="832"/>
      <c r="D1015" s="832"/>
      <c r="E1015" s="832"/>
      <c r="F1015" s="832"/>
      <c r="G1015" s="832"/>
      <c r="H1015" s="832"/>
      <c r="I1015" s="832"/>
      <c r="J1015" s="832"/>
      <c r="K1015" s="832"/>
      <c r="L1015" s="832"/>
      <c r="M1015" s="832"/>
      <c r="N1015" s="832"/>
      <c r="O1015" s="832"/>
      <c r="P1015" s="832"/>
      <c r="Q1015" s="832"/>
      <c r="R1015" s="832"/>
      <c r="S1015" s="832"/>
      <c r="T1015" s="832"/>
    </row>
    <row r="1016" spans="1:20" x14ac:dyDescent="0.2">
      <c r="A1016" s="832"/>
      <c r="B1016" s="990" t="s">
        <v>1626</v>
      </c>
      <c r="C1016" s="832"/>
      <c r="D1016" s="832"/>
      <c r="E1016" s="832"/>
      <c r="F1016" s="832"/>
      <c r="G1016" s="832"/>
      <c r="H1016" s="832"/>
      <c r="I1016" s="832"/>
      <c r="J1016" s="832"/>
      <c r="K1016" s="832"/>
      <c r="L1016" s="832"/>
      <c r="M1016" s="832"/>
      <c r="N1016" s="832"/>
      <c r="O1016" s="832"/>
      <c r="P1016" s="832"/>
      <c r="Q1016" s="832"/>
      <c r="R1016" s="832"/>
      <c r="S1016" s="832"/>
      <c r="T1016" s="832"/>
    </row>
    <row r="1017" spans="1:20" x14ac:dyDescent="0.2">
      <c r="A1017" s="832"/>
      <c r="B1017" s="990" t="s">
        <v>1627</v>
      </c>
      <c r="C1017" s="832"/>
      <c r="D1017" s="832"/>
      <c r="E1017" s="832"/>
      <c r="F1017" s="832"/>
      <c r="G1017" s="832"/>
      <c r="H1017" s="832"/>
      <c r="I1017" s="832"/>
      <c r="J1017" s="832"/>
      <c r="K1017" s="832"/>
      <c r="L1017" s="832"/>
      <c r="M1017" s="832"/>
      <c r="N1017" s="832"/>
      <c r="O1017" s="832"/>
      <c r="P1017" s="832"/>
      <c r="Q1017" s="832"/>
      <c r="R1017" s="832"/>
      <c r="S1017" s="832"/>
      <c r="T1017" s="832"/>
    </row>
    <row r="1018" spans="1:20" x14ac:dyDescent="0.2">
      <c r="A1018" s="832"/>
      <c r="B1018" s="990" t="s">
        <v>1628</v>
      </c>
      <c r="C1018" s="832"/>
      <c r="D1018" s="832"/>
      <c r="E1018" s="832"/>
      <c r="F1018" s="832"/>
      <c r="G1018" s="832"/>
      <c r="H1018" s="832"/>
      <c r="I1018" s="832"/>
      <c r="J1018" s="832"/>
      <c r="K1018" s="832"/>
      <c r="L1018" s="832"/>
      <c r="M1018" s="832"/>
      <c r="N1018" s="832"/>
      <c r="O1018" s="832"/>
      <c r="P1018" s="832"/>
      <c r="Q1018" s="832"/>
      <c r="R1018" s="832"/>
      <c r="S1018" s="832"/>
      <c r="T1018" s="832"/>
    </row>
    <row r="1019" spans="1:20" x14ac:dyDescent="0.2">
      <c r="A1019" s="832"/>
      <c r="B1019" s="832"/>
      <c r="C1019" s="832"/>
      <c r="D1019" s="832"/>
      <c r="E1019" s="832"/>
      <c r="F1019" s="832"/>
      <c r="G1019" s="832"/>
      <c r="H1019" s="832"/>
      <c r="I1019" s="832"/>
      <c r="J1019" s="832"/>
      <c r="K1019" s="832"/>
      <c r="L1019" s="832"/>
      <c r="M1019" s="832"/>
      <c r="N1019" s="832"/>
      <c r="O1019" s="832"/>
      <c r="P1019" s="832"/>
      <c r="Q1019" s="832"/>
      <c r="R1019" s="832"/>
      <c r="S1019" s="832"/>
      <c r="T1019" s="832"/>
    </row>
    <row r="1020" spans="1:20" x14ac:dyDescent="0.2">
      <c r="A1020" s="832"/>
      <c r="B1020" s="990" t="s">
        <v>1629</v>
      </c>
      <c r="C1020" s="832"/>
      <c r="D1020" s="832"/>
      <c r="E1020" s="832"/>
      <c r="F1020" s="832"/>
      <c r="G1020" s="832"/>
      <c r="H1020" s="832"/>
      <c r="I1020" s="832"/>
      <c r="J1020" s="832"/>
      <c r="K1020" s="832"/>
      <c r="L1020" s="832"/>
      <c r="M1020" s="832"/>
      <c r="N1020" s="832"/>
      <c r="O1020" s="832"/>
      <c r="P1020" s="832"/>
      <c r="Q1020" s="832"/>
      <c r="R1020" s="832"/>
      <c r="S1020" s="832"/>
      <c r="T1020" s="832"/>
    </row>
    <row r="1021" spans="1:20" x14ac:dyDescent="0.2">
      <c r="A1021" s="832"/>
      <c r="B1021" s="990" t="s">
        <v>1630</v>
      </c>
      <c r="C1021" s="832"/>
      <c r="D1021" s="832"/>
      <c r="E1021" s="832"/>
      <c r="F1021" s="832"/>
      <c r="G1021" s="832"/>
      <c r="H1021" s="832"/>
      <c r="I1021" s="832"/>
      <c r="J1021" s="832"/>
      <c r="K1021" s="832"/>
      <c r="L1021" s="832"/>
      <c r="M1021" s="832"/>
      <c r="N1021" s="832"/>
      <c r="O1021" s="832"/>
      <c r="P1021" s="832"/>
      <c r="Q1021" s="832"/>
      <c r="R1021" s="832"/>
      <c r="S1021" s="832"/>
      <c r="T1021" s="832"/>
    </row>
    <row r="1022" spans="1:20" x14ac:dyDescent="0.2">
      <c r="A1022" s="990" t="s">
        <v>986</v>
      </c>
      <c r="B1022" s="832"/>
      <c r="C1022" s="832"/>
      <c r="D1022" s="832"/>
      <c r="E1022" s="832"/>
      <c r="F1022" s="832"/>
      <c r="G1022" s="832"/>
      <c r="H1022" s="832"/>
      <c r="I1022" s="832"/>
      <c r="J1022" s="832"/>
      <c r="K1022" s="832"/>
      <c r="L1022" s="832"/>
      <c r="M1022" s="832"/>
      <c r="N1022" s="832"/>
      <c r="O1022" s="832"/>
      <c r="P1022" s="832"/>
      <c r="Q1022" s="832"/>
      <c r="R1022" s="832"/>
      <c r="S1022" s="832"/>
      <c r="T1022" s="832"/>
    </row>
    <row r="1023" spans="1:20" x14ac:dyDescent="0.2">
      <c r="A1023" s="832"/>
      <c r="B1023" s="990" t="s">
        <v>1631</v>
      </c>
      <c r="C1023" s="832"/>
      <c r="D1023" s="832"/>
      <c r="E1023" s="832"/>
      <c r="F1023" s="832"/>
      <c r="G1023" s="832"/>
      <c r="H1023" s="832"/>
      <c r="I1023" s="832"/>
      <c r="J1023" s="832"/>
      <c r="K1023" s="832"/>
      <c r="L1023" s="832"/>
      <c r="M1023" s="832"/>
      <c r="N1023" s="832"/>
      <c r="O1023" s="832"/>
      <c r="P1023" s="832"/>
      <c r="Q1023" s="832"/>
      <c r="R1023" s="832"/>
      <c r="S1023" s="832"/>
      <c r="T1023" s="832"/>
    </row>
    <row r="1024" spans="1:20" x14ac:dyDescent="0.2">
      <c r="A1024" s="832"/>
      <c r="B1024" s="995"/>
      <c r="C1024" s="1028"/>
      <c r="D1024" s="1028" t="s">
        <v>2219</v>
      </c>
      <c r="E1024" s="1028" t="s">
        <v>1824</v>
      </c>
      <c r="F1024" s="1028" t="s">
        <v>1823</v>
      </c>
      <c r="G1024" s="832"/>
      <c r="H1024" s="832"/>
      <c r="I1024" s="832"/>
      <c r="J1024" s="832"/>
      <c r="K1024" s="832"/>
      <c r="L1024" s="832"/>
      <c r="M1024" s="832"/>
      <c r="N1024" s="832"/>
      <c r="O1024" s="832"/>
      <c r="P1024" s="832"/>
      <c r="Q1024" s="832"/>
      <c r="R1024" s="832"/>
      <c r="S1024" s="832"/>
      <c r="T1024" s="832"/>
    </row>
    <row r="1025" spans="1:20" x14ac:dyDescent="0.2">
      <c r="A1025" s="832"/>
      <c r="B1025" s="990" t="s">
        <v>1492</v>
      </c>
      <c r="C1025" s="832"/>
      <c r="D1025" s="832"/>
      <c r="E1025" s="832"/>
      <c r="F1025" s="832"/>
      <c r="G1025" s="832"/>
      <c r="H1025" s="832"/>
      <c r="I1025" s="832"/>
      <c r="J1025" s="832"/>
      <c r="K1025" s="832"/>
      <c r="L1025" s="832"/>
      <c r="M1025" s="832"/>
      <c r="N1025" s="832"/>
      <c r="O1025" s="832"/>
      <c r="P1025" s="832"/>
      <c r="Q1025" s="832"/>
      <c r="R1025" s="832"/>
      <c r="S1025" s="832"/>
      <c r="T1025" s="832"/>
    </row>
    <row r="1026" spans="1:20" x14ac:dyDescent="0.2">
      <c r="A1026" s="832"/>
      <c r="B1026" s="990" t="s">
        <v>1494</v>
      </c>
      <c r="C1026" s="832"/>
      <c r="D1026" s="1012">
        <v>0.25</v>
      </c>
      <c r="E1026" s="1012">
        <v>0.16</v>
      </c>
      <c r="F1026" s="1012">
        <v>0.18</v>
      </c>
      <c r="G1026" s="832"/>
      <c r="H1026" s="832"/>
      <c r="I1026" s="832"/>
      <c r="J1026" s="832"/>
      <c r="K1026" s="832"/>
      <c r="L1026" s="832"/>
      <c r="M1026" s="832"/>
      <c r="N1026" s="832"/>
      <c r="O1026" s="832"/>
      <c r="P1026" s="832"/>
      <c r="Q1026" s="832"/>
      <c r="R1026" s="832"/>
      <c r="S1026" s="832"/>
      <c r="T1026" s="832"/>
    </row>
    <row r="1027" spans="1:20" x14ac:dyDescent="0.2">
      <c r="A1027" s="832"/>
      <c r="B1027" s="990" t="s">
        <v>1493</v>
      </c>
      <c r="C1027" s="832"/>
      <c r="D1027" s="1012">
        <v>0.125</v>
      </c>
      <c r="E1027" s="1012">
        <v>0.19</v>
      </c>
      <c r="F1027" s="1012">
        <v>0.17</v>
      </c>
      <c r="G1027" s="832"/>
      <c r="H1027" s="832"/>
      <c r="I1027" s="832"/>
      <c r="J1027" s="832"/>
      <c r="K1027" s="832"/>
      <c r="L1027" s="832"/>
      <c r="M1027" s="832"/>
      <c r="N1027" s="832"/>
      <c r="O1027" s="832"/>
      <c r="P1027" s="832"/>
      <c r="Q1027" s="832"/>
      <c r="R1027" s="832"/>
      <c r="S1027" s="832"/>
      <c r="T1027" s="832"/>
    </row>
    <row r="1028" spans="1:20" x14ac:dyDescent="0.2">
      <c r="A1028" s="832"/>
      <c r="B1028" s="832"/>
      <c r="C1028" s="832"/>
      <c r="D1028" s="998"/>
      <c r="E1028" s="998"/>
      <c r="F1028" s="998"/>
      <c r="G1028" s="832"/>
      <c r="H1028" s="832"/>
      <c r="I1028" s="832"/>
      <c r="J1028" s="832"/>
      <c r="K1028" s="832"/>
      <c r="L1028" s="832"/>
      <c r="M1028" s="832"/>
      <c r="N1028" s="832"/>
      <c r="O1028" s="832"/>
      <c r="P1028" s="832"/>
      <c r="Q1028" s="832"/>
      <c r="R1028" s="832"/>
      <c r="S1028" s="832"/>
      <c r="T1028" s="832"/>
    </row>
    <row r="1029" spans="1:20" x14ac:dyDescent="0.2">
      <c r="A1029" s="832"/>
      <c r="B1029" s="990" t="s">
        <v>1495</v>
      </c>
      <c r="C1029" s="832"/>
      <c r="D1029" s="1012">
        <v>0.5</v>
      </c>
      <c r="E1029" s="1012">
        <v>0.7</v>
      </c>
      <c r="F1029" s="1012">
        <v>0.7</v>
      </c>
      <c r="G1029" s="832"/>
      <c r="H1029" s="832"/>
      <c r="I1029" s="832"/>
      <c r="J1029" s="832"/>
      <c r="K1029" s="832"/>
      <c r="L1029" s="832"/>
      <c r="M1029" s="832"/>
      <c r="N1029" s="832"/>
      <c r="O1029" s="832"/>
      <c r="P1029" s="832"/>
      <c r="Q1029" s="832"/>
      <c r="R1029" s="832"/>
      <c r="S1029" s="832"/>
      <c r="T1029" s="832"/>
    </row>
    <row r="1030" spans="1:20" x14ac:dyDescent="0.2">
      <c r="A1030" s="832"/>
      <c r="B1030" s="995"/>
      <c r="C1030" s="995"/>
      <c r="D1030" s="995"/>
      <c r="E1030" s="995"/>
      <c r="F1030" s="995"/>
      <c r="G1030" s="832"/>
      <c r="H1030" s="832"/>
      <c r="I1030" s="832"/>
      <c r="J1030" s="832"/>
      <c r="K1030" s="832"/>
      <c r="L1030" s="832"/>
      <c r="M1030" s="832"/>
      <c r="N1030" s="832"/>
      <c r="O1030" s="832"/>
      <c r="P1030" s="832"/>
      <c r="Q1030" s="832"/>
      <c r="R1030" s="832"/>
      <c r="S1030" s="832"/>
      <c r="T1030" s="832"/>
    </row>
    <row r="1031" spans="1:20" x14ac:dyDescent="0.2">
      <c r="A1031" s="832"/>
      <c r="B1031" s="990" t="s">
        <v>1496</v>
      </c>
      <c r="C1031" s="832"/>
      <c r="D1031" s="832"/>
      <c r="E1031" s="832"/>
      <c r="F1031" s="994">
        <f>E44</f>
        <v>1.5</v>
      </c>
      <c r="G1031" s="990" t="s">
        <v>24</v>
      </c>
      <c r="H1031" s="832"/>
      <c r="I1031" s="832"/>
      <c r="J1031" s="832"/>
      <c r="K1031" s="832"/>
      <c r="L1031" s="832"/>
      <c r="M1031" s="832"/>
      <c r="N1031" s="832"/>
      <c r="O1031" s="832"/>
      <c r="P1031" s="832"/>
      <c r="Q1031" s="832"/>
      <c r="R1031" s="832"/>
      <c r="S1031" s="832"/>
      <c r="T1031" s="832"/>
    </row>
    <row r="1032" spans="1:20" x14ac:dyDescent="0.2">
      <c r="A1032" s="832"/>
      <c r="B1032" s="832"/>
      <c r="C1032" s="832"/>
      <c r="D1032" s="832"/>
      <c r="E1032" s="832"/>
      <c r="F1032" s="832"/>
      <c r="G1032" s="832"/>
      <c r="H1032" s="832"/>
      <c r="I1032" s="832"/>
      <c r="J1032" s="832"/>
      <c r="K1032" s="832"/>
      <c r="L1032" s="832"/>
      <c r="M1032" s="832"/>
      <c r="N1032" s="832"/>
      <c r="O1032" s="832"/>
      <c r="P1032" s="832"/>
      <c r="Q1032" s="832"/>
      <c r="R1032" s="832"/>
      <c r="S1032" s="832"/>
      <c r="T1032" s="832"/>
    </row>
    <row r="1033" spans="1:20" x14ac:dyDescent="0.2">
      <c r="A1033" s="832"/>
      <c r="B1033" s="990" t="s">
        <v>1497</v>
      </c>
      <c r="C1033" s="832"/>
      <c r="D1033" s="997">
        <f>E42</f>
        <v>1</v>
      </c>
      <c r="E1033" s="832"/>
      <c r="F1033" s="832"/>
      <c r="G1033" s="832"/>
      <c r="H1033" s="832"/>
      <c r="I1033" s="832"/>
      <c r="J1033" s="832"/>
      <c r="K1033" s="832"/>
      <c r="L1033" s="832"/>
      <c r="M1033" s="832"/>
      <c r="N1033" s="832"/>
      <c r="O1033" s="832"/>
      <c r="P1033" s="832"/>
      <c r="Q1033" s="832"/>
      <c r="R1033" s="832"/>
      <c r="S1033" s="832"/>
      <c r="T1033" s="832"/>
    </row>
    <row r="1034" spans="1:20" x14ac:dyDescent="0.2">
      <c r="A1034" s="832"/>
      <c r="B1034" s="832"/>
      <c r="C1034" s="832"/>
      <c r="D1034" s="832"/>
      <c r="E1034" s="832"/>
      <c r="F1034" s="832"/>
      <c r="G1034" s="832"/>
      <c r="H1034" s="832"/>
      <c r="I1034" s="832"/>
      <c r="J1034" s="832"/>
      <c r="K1034" s="832"/>
      <c r="L1034" s="832"/>
      <c r="M1034" s="832"/>
      <c r="N1034" s="832"/>
      <c r="O1034" s="832"/>
      <c r="P1034" s="832"/>
      <c r="Q1034" s="832"/>
      <c r="R1034" s="832"/>
      <c r="S1034" s="832"/>
      <c r="T1034" s="832"/>
    </row>
    <row r="1035" spans="1:20" x14ac:dyDescent="0.2">
      <c r="A1035" s="832"/>
      <c r="B1035" s="990" t="s">
        <v>1499</v>
      </c>
      <c r="C1035" s="832"/>
      <c r="D1035" s="832"/>
      <c r="E1035" s="994">
        <f>IF($D$1033=1,D1026*$E$985*$F$1031,IF($D$1033=2,E1026*$E$985*$F$1031,F1026*$E$985*$F$1031))</f>
        <v>7.5</v>
      </c>
      <c r="F1035" s="990" t="s">
        <v>58</v>
      </c>
      <c r="G1035" s="832"/>
      <c r="H1035" s="832"/>
      <c r="I1035" s="832"/>
      <c r="J1035" s="832"/>
      <c r="K1035" s="832"/>
      <c r="L1035" s="832"/>
      <c r="M1035" s="832"/>
      <c r="N1035" s="832"/>
      <c r="O1035" s="832"/>
      <c r="P1035" s="832"/>
      <c r="Q1035" s="832"/>
      <c r="R1035" s="832"/>
      <c r="S1035" s="832"/>
      <c r="T1035" s="832"/>
    </row>
    <row r="1036" spans="1:20" x14ac:dyDescent="0.2">
      <c r="A1036" s="832"/>
      <c r="B1036" s="990" t="s">
        <v>1498</v>
      </c>
      <c r="C1036" s="832"/>
      <c r="D1036" s="832"/>
      <c r="E1036" s="994">
        <f>IF($D$1033=1,D1027*$E$985*$F$1031,IF($D$1033=2,E1027*$E$985*$F$1031,F1027*$E$985*$F$1031))</f>
        <v>3.75</v>
      </c>
      <c r="F1036" s="990" t="s">
        <v>58</v>
      </c>
      <c r="G1036" s="832"/>
      <c r="H1036" s="832"/>
      <c r="I1036" s="832"/>
      <c r="J1036" s="832"/>
      <c r="K1036" s="832"/>
      <c r="L1036" s="832"/>
      <c r="M1036" s="832"/>
      <c r="N1036" s="832"/>
      <c r="O1036" s="832"/>
      <c r="P1036" s="832"/>
      <c r="Q1036" s="832"/>
      <c r="R1036" s="832"/>
      <c r="S1036" s="832"/>
      <c r="T1036" s="832"/>
    </row>
    <row r="1037" spans="1:20" x14ac:dyDescent="0.2">
      <c r="A1037" s="832"/>
      <c r="B1037" s="832"/>
      <c r="C1037" s="832"/>
      <c r="D1037" s="832"/>
      <c r="E1037" s="832"/>
      <c r="F1037" s="832"/>
      <c r="G1037" s="832"/>
      <c r="H1037" s="832"/>
      <c r="I1037" s="832"/>
      <c r="J1037" s="832"/>
      <c r="K1037" s="832"/>
      <c r="L1037" s="832"/>
      <c r="M1037" s="832"/>
      <c r="N1037" s="832"/>
      <c r="O1037" s="832"/>
      <c r="P1037" s="832"/>
      <c r="Q1037" s="832"/>
      <c r="R1037" s="832"/>
      <c r="S1037" s="832"/>
      <c r="T1037" s="832"/>
    </row>
    <row r="1038" spans="1:20" x14ac:dyDescent="0.2">
      <c r="A1038" s="832"/>
      <c r="B1038" s="990" t="s">
        <v>1500</v>
      </c>
      <c r="C1038" s="832"/>
      <c r="D1038" s="832"/>
      <c r="E1038" s="994">
        <f>IF($D$1033=1,D1029*$E$985,IF($D$1033=2,E1029*$E$985,F1029*$E$985))</f>
        <v>10</v>
      </c>
      <c r="F1038" s="990" t="s">
        <v>57</v>
      </c>
      <c r="G1038" s="832"/>
      <c r="H1038" s="832"/>
      <c r="I1038" s="832"/>
      <c r="J1038" s="832"/>
      <c r="K1038" s="832"/>
      <c r="L1038" s="832"/>
      <c r="M1038" s="832"/>
      <c r="N1038" s="832"/>
      <c r="O1038" s="832"/>
      <c r="P1038" s="832"/>
      <c r="Q1038" s="832"/>
      <c r="R1038" s="832"/>
      <c r="S1038" s="832"/>
      <c r="T1038" s="832"/>
    </row>
    <row r="1039" spans="1:20" x14ac:dyDescent="0.2">
      <c r="A1039" s="832"/>
      <c r="B1039" s="832"/>
      <c r="C1039" s="832"/>
      <c r="D1039" s="832"/>
      <c r="E1039" s="832"/>
      <c r="F1039" s="832"/>
      <c r="G1039" s="832"/>
      <c r="H1039" s="832"/>
      <c r="I1039" s="832"/>
      <c r="J1039" s="832"/>
      <c r="K1039" s="832"/>
      <c r="L1039" s="832"/>
      <c r="M1039" s="832"/>
      <c r="N1039" s="832"/>
      <c r="O1039" s="832"/>
      <c r="P1039" s="832"/>
      <c r="Q1039" s="832"/>
      <c r="R1039" s="832"/>
      <c r="S1039" s="832"/>
      <c r="T1039" s="832"/>
    </row>
    <row r="1040" spans="1:20" x14ac:dyDescent="0.2">
      <c r="A1040" s="832"/>
      <c r="B1040" s="990" t="s">
        <v>1632</v>
      </c>
      <c r="C1040" s="832"/>
      <c r="D1040" s="832"/>
      <c r="E1040" s="832"/>
      <c r="F1040" s="832"/>
      <c r="G1040" s="832"/>
      <c r="H1040" s="832"/>
      <c r="I1040" s="832"/>
      <c r="J1040" s="832"/>
      <c r="K1040" s="832"/>
      <c r="L1040" s="832"/>
      <c r="M1040" s="832"/>
      <c r="N1040" s="832"/>
      <c r="O1040" s="832"/>
      <c r="P1040" s="832"/>
      <c r="Q1040" s="832"/>
      <c r="R1040" s="832"/>
      <c r="S1040" s="832"/>
      <c r="T1040" s="832"/>
    </row>
    <row r="1041" spans="1:20" x14ac:dyDescent="0.2">
      <c r="A1041" s="832"/>
      <c r="B1041" s="832"/>
      <c r="C1041" s="832"/>
      <c r="D1041" s="832"/>
      <c r="E1041" s="832"/>
      <c r="F1041" s="832"/>
      <c r="G1041" s="832"/>
      <c r="H1041" s="832"/>
      <c r="I1041" s="832"/>
      <c r="J1041" s="832"/>
      <c r="K1041" s="832"/>
      <c r="L1041" s="832"/>
      <c r="M1041" s="832"/>
      <c r="N1041" s="832"/>
      <c r="O1041" s="832"/>
      <c r="P1041" s="832"/>
      <c r="Q1041" s="832"/>
      <c r="R1041" s="832"/>
      <c r="S1041" s="832"/>
      <c r="T1041" s="832"/>
    </row>
    <row r="1042" spans="1:20" x14ac:dyDescent="0.2">
      <c r="A1042" s="832"/>
      <c r="B1042" s="990" t="s">
        <v>1633</v>
      </c>
      <c r="C1042" s="832"/>
      <c r="D1042" s="832"/>
      <c r="E1042" s="832"/>
      <c r="F1042" s="832"/>
      <c r="G1042" s="832"/>
      <c r="H1042" s="832"/>
      <c r="I1042" s="832"/>
      <c r="J1042" s="832"/>
      <c r="K1042" s="832"/>
      <c r="L1042" s="832"/>
      <c r="M1042" s="832"/>
      <c r="N1042" s="832"/>
      <c r="O1042" s="832"/>
      <c r="P1042" s="832"/>
      <c r="Q1042" s="832"/>
      <c r="R1042" s="832"/>
      <c r="S1042" s="832"/>
      <c r="T1042" s="832"/>
    </row>
    <row r="1043" spans="1:20" x14ac:dyDescent="0.2">
      <c r="A1043" s="832"/>
      <c r="B1043" s="990" t="s">
        <v>1634</v>
      </c>
      <c r="C1043" s="832"/>
      <c r="D1043" s="832"/>
      <c r="E1043" s="832"/>
      <c r="F1043" s="832"/>
      <c r="G1043" s="832"/>
      <c r="H1043" s="832"/>
      <c r="I1043" s="832"/>
      <c r="J1043" s="832"/>
      <c r="K1043" s="832"/>
      <c r="L1043" s="832"/>
      <c r="M1043" s="832"/>
      <c r="N1043" s="832"/>
      <c r="O1043" s="832"/>
      <c r="P1043" s="832"/>
      <c r="Q1043" s="832"/>
      <c r="R1043" s="832"/>
      <c r="S1043" s="832"/>
      <c r="T1043" s="832"/>
    </row>
    <row r="1044" spans="1:20" x14ac:dyDescent="0.2">
      <c r="A1044" s="832"/>
      <c r="B1044" s="832"/>
      <c r="C1044" s="832"/>
      <c r="D1044" s="832"/>
      <c r="E1044" s="832"/>
      <c r="F1044" s="832"/>
      <c r="G1044" s="832"/>
      <c r="H1044" s="832"/>
      <c r="I1044" s="832"/>
      <c r="J1044" s="832"/>
      <c r="K1044" s="832"/>
      <c r="L1044" s="832"/>
      <c r="M1044" s="832"/>
      <c r="N1044" s="832"/>
      <c r="O1044" s="832"/>
      <c r="P1044" s="832"/>
      <c r="Q1044" s="832"/>
      <c r="R1044" s="832"/>
      <c r="S1044" s="832"/>
      <c r="T1044" s="832"/>
    </row>
    <row r="1045" spans="1:20" x14ac:dyDescent="0.2">
      <c r="A1045" s="832"/>
      <c r="B1045" s="832"/>
      <c r="C1045" s="832"/>
      <c r="D1045" s="832"/>
      <c r="E1045" s="1043" t="s">
        <v>2225</v>
      </c>
      <c r="F1045" s="1128" t="s">
        <v>2227</v>
      </c>
      <c r="G1045" s="1128" t="s">
        <v>2224</v>
      </c>
      <c r="H1045" s="832"/>
      <c r="I1045" s="832"/>
      <c r="J1045" s="832"/>
      <c r="K1045" s="832"/>
      <c r="L1045" s="832"/>
      <c r="M1045" s="832"/>
      <c r="N1045" s="832"/>
      <c r="O1045" s="832"/>
      <c r="P1045" s="832"/>
      <c r="Q1045" s="832"/>
      <c r="R1045" s="832"/>
      <c r="S1045" s="832"/>
      <c r="T1045" s="832"/>
    </row>
    <row r="1046" spans="1:20" x14ac:dyDescent="0.2">
      <c r="A1046" s="832"/>
      <c r="B1046" s="832"/>
      <c r="C1046" s="832"/>
      <c r="D1046" s="832"/>
      <c r="E1046" s="1043" t="s">
        <v>2226</v>
      </c>
      <c r="F1046" s="1128" t="s">
        <v>464</v>
      </c>
      <c r="G1046" s="1128" t="s">
        <v>464</v>
      </c>
      <c r="H1046" s="832"/>
      <c r="I1046" s="832"/>
      <c r="J1046" s="832"/>
      <c r="K1046" s="832"/>
      <c r="L1046" s="832"/>
      <c r="M1046" s="832"/>
      <c r="N1046" s="832"/>
      <c r="O1046" s="832"/>
      <c r="P1046" s="832"/>
      <c r="Q1046" s="832"/>
      <c r="R1046" s="832"/>
      <c r="S1046" s="832"/>
      <c r="T1046" s="832"/>
    </row>
    <row r="1047" spans="1:20" x14ac:dyDescent="0.2">
      <c r="A1047" s="832"/>
      <c r="B1047" s="832"/>
      <c r="C1047" s="832"/>
      <c r="D1047" s="832"/>
      <c r="E1047" s="1043" t="s">
        <v>57</v>
      </c>
      <c r="F1047" s="1128" t="s">
        <v>57</v>
      </c>
      <c r="G1047" s="1128" t="s">
        <v>57</v>
      </c>
      <c r="H1047" s="832"/>
      <c r="I1047" s="832"/>
      <c r="J1047" s="832"/>
      <c r="K1047" s="832"/>
      <c r="L1047" s="832"/>
      <c r="M1047" s="832"/>
      <c r="N1047" s="832"/>
      <c r="O1047" s="832"/>
      <c r="P1047" s="832"/>
      <c r="Q1047" s="832"/>
      <c r="R1047" s="832"/>
      <c r="S1047" s="832"/>
      <c r="T1047" s="832"/>
    </row>
    <row r="1048" spans="1:20" x14ac:dyDescent="0.2">
      <c r="A1048" s="832"/>
      <c r="B1048" s="990" t="s">
        <v>1635</v>
      </c>
      <c r="C1048" s="832"/>
      <c r="D1048" s="832"/>
      <c r="E1048" s="994">
        <f>E1009</f>
        <v>0.39825000000000005</v>
      </c>
      <c r="F1048" s="994">
        <f>E1035</f>
        <v>7.5</v>
      </c>
      <c r="G1048" s="994">
        <f>E1048+F1048</f>
        <v>7.89825</v>
      </c>
      <c r="H1048" s="832"/>
      <c r="I1048" s="832"/>
      <c r="J1048" s="832"/>
      <c r="K1048" s="832"/>
      <c r="L1048" s="832"/>
      <c r="M1048" s="832"/>
      <c r="N1048" s="832"/>
      <c r="O1048" s="832"/>
      <c r="P1048" s="832"/>
      <c r="Q1048" s="832"/>
      <c r="R1048" s="832"/>
      <c r="S1048" s="832"/>
      <c r="T1048" s="832"/>
    </row>
    <row r="1049" spans="1:20" x14ac:dyDescent="0.2">
      <c r="A1049" s="832"/>
      <c r="B1049" s="990" t="s">
        <v>1636</v>
      </c>
      <c r="C1049" s="832"/>
      <c r="D1049" s="832"/>
      <c r="E1049" s="994">
        <f>E1010</f>
        <v>0.34846875000000005</v>
      </c>
      <c r="F1049" s="994">
        <f>E1036</f>
        <v>3.75</v>
      </c>
      <c r="G1049" s="994">
        <f>E1049+F1049</f>
        <v>4.0984687500000003</v>
      </c>
      <c r="H1049" s="832"/>
      <c r="I1049" s="832"/>
      <c r="J1049" s="832"/>
      <c r="K1049" s="832"/>
      <c r="L1049" s="832"/>
      <c r="M1049" s="832"/>
      <c r="N1049" s="832"/>
      <c r="O1049" s="832"/>
      <c r="P1049" s="832"/>
      <c r="Q1049" s="832"/>
      <c r="R1049" s="832"/>
      <c r="S1049" s="832"/>
      <c r="T1049" s="832"/>
    </row>
    <row r="1050" spans="1:20" x14ac:dyDescent="0.2">
      <c r="A1050" s="832"/>
      <c r="B1050" s="832"/>
      <c r="C1050" s="832"/>
      <c r="D1050" s="832"/>
      <c r="E1050" s="832"/>
      <c r="F1050" s="832"/>
      <c r="G1050" s="832"/>
      <c r="H1050" s="832"/>
      <c r="I1050" s="832"/>
      <c r="J1050" s="832"/>
      <c r="K1050" s="832"/>
      <c r="L1050" s="832"/>
      <c r="M1050" s="832"/>
      <c r="N1050" s="832"/>
      <c r="O1050" s="832"/>
      <c r="P1050" s="832"/>
      <c r="Q1050" s="832"/>
      <c r="R1050" s="832"/>
      <c r="S1050" s="832"/>
      <c r="T1050" s="832"/>
    </row>
    <row r="1051" spans="1:20" x14ac:dyDescent="0.2">
      <c r="A1051" s="832"/>
      <c r="B1051" s="990" t="s">
        <v>1495</v>
      </c>
      <c r="C1051" s="832"/>
      <c r="D1051" s="832"/>
      <c r="E1051" s="994">
        <f>E1012</f>
        <v>2.1372749999999998</v>
      </c>
      <c r="F1051" s="994">
        <f>E1038</f>
        <v>10</v>
      </c>
      <c r="G1051" s="994">
        <f>E1051+F1051</f>
        <v>12.137274999999999</v>
      </c>
      <c r="H1051" s="832"/>
      <c r="I1051" s="832"/>
      <c r="J1051" s="832"/>
      <c r="K1051" s="832"/>
      <c r="L1051" s="832"/>
      <c r="M1051" s="832"/>
      <c r="N1051" s="832"/>
      <c r="O1051" s="832"/>
      <c r="P1051" s="832"/>
      <c r="Q1051" s="832"/>
      <c r="R1051" s="832"/>
      <c r="S1051" s="832"/>
      <c r="T1051" s="832"/>
    </row>
    <row r="1052" spans="1:20" x14ac:dyDescent="0.2">
      <c r="A1052" s="832"/>
      <c r="B1052" s="832"/>
      <c r="C1052" s="832"/>
      <c r="D1052" s="832"/>
      <c r="E1052" s="832"/>
      <c r="F1052" s="832"/>
      <c r="G1052" s="832"/>
      <c r="H1052" s="832"/>
      <c r="I1052" s="832"/>
      <c r="J1052" s="832"/>
      <c r="K1052" s="832"/>
      <c r="L1052" s="832"/>
      <c r="M1052" s="832"/>
      <c r="N1052" s="832"/>
      <c r="O1052" s="832"/>
      <c r="P1052" s="832"/>
      <c r="Q1052" s="832"/>
      <c r="R1052" s="832"/>
      <c r="S1052" s="832"/>
      <c r="T1052" s="832"/>
    </row>
    <row r="1053" spans="1:20" x14ac:dyDescent="0.2">
      <c r="A1053" s="990" t="s">
        <v>950</v>
      </c>
      <c r="B1053" s="832"/>
      <c r="C1053" s="832"/>
      <c r="D1053" s="832"/>
      <c r="E1053" s="832"/>
      <c r="F1053" s="832"/>
      <c r="G1053" s="832"/>
      <c r="H1053" s="832"/>
      <c r="I1053" s="832"/>
      <c r="J1053" s="832"/>
      <c r="K1053" s="832"/>
      <c r="L1053" s="832"/>
      <c r="M1053" s="832"/>
      <c r="N1053" s="832"/>
      <c r="O1053" s="832"/>
      <c r="P1053" s="832"/>
      <c r="Q1053" s="832"/>
      <c r="R1053" s="832"/>
      <c r="S1053" s="832"/>
      <c r="T1053" s="832"/>
    </row>
    <row r="1054" spans="1:20" x14ac:dyDescent="0.2">
      <c r="A1054" s="990" t="s">
        <v>59</v>
      </c>
      <c r="B1054" s="832"/>
      <c r="C1054" s="832"/>
      <c r="D1054" s="832"/>
      <c r="E1054" s="832"/>
      <c r="F1054" s="832"/>
      <c r="G1054" s="832"/>
      <c r="H1054" s="832"/>
      <c r="I1054" s="832"/>
      <c r="J1054" s="832"/>
      <c r="K1054" s="832"/>
      <c r="L1054" s="832"/>
      <c r="M1054" s="832"/>
      <c r="N1054" s="832"/>
      <c r="O1054" s="832"/>
      <c r="P1054" s="832"/>
      <c r="Q1054" s="832"/>
      <c r="R1054" s="832"/>
      <c r="S1054" s="832"/>
      <c r="T1054" s="832"/>
    </row>
    <row r="1055" spans="1:20" x14ac:dyDescent="0.2">
      <c r="A1055" s="832"/>
      <c r="B1055" s="832"/>
      <c r="C1055" s="832"/>
      <c r="D1055" s="832"/>
      <c r="E1055" s="832"/>
      <c r="F1055" s="832"/>
      <c r="G1055" s="832"/>
      <c r="H1055" s="832"/>
      <c r="I1055" s="832"/>
      <c r="J1055" s="832"/>
      <c r="K1055" s="832"/>
      <c r="L1055" s="832"/>
      <c r="M1055" s="832"/>
      <c r="N1055" s="832"/>
      <c r="O1055" s="832"/>
      <c r="P1055" s="832"/>
      <c r="Q1055" s="832"/>
      <c r="R1055" s="832"/>
      <c r="S1055" s="832"/>
      <c r="T1055" s="832"/>
    </row>
    <row r="1056" spans="1:20" x14ac:dyDescent="0.2">
      <c r="A1056" s="832"/>
      <c r="B1056" s="990" t="s">
        <v>499</v>
      </c>
      <c r="C1056" s="832"/>
      <c r="D1056" s="832"/>
      <c r="E1056" s="832"/>
      <c r="F1056" s="832"/>
      <c r="G1056" s="832"/>
      <c r="H1056" s="832"/>
      <c r="I1056" s="832"/>
      <c r="J1056" s="832"/>
      <c r="K1056" s="832"/>
      <c r="L1056" s="832"/>
      <c r="M1056" s="832"/>
      <c r="N1056" s="832"/>
      <c r="O1056" s="832"/>
      <c r="P1056" s="832"/>
      <c r="Q1056" s="832"/>
      <c r="R1056" s="832"/>
      <c r="S1056" s="832"/>
      <c r="T1056" s="832"/>
    </row>
    <row r="1057" spans="1:20" x14ac:dyDescent="0.2">
      <c r="A1057" s="832"/>
      <c r="B1057" s="832"/>
      <c r="C1057" s="832"/>
      <c r="D1057" s="832"/>
      <c r="E1057" s="832"/>
      <c r="F1057" s="832"/>
      <c r="G1057" s="832"/>
      <c r="H1057" s="832"/>
      <c r="I1057" s="832"/>
      <c r="J1057" s="832"/>
      <c r="K1057" s="832"/>
      <c r="L1057" s="832"/>
      <c r="M1057" s="832"/>
      <c r="N1057" s="832"/>
      <c r="O1057" s="832"/>
      <c r="P1057" s="832"/>
      <c r="Q1057" s="832"/>
      <c r="R1057" s="832"/>
      <c r="S1057" s="832"/>
      <c r="T1057" s="832"/>
    </row>
    <row r="1058" spans="1:20" x14ac:dyDescent="0.2">
      <c r="A1058" s="832"/>
      <c r="B1058" s="990" t="s">
        <v>1926</v>
      </c>
      <c r="C1058" s="832"/>
      <c r="D1058" s="832"/>
      <c r="E1058" s="832"/>
      <c r="F1058" s="832"/>
      <c r="G1058" s="832"/>
      <c r="H1058" s="832"/>
      <c r="I1058" s="832"/>
      <c r="J1058" s="832"/>
      <c r="K1058" s="832"/>
      <c r="L1058" s="832"/>
      <c r="M1058" s="832"/>
      <c r="N1058" s="832"/>
      <c r="O1058" s="832"/>
      <c r="P1058" s="832"/>
      <c r="Q1058" s="832"/>
      <c r="R1058" s="832"/>
      <c r="S1058" s="832"/>
      <c r="T1058" s="832"/>
    </row>
    <row r="1059" spans="1:20" x14ac:dyDescent="0.2">
      <c r="A1059" s="832"/>
      <c r="B1059" s="990"/>
      <c r="C1059" s="832"/>
      <c r="D1059" s="832"/>
      <c r="E1059" s="832"/>
      <c r="F1059" s="832"/>
      <c r="G1059" s="832"/>
      <c r="H1059" s="832"/>
      <c r="I1059" s="832"/>
      <c r="J1059" s="832"/>
      <c r="K1059" s="832"/>
      <c r="L1059" s="832"/>
      <c r="M1059" s="832"/>
      <c r="N1059" s="832"/>
      <c r="O1059" s="832"/>
      <c r="P1059" s="832"/>
      <c r="Q1059" s="832"/>
      <c r="R1059" s="832"/>
      <c r="S1059" s="832"/>
      <c r="T1059" s="832"/>
    </row>
    <row r="1060" spans="1:20" x14ac:dyDescent="0.2">
      <c r="A1060" s="832"/>
      <c r="B1060" s="990" t="s">
        <v>1150</v>
      </c>
      <c r="C1060" s="832"/>
      <c r="D1060" s="832"/>
      <c r="E1060" s="832"/>
      <c r="F1060" s="832"/>
      <c r="G1060" s="832"/>
      <c r="H1060" s="832"/>
      <c r="I1060" s="832"/>
      <c r="J1060" s="832"/>
      <c r="K1060" s="832"/>
      <c r="L1060" s="832"/>
      <c r="M1060" s="832"/>
      <c r="N1060" s="832"/>
      <c r="O1060" s="832"/>
      <c r="P1060" s="832"/>
      <c r="Q1060" s="832"/>
      <c r="R1060" s="832"/>
      <c r="S1060" s="832"/>
      <c r="T1060" s="832"/>
    </row>
    <row r="1061" spans="1:20" x14ac:dyDescent="0.2">
      <c r="A1061" s="832"/>
      <c r="B1061" s="990" t="s">
        <v>500</v>
      </c>
      <c r="C1061" s="832"/>
      <c r="D1061" s="832"/>
      <c r="E1061" s="994">
        <f>MAX(G1048:G1049)</f>
        <v>7.89825</v>
      </c>
      <c r="F1061" s="990" t="s">
        <v>58</v>
      </c>
      <c r="G1061" s="832"/>
      <c r="H1061" s="832"/>
      <c r="I1061" s="832"/>
      <c r="J1061" s="832"/>
      <c r="K1061" s="832"/>
      <c r="L1061" s="832"/>
      <c r="M1061" s="832"/>
      <c r="N1061" s="832"/>
      <c r="O1061" s="832"/>
      <c r="P1061" s="832"/>
      <c r="Q1061" s="832"/>
      <c r="R1061" s="832"/>
      <c r="S1061" s="832"/>
      <c r="T1061" s="832"/>
    </row>
    <row r="1062" spans="1:20" x14ac:dyDescent="0.2">
      <c r="A1062" s="832"/>
      <c r="B1062" s="990" t="s">
        <v>1151</v>
      </c>
      <c r="C1062" s="832"/>
      <c r="D1062" s="832"/>
      <c r="E1062" s="999">
        <f>$F$128</f>
        <v>1252.9941383359403</v>
      </c>
      <c r="F1062" s="990" t="s">
        <v>35</v>
      </c>
      <c r="G1062" s="832"/>
      <c r="H1062" s="832"/>
      <c r="I1062" s="832"/>
      <c r="J1062" s="832"/>
      <c r="K1062" s="832"/>
      <c r="L1062" s="832"/>
      <c r="M1062" s="832"/>
      <c r="N1062" s="832"/>
      <c r="O1062" s="832"/>
      <c r="P1062" s="832"/>
      <c r="Q1062" s="832"/>
      <c r="R1062" s="832"/>
      <c r="S1062" s="832"/>
      <c r="T1062" s="832"/>
    </row>
    <row r="1063" spans="1:20" x14ac:dyDescent="0.2">
      <c r="A1063" s="832"/>
      <c r="B1063" s="990" t="s">
        <v>1567</v>
      </c>
      <c r="C1063" s="832"/>
      <c r="D1063" s="832"/>
      <c r="E1063" s="994">
        <v>0.3</v>
      </c>
      <c r="F1063" s="990" t="s">
        <v>24</v>
      </c>
      <c r="G1063" s="832"/>
      <c r="H1063" s="832"/>
      <c r="I1063" s="832"/>
      <c r="J1063" s="832"/>
      <c r="K1063" s="832"/>
      <c r="L1063" s="832"/>
      <c r="M1063" s="832"/>
      <c r="N1063" s="832"/>
      <c r="O1063" s="832"/>
      <c r="P1063" s="832"/>
      <c r="Q1063" s="832"/>
      <c r="R1063" s="832"/>
      <c r="S1063" s="832"/>
      <c r="T1063" s="832"/>
    </row>
    <row r="1064" spans="1:20" x14ac:dyDescent="0.2">
      <c r="A1064" s="832"/>
      <c r="B1064" s="990" t="s">
        <v>60</v>
      </c>
      <c r="C1064" s="832"/>
      <c r="D1064" s="832"/>
      <c r="E1064" s="997">
        <f>SQRT(E1061/E1062/E1063)*1000</f>
        <v>144.95402899344228</v>
      </c>
      <c r="F1064" s="990" t="s">
        <v>43</v>
      </c>
      <c r="G1064" s="832"/>
      <c r="H1064" s="832"/>
      <c r="I1064" s="832"/>
      <c r="J1064" s="832"/>
      <c r="K1064" s="832"/>
      <c r="L1064" s="832"/>
      <c r="M1064" s="832"/>
      <c r="N1064" s="832"/>
      <c r="O1064" s="832"/>
      <c r="P1064" s="832"/>
      <c r="Q1064" s="832"/>
      <c r="R1064" s="832"/>
      <c r="S1064" s="832"/>
      <c r="T1064" s="832"/>
    </row>
    <row r="1065" spans="1:20" x14ac:dyDescent="0.2">
      <c r="A1065" s="832"/>
      <c r="B1065" s="832"/>
      <c r="C1065" s="832"/>
      <c r="D1065" s="832"/>
      <c r="E1065" s="832"/>
      <c r="F1065" s="832"/>
      <c r="G1065" s="832"/>
      <c r="H1065" s="832"/>
      <c r="I1065" s="832"/>
      <c r="J1065" s="832"/>
      <c r="K1065" s="832"/>
      <c r="L1065" s="832"/>
      <c r="M1065" s="832"/>
      <c r="N1065" s="832"/>
      <c r="O1065" s="832"/>
      <c r="P1065" s="832"/>
      <c r="Q1065" s="832"/>
      <c r="R1065" s="832"/>
      <c r="S1065" s="832"/>
      <c r="T1065" s="832"/>
    </row>
    <row r="1066" spans="1:20" x14ac:dyDescent="0.2">
      <c r="A1066" s="832"/>
      <c r="B1066" s="990" t="s">
        <v>1153</v>
      </c>
      <c r="C1066" s="832"/>
      <c r="D1066" s="832"/>
      <c r="E1066" s="832"/>
      <c r="F1066" s="832"/>
      <c r="G1066" s="832"/>
      <c r="H1066" s="832"/>
      <c r="I1066" s="832"/>
      <c r="J1066" s="832"/>
      <c r="K1066" s="832"/>
      <c r="L1066" s="832"/>
      <c r="M1066" s="832"/>
      <c r="N1066" s="832"/>
      <c r="O1066" s="832"/>
      <c r="P1066" s="832"/>
      <c r="Q1066" s="832"/>
      <c r="R1066" s="832"/>
      <c r="S1066" s="832"/>
      <c r="T1066" s="832"/>
    </row>
    <row r="1067" spans="1:20" x14ac:dyDescent="0.2">
      <c r="A1067" s="832"/>
      <c r="B1067" s="990" t="s">
        <v>501</v>
      </c>
      <c r="C1067" s="832"/>
      <c r="D1067" s="832"/>
      <c r="E1067" s="994">
        <f>G1051</f>
        <v>12.137274999999999</v>
      </c>
      <c r="F1067" s="990" t="s">
        <v>57</v>
      </c>
      <c r="G1067" s="832"/>
      <c r="H1067" s="832"/>
      <c r="I1067" s="832"/>
      <c r="J1067" s="832"/>
      <c r="K1067" s="832"/>
      <c r="L1067" s="832"/>
      <c r="M1067" s="832"/>
      <c r="N1067" s="832"/>
      <c r="O1067" s="832"/>
      <c r="P1067" s="832"/>
      <c r="Q1067" s="832"/>
      <c r="R1067" s="832"/>
      <c r="S1067" s="832"/>
      <c r="T1067" s="832"/>
    </row>
    <row r="1068" spans="1:20" x14ac:dyDescent="0.2">
      <c r="A1068" s="832"/>
      <c r="B1068" s="990" t="s">
        <v>1154</v>
      </c>
      <c r="C1068" s="832"/>
      <c r="D1068" s="832"/>
      <c r="E1068" s="832"/>
      <c r="F1068" s="999">
        <f>$G$57</f>
        <v>428.65627255412932</v>
      </c>
      <c r="G1068" s="990" t="s">
        <v>35</v>
      </c>
      <c r="H1068" s="832"/>
      <c r="I1068" s="832"/>
      <c r="J1068" s="832"/>
      <c r="K1068" s="832"/>
      <c r="L1068" s="832"/>
      <c r="M1068" s="832"/>
      <c r="N1068" s="832"/>
      <c r="O1068" s="832"/>
      <c r="P1068" s="832"/>
      <c r="Q1068" s="832"/>
      <c r="R1068" s="832"/>
      <c r="S1068" s="832"/>
      <c r="T1068" s="832"/>
    </row>
    <row r="1069" spans="1:20" x14ac:dyDescent="0.2">
      <c r="A1069" s="832"/>
      <c r="B1069" s="990" t="s">
        <v>61</v>
      </c>
      <c r="C1069" s="832"/>
      <c r="D1069" s="832"/>
      <c r="E1069" s="997">
        <f>E1067/F1068/E1063*1000</f>
        <v>94.382342972070887</v>
      </c>
      <c r="F1069" s="990" t="s">
        <v>43</v>
      </c>
      <c r="G1069" s="832"/>
      <c r="H1069" s="832"/>
      <c r="I1069" s="832"/>
      <c r="J1069" s="832"/>
      <c r="K1069" s="832"/>
      <c r="L1069" s="832"/>
      <c r="M1069" s="832"/>
      <c r="N1069" s="832"/>
      <c r="O1069" s="832"/>
      <c r="P1069" s="832"/>
      <c r="Q1069" s="832"/>
      <c r="R1069" s="832"/>
      <c r="S1069" s="832"/>
      <c r="T1069" s="832"/>
    </row>
    <row r="1070" spans="1:20" x14ac:dyDescent="0.2">
      <c r="A1070" s="832"/>
      <c r="B1070" s="832"/>
      <c r="C1070" s="832"/>
      <c r="D1070" s="832"/>
      <c r="E1070" s="832"/>
      <c r="F1070" s="832"/>
      <c r="G1070" s="832"/>
      <c r="H1070" s="832"/>
      <c r="I1070" s="832"/>
      <c r="J1070" s="832"/>
      <c r="K1070" s="832"/>
      <c r="L1070" s="832"/>
      <c r="M1070" s="832"/>
      <c r="N1070" s="832"/>
      <c r="O1070" s="832"/>
      <c r="P1070" s="832"/>
      <c r="Q1070" s="832"/>
      <c r="R1070" s="832"/>
      <c r="S1070" s="832"/>
      <c r="T1070" s="832"/>
    </row>
    <row r="1071" spans="1:20" x14ac:dyDescent="0.2">
      <c r="A1071" s="832"/>
      <c r="B1071" s="990" t="s">
        <v>1927</v>
      </c>
      <c r="C1071" s="832"/>
      <c r="D1071" s="832"/>
      <c r="E1071" s="832"/>
      <c r="F1071" s="832"/>
      <c r="G1071" s="832"/>
      <c r="H1071" s="832"/>
      <c r="I1071" s="832"/>
      <c r="J1071" s="832"/>
      <c r="K1071" s="832"/>
      <c r="L1071" s="832"/>
      <c r="M1071" s="832"/>
      <c r="N1071" s="832"/>
      <c r="O1071" s="832"/>
      <c r="P1071" s="832"/>
      <c r="Q1071" s="832"/>
      <c r="R1071" s="832"/>
      <c r="S1071" s="832"/>
      <c r="T1071" s="832"/>
    </row>
    <row r="1072" spans="1:20" x14ac:dyDescent="0.2">
      <c r="A1072" s="832"/>
      <c r="B1072" s="832"/>
      <c r="C1072" s="832"/>
      <c r="D1072" s="832"/>
      <c r="E1072" s="832"/>
      <c r="F1072" s="832"/>
      <c r="G1072" s="832"/>
      <c r="H1072" s="832"/>
      <c r="I1072" s="832"/>
      <c r="J1072" s="832"/>
      <c r="K1072" s="832"/>
      <c r="L1072" s="832"/>
      <c r="M1072" s="832"/>
      <c r="N1072" s="832"/>
      <c r="O1072" s="832"/>
      <c r="P1072" s="832"/>
      <c r="Q1072" s="832"/>
      <c r="R1072" s="832"/>
      <c r="S1072" s="832"/>
      <c r="T1072" s="832"/>
    </row>
    <row r="1073" spans="1:20" x14ac:dyDescent="0.2">
      <c r="A1073" s="832"/>
      <c r="B1073" s="994" t="str">
        <f>IF(E1064&gt;=E1069,"dr(Moment)  &gt;  dr(Shear)","dr(Moment)  &lt;  dr(Shear)")</f>
        <v>dr(Moment)  &gt;  dr(Shear)</v>
      </c>
      <c r="C1073" s="832"/>
      <c r="D1073" s="832"/>
      <c r="E1073" s="990" t="s">
        <v>1156</v>
      </c>
      <c r="F1073" s="832"/>
      <c r="G1073" s="997">
        <f>IF(E1064&gt;=E1069,E1064,E1069)</f>
        <v>144.95402899344228</v>
      </c>
      <c r="H1073" s="990" t="s">
        <v>62</v>
      </c>
      <c r="I1073" s="832"/>
      <c r="J1073" s="832"/>
      <c r="K1073" s="832"/>
      <c r="L1073" s="832"/>
      <c r="M1073" s="832"/>
      <c r="N1073" s="832"/>
      <c r="O1073" s="832"/>
      <c r="P1073" s="832"/>
      <c r="Q1073" s="832"/>
      <c r="R1073" s="832"/>
      <c r="S1073" s="832"/>
      <c r="T1073" s="832"/>
    </row>
    <row r="1074" spans="1:20" x14ac:dyDescent="0.2">
      <c r="A1074" s="990" t="s">
        <v>986</v>
      </c>
      <c r="B1074" s="832"/>
      <c r="C1074" s="832"/>
      <c r="D1074" s="832"/>
      <c r="E1074" s="832"/>
      <c r="F1074" s="832"/>
      <c r="G1074" s="832"/>
      <c r="H1074" s="832"/>
      <c r="I1074" s="832"/>
      <c r="J1074" s="832"/>
      <c r="K1074" s="832"/>
      <c r="L1074" s="832"/>
      <c r="M1074" s="832"/>
      <c r="N1074" s="832"/>
      <c r="O1074" s="832"/>
      <c r="P1074" s="832"/>
      <c r="Q1074" s="832"/>
      <c r="R1074" s="832"/>
      <c r="S1074" s="832"/>
      <c r="T1074" s="832"/>
    </row>
    <row r="1075" spans="1:20" x14ac:dyDescent="0.2">
      <c r="A1075" s="832"/>
      <c r="B1075" s="990" t="s">
        <v>1501</v>
      </c>
      <c r="C1075" s="832"/>
      <c r="D1075" s="832"/>
      <c r="E1075" s="832"/>
      <c r="F1075" s="832"/>
      <c r="G1075" s="997">
        <f>$G$63</f>
        <v>30</v>
      </c>
      <c r="H1075" s="990" t="s">
        <v>43</v>
      </c>
      <c r="I1075" s="832"/>
      <c r="J1075" s="832"/>
      <c r="K1075" s="832"/>
      <c r="L1075" s="832"/>
      <c r="M1075" s="832"/>
      <c r="N1075" s="832"/>
      <c r="O1075" s="832"/>
      <c r="P1075" s="832"/>
      <c r="Q1075" s="832"/>
      <c r="R1075" s="832"/>
      <c r="S1075" s="832"/>
      <c r="T1075" s="832"/>
    </row>
    <row r="1076" spans="1:20" x14ac:dyDescent="0.2">
      <c r="A1076" s="832"/>
      <c r="B1076" s="990" t="s">
        <v>63</v>
      </c>
      <c r="C1076" s="832"/>
      <c r="D1076" s="997">
        <f>G1073</f>
        <v>144.95402899344228</v>
      </c>
      <c r="E1076" s="990" t="s">
        <v>1502</v>
      </c>
      <c r="F1076" s="997">
        <f>G1075</f>
        <v>30</v>
      </c>
      <c r="G1076" s="990" t="s">
        <v>1503</v>
      </c>
      <c r="H1076" s="997">
        <f>D1076+F1076</f>
        <v>174.95402899344228</v>
      </c>
      <c r="I1076" s="990" t="s">
        <v>43</v>
      </c>
      <c r="J1076" s="832"/>
      <c r="K1076" s="832"/>
      <c r="L1076" s="832"/>
      <c r="M1076" s="832"/>
      <c r="N1076" s="832"/>
      <c r="O1076" s="832"/>
      <c r="P1076" s="832"/>
      <c r="Q1076" s="832"/>
      <c r="R1076" s="832"/>
      <c r="S1076" s="832"/>
      <c r="T1076" s="832"/>
    </row>
    <row r="1077" spans="1:20" x14ac:dyDescent="0.2">
      <c r="A1077" s="832"/>
      <c r="B1077" s="832"/>
      <c r="C1077" s="832"/>
      <c r="D1077" s="832"/>
      <c r="E1077" s="832"/>
      <c r="F1077" s="832"/>
      <c r="G1077" s="832"/>
      <c r="H1077" s="832"/>
      <c r="I1077" s="832"/>
      <c r="J1077" s="832"/>
      <c r="K1077" s="832"/>
      <c r="L1077" s="832"/>
      <c r="M1077" s="832"/>
      <c r="N1077" s="832"/>
      <c r="O1077" s="832"/>
      <c r="P1077" s="832"/>
      <c r="Q1077" s="832"/>
      <c r="R1077" s="832"/>
      <c r="S1077" s="832"/>
      <c r="T1077" s="832"/>
    </row>
    <row r="1078" spans="1:20" x14ac:dyDescent="0.2">
      <c r="A1078" s="832"/>
      <c r="B1078" s="990" t="s">
        <v>574</v>
      </c>
      <c r="C1078" s="832"/>
      <c r="D1078" s="832"/>
      <c r="E1078" s="832"/>
      <c r="F1078" s="832"/>
      <c r="G1078" s="997">
        <f>E40</f>
        <v>350</v>
      </c>
      <c r="H1078" s="990" t="s">
        <v>43</v>
      </c>
      <c r="I1078" s="832"/>
      <c r="J1078" s="832"/>
      <c r="K1078" s="832"/>
      <c r="L1078" s="832"/>
      <c r="M1078" s="832"/>
      <c r="N1078" s="832"/>
      <c r="O1078" s="832"/>
      <c r="P1078" s="832"/>
      <c r="Q1078" s="832"/>
      <c r="R1078" s="832"/>
      <c r="S1078" s="832"/>
      <c r="T1078" s="832"/>
    </row>
    <row r="1079" spans="1:20" x14ac:dyDescent="0.2">
      <c r="A1079" s="832"/>
      <c r="B1079" s="1013" t="str">
        <f>IF(G1078&gt;=H1076,"ta  &gt;  tr     Design is OK.","ta  &lt;  tr     Design is Not OK.")</f>
        <v>ta  &gt;  tr     Design is OK.</v>
      </c>
      <c r="C1079" s="832"/>
      <c r="D1079" s="832"/>
      <c r="E1079" s="832"/>
      <c r="F1079" s="990" t="s">
        <v>64</v>
      </c>
      <c r="G1079" s="832"/>
      <c r="H1079" s="832"/>
      <c r="I1079" s="832"/>
      <c r="J1079" s="832"/>
      <c r="K1079" s="832"/>
      <c r="L1079" s="832"/>
      <c r="M1079" s="832"/>
      <c r="N1079" s="832"/>
      <c r="O1079" s="832"/>
      <c r="P1079" s="832"/>
      <c r="Q1079" s="832"/>
      <c r="R1079" s="832"/>
      <c r="S1079" s="832"/>
      <c r="T1079" s="832"/>
    </row>
    <row r="1080" spans="1:20" x14ac:dyDescent="0.2">
      <c r="A1080" s="832"/>
      <c r="B1080" s="994" t="str">
        <f>IF(G1078&gt;1.5*H1076,"WARNING:  Actual Member Thickness is considerably larger (&gt;50%) than required.","")</f>
        <v>WARNING:  Actual Member Thickness is considerably larger (&gt;50%) than required.</v>
      </c>
      <c r="C1080" s="832"/>
      <c r="D1080" s="832"/>
      <c r="E1080" s="832"/>
      <c r="F1080" s="832"/>
      <c r="G1080" s="832"/>
      <c r="H1080" s="832"/>
      <c r="I1080" s="832"/>
      <c r="J1080" s="832"/>
      <c r="K1080" s="832"/>
      <c r="L1080" s="832"/>
      <c r="M1080" s="832"/>
      <c r="N1080" s="832"/>
      <c r="O1080" s="832"/>
      <c r="P1080" s="832"/>
      <c r="Q1080" s="832"/>
      <c r="R1080" s="832"/>
      <c r="S1080" s="832"/>
      <c r="T1080" s="832"/>
    </row>
    <row r="1081" spans="1:20" x14ac:dyDescent="0.2">
      <c r="A1081" s="990" t="s">
        <v>950</v>
      </c>
      <c r="B1081" s="832"/>
      <c r="C1081" s="832"/>
      <c r="D1081" s="832"/>
      <c r="E1081" s="832"/>
      <c r="F1081" s="832"/>
      <c r="G1081" s="832"/>
      <c r="H1081" s="832"/>
      <c r="I1081" s="832"/>
      <c r="J1081" s="832"/>
      <c r="K1081" s="832"/>
      <c r="L1081" s="832"/>
      <c r="M1081" s="832"/>
      <c r="N1081" s="832"/>
      <c r="O1081" s="832"/>
      <c r="P1081" s="832"/>
      <c r="Q1081" s="832"/>
      <c r="R1081" s="832"/>
      <c r="S1081" s="832"/>
      <c r="T1081" s="832"/>
    </row>
    <row r="1082" spans="1:20" x14ac:dyDescent="0.2">
      <c r="A1082" s="990" t="s">
        <v>123</v>
      </c>
      <c r="B1082" s="832"/>
      <c r="C1082" s="832"/>
      <c r="D1082" s="832"/>
      <c r="E1082" s="832"/>
      <c r="F1082" s="832"/>
      <c r="G1082" s="832"/>
      <c r="H1082" s="832"/>
      <c r="I1082" s="832"/>
      <c r="J1082" s="832"/>
      <c r="K1082" s="832"/>
      <c r="L1082" s="832"/>
      <c r="M1082" s="832"/>
      <c r="N1082" s="832"/>
      <c r="O1082" s="832"/>
      <c r="P1082" s="832"/>
      <c r="Q1082" s="832"/>
      <c r="R1082" s="832"/>
      <c r="S1082" s="832"/>
      <c r="T1082" s="832"/>
    </row>
    <row r="1083" spans="1:20" x14ac:dyDescent="0.2">
      <c r="A1083" s="832"/>
      <c r="B1083" s="832"/>
      <c r="C1083" s="832"/>
      <c r="D1083" s="832"/>
      <c r="E1083" s="832"/>
      <c r="F1083" s="832"/>
      <c r="G1083" s="832"/>
      <c r="H1083" s="832"/>
      <c r="I1083" s="832"/>
      <c r="J1083" s="832"/>
      <c r="K1083" s="832"/>
      <c r="L1083" s="832"/>
      <c r="M1083" s="832"/>
      <c r="N1083" s="832"/>
      <c r="O1083" s="832"/>
      <c r="P1083" s="832"/>
      <c r="Q1083" s="832"/>
      <c r="R1083" s="832"/>
      <c r="S1083" s="832"/>
      <c r="T1083" s="832"/>
    </row>
    <row r="1084" spans="1:20" x14ac:dyDescent="0.2">
      <c r="A1084" s="832"/>
      <c r="B1084" s="990" t="s">
        <v>503</v>
      </c>
      <c r="C1084" s="832"/>
      <c r="D1084" s="832"/>
      <c r="E1084" s="832"/>
      <c r="F1084" s="832"/>
      <c r="G1084" s="832"/>
      <c r="H1084" s="832"/>
      <c r="I1084" s="832"/>
      <c r="J1084" s="832"/>
      <c r="K1084" s="832"/>
      <c r="L1084" s="832"/>
      <c r="M1084" s="832"/>
      <c r="N1084" s="832"/>
      <c r="O1084" s="832"/>
      <c r="P1084" s="832"/>
      <c r="Q1084" s="832"/>
      <c r="R1084" s="832"/>
      <c r="S1084" s="832"/>
      <c r="T1084" s="832"/>
    </row>
    <row r="1085" spans="1:20" x14ac:dyDescent="0.2">
      <c r="A1085" s="832"/>
      <c r="B1085" s="990" t="s">
        <v>504</v>
      </c>
      <c r="C1085" s="832"/>
      <c r="D1085" s="832"/>
      <c r="E1085" s="832"/>
      <c r="F1085" s="832"/>
      <c r="G1085" s="832"/>
      <c r="H1085" s="832"/>
      <c r="I1085" s="832"/>
      <c r="J1085" s="832"/>
      <c r="K1085" s="832"/>
      <c r="L1085" s="832"/>
      <c r="M1085" s="832"/>
      <c r="N1085" s="832"/>
      <c r="O1085" s="832"/>
      <c r="P1085" s="832"/>
      <c r="Q1085" s="832"/>
      <c r="R1085" s="832"/>
      <c r="S1085" s="832"/>
      <c r="T1085" s="832"/>
    </row>
    <row r="1086" spans="1:20" x14ac:dyDescent="0.2">
      <c r="A1086" s="832"/>
      <c r="B1086" s="990" t="s">
        <v>505</v>
      </c>
      <c r="C1086" s="832"/>
      <c r="D1086" s="832"/>
      <c r="E1086" s="832"/>
      <c r="F1086" s="832"/>
      <c r="G1086" s="832"/>
      <c r="H1086" s="832"/>
      <c r="I1086" s="832"/>
      <c r="J1086" s="832"/>
      <c r="K1086" s="832"/>
      <c r="L1086" s="990" t="s">
        <v>66</v>
      </c>
      <c r="M1086" s="832"/>
      <c r="N1086" s="997">
        <v>12</v>
      </c>
      <c r="O1086" s="997">
        <v>16</v>
      </c>
      <c r="P1086" s="997">
        <v>20</v>
      </c>
      <c r="Q1086" s="997">
        <v>22</v>
      </c>
      <c r="R1086" s="997">
        <v>25</v>
      </c>
      <c r="S1086" s="832"/>
      <c r="T1086" s="832"/>
    </row>
    <row r="1087" spans="1:20" x14ac:dyDescent="0.2">
      <c r="A1087" s="832"/>
      <c r="B1087" s="832"/>
      <c r="C1087" s="832"/>
      <c r="D1087" s="832"/>
      <c r="E1087" s="832"/>
      <c r="F1087" s="832"/>
      <c r="G1087" s="832"/>
      <c r="H1087" s="832"/>
      <c r="I1087" s="832"/>
      <c r="J1087" s="832"/>
      <c r="K1087" s="832"/>
      <c r="L1087" s="990" t="s">
        <v>67</v>
      </c>
      <c r="M1087" s="832"/>
      <c r="N1087" s="997">
        <f>IF(H1096=0,100000000,TRUNC(785.4*N1086^2/H1096/25)*25)</f>
        <v>525</v>
      </c>
      <c r="O1087" s="997">
        <f>IF(H1096=0,100000000,TRUNC(785.4*O1086^2/H1096/25)*25)</f>
        <v>950</v>
      </c>
      <c r="P1087" s="997">
        <f>IF(H1096=0,100000000,TRUNC(785.4*P1086^2/H1096/25)*25)</f>
        <v>1475</v>
      </c>
      <c r="Q1087" s="997">
        <f>IF(H1096=0,100000000,TRUNC(785.4*Q1086^2/H1096/25)*25)</f>
        <v>1800</v>
      </c>
      <c r="R1087" s="997">
        <f>IF(H1096=0,100000000,TRUNC(785.4*R1086^2/H1096/25)*25)</f>
        <v>2325</v>
      </c>
      <c r="S1087" s="832"/>
      <c r="T1087" s="832"/>
    </row>
    <row r="1088" spans="1:20" x14ac:dyDescent="0.2">
      <c r="A1088" s="832"/>
      <c r="B1088" s="990" t="s">
        <v>1158</v>
      </c>
      <c r="C1088" s="832"/>
      <c r="D1088" s="832"/>
      <c r="E1088" s="832"/>
      <c r="F1088" s="832"/>
      <c r="G1088" s="832"/>
      <c r="H1088" s="832"/>
      <c r="I1088" s="832"/>
      <c r="J1088" s="832"/>
      <c r="K1088" s="832"/>
      <c r="L1088" s="990" t="s">
        <v>68</v>
      </c>
      <c r="M1088" s="832"/>
      <c r="N1088" s="997">
        <f>785.4*N1086^2/N1087</f>
        <v>215.42399999999998</v>
      </c>
      <c r="O1088" s="997">
        <f>785.4*O1086^2/O1087</f>
        <v>211.64463157894735</v>
      </c>
      <c r="P1088" s="997">
        <f>785.4*P1086^2/P1087</f>
        <v>212.98983050847457</v>
      </c>
      <c r="Q1088" s="997">
        <f>785.4*Q1086^2/Q1087</f>
        <v>211.18533333333332</v>
      </c>
      <c r="R1088" s="997">
        <f>785.4*R1086^2/R1087</f>
        <v>211.12903225806451</v>
      </c>
      <c r="S1088" s="832"/>
      <c r="T1088" s="832"/>
    </row>
    <row r="1089" spans="1:20" x14ac:dyDescent="0.2">
      <c r="A1089" s="832"/>
      <c r="B1089" s="990" t="s">
        <v>1159</v>
      </c>
      <c r="C1089" s="832"/>
      <c r="D1089" s="832"/>
      <c r="E1089" s="832"/>
      <c r="F1089" s="832"/>
      <c r="G1089" s="832"/>
      <c r="H1089" s="832"/>
      <c r="I1089" s="832"/>
      <c r="J1089" s="832"/>
      <c r="K1089" s="832"/>
      <c r="L1089" s="990" t="s">
        <v>69</v>
      </c>
      <c r="M1089" s="832"/>
      <c r="N1089" s="997">
        <f>IF(OR(N1087&gt;300,N1087&lt;100),100000000,N1088-H1096)</f>
        <v>100000000</v>
      </c>
      <c r="O1089" s="997">
        <f>IF(OR(O1087&gt;300,O1087&lt;100),100000001,O1088-H1096)</f>
        <v>100000001</v>
      </c>
      <c r="P1089" s="997">
        <f>IF(OR(P1087&gt;300,P1087&lt;100),100000001,P1088-H1096)</f>
        <v>100000001</v>
      </c>
      <c r="Q1089" s="997">
        <f>IF(OR(Q1087&gt;300,Q1087&lt;100),100000001,Q1088-H1096)</f>
        <v>100000001</v>
      </c>
      <c r="R1089" s="997">
        <f>IF(OR(R1087&gt;300,R1087&lt;100),100000001,R1088-H1096)</f>
        <v>100000001</v>
      </c>
      <c r="S1089" s="832"/>
      <c r="T1089" s="832"/>
    </row>
    <row r="1090" spans="1:20" x14ac:dyDescent="0.2">
      <c r="A1090" s="832"/>
      <c r="B1090" s="832"/>
      <c r="C1090" s="832"/>
      <c r="D1090" s="832"/>
      <c r="E1090" s="832"/>
      <c r="F1090" s="832"/>
      <c r="G1090" s="832"/>
      <c r="H1090" s="832"/>
      <c r="I1090" s="832"/>
      <c r="J1090" s="832"/>
      <c r="K1090" s="832"/>
      <c r="L1090" s="990" t="s">
        <v>70</v>
      </c>
      <c r="M1090" s="832"/>
      <c r="N1090" s="997">
        <f>IF(R1087&lt;100,25,IF(MIN(N1089:R1089)=N1089,12,IF(MIN(N1089:R1089)=O1089,16,IF(MIN(N1089:R1089)=P1089,20,IF(MIN(N1089:R1089)=Q1089,22,IF(MIN(N1089:R1089)=R1089,25,0))))))</f>
        <v>12</v>
      </c>
      <c r="O1090" s="990" t="s">
        <v>71</v>
      </c>
      <c r="P1090" s="997">
        <f>IF(N1090=12,N1087,IF(N1090=16,O1087,IF(N1090=20,P1087,IF(N1090=22,Q1087,IF(N1090=25,R1087,0)))))</f>
        <v>525</v>
      </c>
      <c r="Q1090" s="990" t="s">
        <v>72</v>
      </c>
      <c r="R1090" s="832"/>
      <c r="S1090" s="832"/>
      <c r="T1090" s="832"/>
    </row>
    <row r="1091" spans="1:20" x14ac:dyDescent="0.2">
      <c r="A1091" s="832"/>
      <c r="B1091" s="990" t="s">
        <v>1231</v>
      </c>
      <c r="C1091" s="832"/>
      <c r="D1091" s="832"/>
      <c r="E1091" s="990" t="s">
        <v>1637</v>
      </c>
      <c r="F1091" s="832"/>
      <c r="G1091" s="832"/>
      <c r="H1091" s="994">
        <f>E47</f>
        <v>2.1</v>
      </c>
      <c r="I1091" s="832" t="s">
        <v>24</v>
      </c>
      <c r="J1091" s="832"/>
      <c r="K1091" s="990" t="s">
        <v>24</v>
      </c>
      <c r="L1091" s="832"/>
      <c r="M1091" s="832"/>
      <c r="N1091" s="832"/>
      <c r="O1091" s="832"/>
      <c r="P1091" s="832"/>
      <c r="Q1091" s="832"/>
      <c r="R1091" s="832"/>
      <c r="S1091" s="832"/>
      <c r="T1091" s="832"/>
    </row>
    <row r="1092" spans="1:20" x14ac:dyDescent="0.2">
      <c r="A1092" s="832"/>
      <c r="B1092" s="990" t="s">
        <v>1232</v>
      </c>
      <c r="C1092" s="832"/>
      <c r="D1092" s="832"/>
      <c r="E1092" s="990" t="s">
        <v>74</v>
      </c>
      <c r="F1092" s="832"/>
      <c r="G1092" s="832"/>
      <c r="H1092" s="997">
        <f>G1078</f>
        <v>350</v>
      </c>
      <c r="I1092" s="832" t="s">
        <v>43</v>
      </c>
      <c r="J1092" s="832"/>
      <c r="K1092" s="990" t="s">
        <v>43</v>
      </c>
      <c r="L1092" s="832"/>
      <c r="M1092" s="832"/>
      <c r="N1092" s="832"/>
      <c r="O1092" s="832"/>
      <c r="P1092" s="832"/>
      <c r="Q1092" s="832"/>
      <c r="R1092" s="832"/>
      <c r="S1092" s="832"/>
      <c r="T1092" s="832"/>
    </row>
    <row r="1093" spans="1:20" x14ac:dyDescent="0.2">
      <c r="A1093" s="832"/>
      <c r="B1093" s="990" t="s">
        <v>75</v>
      </c>
      <c r="C1093" s="1015">
        <f>$C$247</f>
        <v>2E-3</v>
      </c>
      <c r="D1093" s="1014"/>
      <c r="E1093" s="990" t="s">
        <v>1928</v>
      </c>
      <c r="F1093" s="832"/>
      <c r="G1093" s="832"/>
      <c r="H1093" s="874">
        <v>300</v>
      </c>
      <c r="I1093" s="832" t="s">
        <v>43</v>
      </c>
      <c r="J1093" s="832"/>
      <c r="K1093" s="832"/>
      <c r="L1093" s="832"/>
      <c r="M1093" s="832"/>
      <c r="N1093" s="832"/>
      <c r="O1093" s="832"/>
      <c r="P1093" s="832"/>
      <c r="Q1093" s="832"/>
      <c r="R1093" s="832"/>
      <c r="S1093" s="832"/>
      <c r="T1093" s="832"/>
    </row>
    <row r="1094" spans="1:20" x14ac:dyDescent="0.2">
      <c r="A1094" s="832"/>
      <c r="B1094" s="990" t="s">
        <v>76</v>
      </c>
      <c r="C1094" s="1015">
        <f>$C$248</f>
        <v>2.5000000000000001E-3</v>
      </c>
      <c r="D1094" s="1014"/>
      <c r="E1094" s="832"/>
      <c r="F1094" s="832"/>
      <c r="G1094" s="832"/>
      <c r="H1094" s="832"/>
      <c r="I1094" s="832"/>
      <c r="J1094" s="832"/>
      <c r="K1094" s="832"/>
      <c r="L1094" s="832"/>
      <c r="M1094" s="832"/>
      <c r="N1094" s="832"/>
      <c r="O1094" s="832"/>
      <c r="P1094" s="832"/>
      <c r="Q1094" s="832"/>
      <c r="R1094" s="832"/>
      <c r="S1094" s="832"/>
      <c r="T1094" s="832"/>
    </row>
    <row r="1095" spans="1:20" x14ac:dyDescent="0.2">
      <c r="A1095" s="832"/>
      <c r="B1095" s="832"/>
      <c r="C1095" s="832"/>
      <c r="D1095" s="832"/>
      <c r="E1095" s="832"/>
      <c r="F1095" s="832"/>
      <c r="G1095" s="832"/>
      <c r="H1095" s="832"/>
      <c r="I1095" s="832"/>
      <c r="J1095" s="832"/>
      <c r="K1095" s="832"/>
      <c r="L1095" s="832"/>
      <c r="M1095" s="832"/>
      <c r="N1095" s="832"/>
      <c r="O1095" s="832"/>
      <c r="P1095" s="832"/>
      <c r="Q1095" s="832"/>
      <c r="R1095" s="832"/>
      <c r="S1095" s="832"/>
      <c r="T1095" s="832"/>
    </row>
    <row r="1096" spans="1:20" x14ac:dyDescent="0.2">
      <c r="A1096" s="832"/>
      <c r="B1096" s="990" t="s">
        <v>1829</v>
      </c>
      <c r="C1096" s="832"/>
      <c r="D1096" s="1015"/>
      <c r="E1096" s="990"/>
      <c r="F1096" s="997"/>
      <c r="G1096" s="990"/>
      <c r="H1096" s="874">
        <f>IF(H1091&lt;=9,C1093,C1094)*IF(H1092&lt;380,H1092,380)*H1093</f>
        <v>210.00000000000003</v>
      </c>
      <c r="I1096" s="997" t="s">
        <v>1176</v>
      </c>
      <c r="J1096" s="832"/>
      <c r="K1096" s="990" t="s">
        <v>78</v>
      </c>
      <c r="L1096" s="832"/>
      <c r="M1096" s="832"/>
      <c r="N1096" s="997"/>
      <c r="O1096" s="997"/>
      <c r="P1096" s="997"/>
      <c r="Q1096" s="997"/>
      <c r="R1096" s="997"/>
      <c r="S1096" s="832"/>
      <c r="T1096" s="832"/>
    </row>
    <row r="1097" spans="1:20" x14ac:dyDescent="0.2">
      <c r="A1097" s="832"/>
      <c r="B1097" s="990" t="s">
        <v>79</v>
      </c>
      <c r="C1097" s="997">
        <v>16</v>
      </c>
      <c r="D1097" s="990" t="s">
        <v>71</v>
      </c>
      <c r="E1097" s="997">
        <v>200</v>
      </c>
      <c r="F1097" s="990" t="s">
        <v>80</v>
      </c>
      <c r="G1097" s="832"/>
      <c r="H1097" s="997">
        <f>785.4*C1097^2/E1097</f>
        <v>1005.312</v>
      </c>
      <c r="I1097" s="990" t="s">
        <v>81</v>
      </c>
      <c r="J1097" s="832"/>
      <c r="K1097" s="832"/>
      <c r="L1097" s="832"/>
      <c r="M1097" s="832"/>
      <c r="N1097" s="997"/>
      <c r="O1097" s="997"/>
      <c r="P1097" s="997"/>
      <c r="Q1097" s="997"/>
      <c r="R1097" s="997"/>
      <c r="S1097" s="832"/>
      <c r="T1097" s="832"/>
    </row>
    <row r="1098" spans="1:20" x14ac:dyDescent="0.2">
      <c r="A1098" s="832"/>
      <c r="B1098" s="832"/>
      <c r="C1098" s="832"/>
      <c r="D1098" s="832"/>
      <c r="E1098" s="832"/>
      <c r="F1098" s="832"/>
      <c r="G1098" s="832"/>
      <c r="H1098" s="832"/>
      <c r="I1098" s="832"/>
      <c r="J1098" s="832"/>
      <c r="K1098" s="832"/>
      <c r="L1098" s="832"/>
      <c r="M1098" s="832"/>
      <c r="N1098" s="997"/>
      <c r="O1098" s="997"/>
      <c r="P1098" s="997"/>
      <c r="Q1098" s="997"/>
      <c r="R1098" s="997"/>
      <c r="S1098" s="832"/>
      <c r="T1098" s="832"/>
    </row>
    <row r="1099" spans="1:20" x14ac:dyDescent="0.2">
      <c r="A1099" s="990" t="s">
        <v>950</v>
      </c>
      <c r="B1099" s="832"/>
      <c r="C1099" s="832"/>
      <c r="D1099" s="832"/>
      <c r="E1099" s="832"/>
      <c r="F1099" s="832"/>
      <c r="G1099" s="832"/>
      <c r="H1099" s="832"/>
      <c r="I1099" s="832"/>
      <c r="J1099" s="832"/>
      <c r="K1099" s="832"/>
      <c r="L1099" s="832"/>
      <c r="M1099" s="832"/>
      <c r="N1099" s="832"/>
      <c r="O1099" s="832"/>
      <c r="P1099" s="832"/>
      <c r="Q1099" s="832"/>
      <c r="R1099" s="832"/>
      <c r="S1099" s="832"/>
      <c r="T1099" s="832"/>
    </row>
    <row r="1100" spans="1:20" x14ac:dyDescent="0.2">
      <c r="A1100" s="990" t="s">
        <v>125</v>
      </c>
      <c r="B1100" s="832"/>
      <c r="C1100" s="832"/>
      <c r="D1100" s="832"/>
      <c r="E1100" s="832"/>
      <c r="F1100" s="832"/>
      <c r="G1100" s="832"/>
      <c r="H1100" s="832"/>
      <c r="I1100" s="832"/>
      <c r="J1100" s="832"/>
      <c r="K1100" s="832"/>
      <c r="L1100" s="832"/>
      <c r="M1100" s="832"/>
      <c r="N1100" s="832"/>
      <c r="O1100" s="832"/>
      <c r="P1100" s="832"/>
      <c r="Q1100" s="832"/>
      <c r="R1100" s="832"/>
      <c r="S1100" s="832"/>
      <c r="T1100" s="832"/>
    </row>
    <row r="1101" spans="1:20" x14ac:dyDescent="0.2">
      <c r="A1101" s="832"/>
      <c r="B1101" s="832"/>
      <c r="C1101" s="832"/>
      <c r="D1101" s="832"/>
      <c r="E1101" s="832"/>
      <c r="F1101" s="990"/>
      <c r="G1101" s="832"/>
      <c r="H1101" s="832"/>
      <c r="I1101" s="832"/>
      <c r="J1101" s="832"/>
      <c r="K1101" s="832"/>
      <c r="L1101" s="832"/>
      <c r="M1101" s="832"/>
      <c r="N1101" s="832"/>
      <c r="O1101" s="832"/>
      <c r="P1101" s="832"/>
      <c r="Q1101" s="832"/>
      <c r="R1101" s="832"/>
      <c r="S1101" s="832"/>
      <c r="T1101" s="832"/>
    </row>
    <row r="1102" spans="1:20" x14ac:dyDescent="0.2">
      <c r="A1102" s="832"/>
      <c r="B1102" s="990" t="s">
        <v>1921</v>
      </c>
      <c r="C1102" s="832"/>
      <c r="D1102" s="832"/>
      <c r="E1102" s="832"/>
      <c r="F1102" s="832"/>
      <c r="G1102" s="832"/>
      <c r="H1102" s="832"/>
      <c r="I1102" s="832"/>
      <c r="J1102" s="832"/>
      <c r="K1102" s="832"/>
      <c r="L1102" s="832"/>
      <c r="M1102" s="832"/>
      <c r="N1102" s="832"/>
      <c r="O1102" s="832"/>
      <c r="P1102" s="832"/>
      <c r="Q1102" s="832"/>
      <c r="R1102" s="832"/>
      <c r="S1102" s="832"/>
      <c r="T1102" s="832"/>
    </row>
    <row r="1103" spans="1:20" x14ac:dyDescent="0.2">
      <c r="A1103" s="832"/>
      <c r="B1103" s="832"/>
      <c r="C1103" s="832"/>
      <c r="D1103" s="832"/>
      <c r="E1103" s="832"/>
      <c r="F1103" s="990"/>
      <c r="G1103" s="832"/>
      <c r="H1103" s="832"/>
      <c r="I1103" s="832"/>
      <c r="J1103" s="832"/>
      <c r="K1103" s="832"/>
      <c r="L1103" s="832"/>
      <c r="M1103" s="832"/>
      <c r="N1103" s="832"/>
      <c r="O1103" s="832"/>
      <c r="P1103" s="832"/>
      <c r="Q1103" s="832"/>
      <c r="R1103" s="832"/>
      <c r="S1103" s="832"/>
      <c r="T1103" s="832"/>
    </row>
    <row r="1104" spans="1:20" x14ac:dyDescent="0.2">
      <c r="A1104" s="832"/>
      <c r="B1104" s="990" t="s">
        <v>86</v>
      </c>
      <c r="C1104" s="832"/>
      <c r="D1104" s="832"/>
      <c r="E1104" s="994">
        <f>G1049</f>
        <v>4.0984687500000003</v>
      </c>
      <c r="F1104" s="990" t="s">
        <v>58</v>
      </c>
      <c r="G1104" s="832"/>
      <c r="H1104" s="832"/>
      <c r="I1104" s="832"/>
      <c r="J1104" s="832"/>
      <c r="K1104" s="832"/>
      <c r="L1104" s="832"/>
      <c r="M1104" s="832"/>
      <c r="N1104" s="832"/>
      <c r="O1104" s="832"/>
      <c r="P1104" s="832"/>
      <c r="Q1104" s="832"/>
      <c r="R1104" s="832"/>
      <c r="S1104" s="832"/>
      <c r="T1104" s="832"/>
    </row>
    <row r="1105" spans="1:20" x14ac:dyDescent="0.2">
      <c r="A1105" s="832"/>
      <c r="B1105" s="990" t="s">
        <v>1505</v>
      </c>
      <c r="C1105" s="832"/>
      <c r="D1105" s="832"/>
      <c r="E1105" s="832"/>
      <c r="F1105" s="999">
        <f>$G$54</f>
        <v>186300</v>
      </c>
      <c r="G1105" s="990" t="s">
        <v>35</v>
      </c>
      <c r="H1105" s="832"/>
      <c r="I1105" s="832"/>
      <c r="J1105" s="832"/>
      <c r="K1105" s="832"/>
      <c r="L1105" s="832"/>
      <c r="M1105" s="832"/>
      <c r="N1105" s="832"/>
      <c r="O1105" s="832"/>
      <c r="P1105" s="832"/>
      <c r="Q1105" s="832"/>
      <c r="R1105" s="832"/>
      <c r="S1105" s="832"/>
      <c r="T1105" s="832"/>
    </row>
    <row r="1106" spans="1:20" x14ac:dyDescent="0.2">
      <c r="A1106" s="832"/>
      <c r="B1106" s="990" t="s">
        <v>1506</v>
      </c>
      <c r="C1106" s="832"/>
      <c r="D1106" s="832"/>
      <c r="E1106" s="998">
        <f>$F$127</f>
        <v>0.89379715799027371</v>
      </c>
      <c r="F1106" s="832"/>
      <c r="G1106" s="832"/>
      <c r="H1106" s="832"/>
      <c r="I1106" s="832"/>
      <c r="J1106" s="832"/>
      <c r="K1106" s="832"/>
      <c r="L1106" s="832"/>
      <c r="M1106" s="832"/>
      <c r="N1106" s="832"/>
      <c r="O1106" s="832"/>
      <c r="P1106" s="832"/>
      <c r="Q1106" s="832"/>
      <c r="R1106" s="832"/>
      <c r="S1106" s="832"/>
      <c r="T1106" s="832"/>
    </row>
    <row r="1107" spans="1:20" x14ac:dyDescent="0.2">
      <c r="A1107" s="832"/>
      <c r="B1107" s="832"/>
      <c r="C1107" s="832"/>
      <c r="D1107" s="832"/>
      <c r="E1107" s="832"/>
      <c r="F1107" s="832"/>
      <c r="G1107" s="832"/>
      <c r="H1107" s="832"/>
      <c r="I1107" s="832"/>
      <c r="J1107" s="832"/>
      <c r="K1107" s="832"/>
      <c r="L1107" s="832"/>
      <c r="M1107" s="832"/>
      <c r="N1107" s="832"/>
      <c r="O1107" s="832"/>
      <c r="P1107" s="832"/>
      <c r="Q1107" s="832"/>
      <c r="R1107" s="832"/>
      <c r="S1107" s="832"/>
      <c r="T1107" s="832"/>
    </row>
    <row r="1108" spans="1:20" x14ac:dyDescent="0.2">
      <c r="A1108" s="832"/>
      <c r="B1108" s="990" t="s">
        <v>1507</v>
      </c>
      <c r="C1108" s="832"/>
      <c r="D1108" s="832"/>
      <c r="E1108" s="832"/>
      <c r="F1108" s="832"/>
      <c r="G1108" s="832"/>
      <c r="H1108" s="832"/>
      <c r="I1108" s="832"/>
      <c r="J1108" s="832"/>
      <c r="K1108" s="832"/>
      <c r="L1108" s="832"/>
      <c r="M1108" s="832"/>
      <c r="N1108" s="832"/>
      <c r="O1108" s="832"/>
      <c r="P1108" s="832"/>
      <c r="Q1108" s="832"/>
      <c r="R1108" s="832"/>
      <c r="S1108" s="832"/>
      <c r="T1108" s="832"/>
    </row>
    <row r="1109" spans="1:20" x14ac:dyDescent="0.2">
      <c r="A1109" s="832"/>
      <c r="B1109" s="990" t="s">
        <v>1508</v>
      </c>
      <c r="C1109" s="832"/>
      <c r="D1109" s="832"/>
      <c r="E1109" s="832"/>
      <c r="F1109" s="832"/>
      <c r="G1109" s="832"/>
      <c r="H1109" s="832"/>
      <c r="I1109" s="832"/>
      <c r="J1109" s="832"/>
      <c r="K1109" s="832"/>
      <c r="L1109" s="832"/>
      <c r="M1109" s="832"/>
      <c r="N1109" s="832"/>
      <c r="O1109" s="832"/>
      <c r="P1109" s="832"/>
      <c r="Q1109" s="832"/>
      <c r="R1109" s="832"/>
      <c r="S1109" s="832"/>
      <c r="T1109" s="832"/>
    </row>
    <row r="1110" spans="1:20" x14ac:dyDescent="0.2">
      <c r="A1110" s="832"/>
      <c r="B1110" s="990" t="s">
        <v>1509</v>
      </c>
      <c r="C1110" s="832"/>
      <c r="D1110" s="997">
        <f>G1078</f>
        <v>350</v>
      </c>
      <c r="E1110" s="990" t="s">
        <v>1510</v>
      </c>
      <c r="F1110" s="997">
        <f>$G$63</f>
        <v>30</v>
      </c>
      <c r="G1110" s="990" t="s">
        <v>1485</v>
      </c>
      <c r="H1110" s="997">
        <f>D1110-F1110</f>
        <v>320</v>
      </c>
      <c r="I1110" s="990" t="s">
        <v>43</v>
      </c>
      <c r="J1110" s="832"/>
      <c r="K1110" s="832"/>
      <c r="L1110" s="832"/>
      <c r="M1110" s="832"/>
      <c r="N1110" s="832"/>
      <c r="O1110" s="832"/>
      <c r="P1110" s="832"/>
      <c r="Q1110" s="832"/>
      <c r="R1110" s="832"/>
      <c r="S1110" s="832"/>
      <c r="T1110" s="832"/>
    </row>
    <row r="1111" spans="1:20" x14ac:dyDescent="0.2">
      <c r="A1111" s="832"/>
      <c r="B1111" s="832"/>
      <c r="C1111" s="832"/>
      <c r="D1111" s="832"/>
      <c r="E1111" s="832"/>
      <c r="F1111" s="832"/>
      <c r="G1111" s="832"/>
      <c r="H1111" s="832"/>
      <c r="I1111" s="832"/>
      <c r="J1111" s="832"/>
      <c r="K1111" s="832"/>
      <c r="L1111" s="832"/>
      <c r="M1111" s="832"/>
      <c r="N1111" s="832"/>
      <c r="O1111" s="832"/>
      <c r="P1111" s="832"/>
      <c r="Q1111" s="832"/>
      <c r="R1111" s="832"/>
      <c r="S1111" s="832"/>
      <c r="T1111" s="832"/>
    </row>
    <row r="1112" spans="1:20" x14ac:dyDescent="0.2">
      <c r="A1112" s="832"/>
      <c r="B1112" s="990" t="s">
        <v>1168</v>
      </c>
      <c r="C1112" s="832"/>
      <c r="D1112" s="832"/>
      <c r="E1112" s="832"/>
      <c r="F1112" s="832"/>
      <c r="G1112" s="832"/>
      <c r="H1112" s="997">
        <f>(E1104*1000000000)/(F1105*E1106*H1110)</f>
        <v>76.9165551660559</v>
      </c>
      <c r="I1112" s="990" t="s">
        <v>78</v>
      </c>
      <c r="J1112" s="832"/>
      <c r="K1112" s="832"/>
      <c r="L1112" s="832"/>
      <c r="M1112" s="832"/>
      <c r="N1112" s="832"/>
      <c r="O1112" s="832"/>
      <c r="P1112" s="832"/>
      <c r="Q1112" s="832"/>
      <c r="R1112" s="832"/>
      <c r="S1112" s="832"/>
      <c r="T1112" s="832"/>
    </row>
    <row r="1113" spans="1:20" x14ac:dyDescent="0.2">
      <c r="A1113" s="832"/>
      <c r="B1113" s="832"/>
      <c r="C1113" s="832"/>
      <c r="D1113" s="832"/>
      <c r="E1113" s="832"/>
      <c r="F1113" s="832"/>
      <c r="G1113" s="832"/>
      <c r="H1113" s="832"/>
      <c r="I1113" s="832"/>
      <c r="J1113" s="832"/>
      <c r="K1113" s="832"/>
      <c r="L1113" s="832"/>
      <c r="M1113" s="832"/>
      <c r="N1113" s="832"/>
      <c r="O1113" s="832"/>
      <c r="P1113" s="832"/>
      <c r="Q1113" s="832"/>
      <c r="R1113" s="832"/>
      <c r="S1113" s="832"/>
      <c r="T1113" s="832"/>
    </row>
    <row r="1114" spans="1:20" x14ac:dyDescent="0.2">
      <c r="A1114" s="990" t="s">
        <v>986</v>
      </c>
      <c r="B1114" s="832"/>
      <c r="C1114" s="832"/>
      <c r="D1114" s="832"/>
      <c r="E1114" s="832"/>
      <c r="F1114" s="832"/>
      <c r="G1114" s="832"/>
      <c r="H1114" s="832"/>
      <c r="I1114" s="832"/>
      <c r="J1114" s="832"/>
      <c r="K1114" s="832"/>
      <c r="L1114" s="832"/>
      <c r="M1114" s="832"/>
      <c r="N1114" s="832"/>
      <c r="O1114" s="832"/>
      <c r="P1114" s="832"/>
      <c r="Q1114" s="832"/>
      <c r="R1114" s="832"/>
      <c r="S1114" s="832"/>
      <c r="T1114" s="832"/>
    </row>
    <row r="1115" spans="1:20" x14ac:dyDescent="0.2">
      <c r="A1115" s="832"/>
      <c r="B1115" s="990" t="s">
        <v>87</v>
      </c>
      <c r="C1115" s="832"/>
      <c r="D1115" s="832"/>
      <c r="E1115" s="832"/>
      <c r="F1115" s="832"/>
      <c r="G1115" s="832"/>
      <c r="H1115" s="832"/>
      <c r="I1115" s="832"/>
      <c r="J1115" s="832"/>
      <c r="K1115" s="832"/>
      <c r="L1115" s="990" t="s">
        <v>1639</v>
      </c>
      <c r="M1115" s="832"/>
      <c r="N1115" s="997"/>
      <c r="O1115" s="997">
        <v>300</v>
      </c>
      <c r="P1115" s="990" t="s">
        <v>43</v>
      </c>
      <c r="Q1115" s="997"/>
      <c r="R1115" s="997"/>
      <c r="S1115" s="832"/>
      <c r="T1115" s="832"/>
    </row>
    <row r="1116" spans="1:20" x14ac:dyDescent="0.2">
      <c r="A1116" s="832"/>
      <c r="B1116" s="832"/>
      <c r="C1116" s="832"/>
      <c r="D1116" s="832"/>
      <c r="E1116" s="832"/>
      <c r="F1116" s="832"/>
      <c r="G1116" s="832"/>
      <c r="H1116" s="832"/>
      <c r="I1116" s="832"/>
      <c r="J1116" s="832"/>
      <c r="K1116" s="832"/>
      <c r="L1116" s="832"/>
      <c r="M1116" s="832"/>
      <c r="N1116" s="997"/>
      <c r="O1116" s="997"/>
      <c r="P1116" s="997"/>
      <c r="Q1116" s="997"/>
      <c r="R1116" s="997"/>
      <c r="S1116" s="832"/>
      <c r="T1116" s="832"/>
    </row>
    <row r="1117" spans="1:20" x14ac:dyDescent="0.2">
      <c r="A1117" s="832"/>
      <c r="B1117" s="990" t="s">
        <v>1640</v>
      </c>
      <c r="C1117" s="832"/>
      <c r="D1117" s="832"/>
      <c r="E1117" s="832"/>
      <c r="F1117" s="832"/>
      <c r="G1117" s="994">
        <f>D65</f>
        <v>2.9</v>
      </c>
      <c r="H1117" s="994" t="str">
        <f>IF(G1117&lt;=9,"m  &lt;  9 m","m  &gt;  9 m")</f>
        <v>m  &lt;  9 m</v>
      </c>
      <c r="I1117" s="832"/>
      <c r="J1117" s="832"/>
      <c r="K1117" s="832"/>
      <c r="L1117" s="990" t="s">
        <v>66</v>
      </c>
      <c r="M1117" s="832"/>
      <c r="N1117" s="997">
        <v>12</v>
      </c>
      <c r="O1117" s="997">
        <v>16</v>
      </c>
      <c r="P1117" s="997">
        <v>20</v>
      </c>
      <c r="Q1117" s="997">
        <v>22</v>
      </c>
      <c r="R1117" s="997">
        <v>25</v>
      </c>
      <c r="S1117" s="832"/>
      <c r="T1117" s="832"/>
    </row>
    <row r="1118" spans="1:20" x14ac:dyDescent="0.2">
      <c r="A1118" s="832"/>
      <c r="B1118" s="990" t="s">
        <v>1170</v>
      </c>
      <c r="C1118" s="832"/>
      <c r="D1118" s="832"/>
      <c r="E1118" s="832"/>
      <c r="F1118" s="997">
        <f>G1078</f>
        <v>350</v>
      </c>
      <c r="G1118" s="994" t="str">
        <f>IF(F1118&lt;=380,"mm  &lt;  380 mm","mm  &gt;  380 mm")</f>
        <v>mm  &lt;  380 mm</v>
      </c>
      <c r="H1118" s="832"/>
      <c r="I1118" s="832"/>
      <c r="J1118" s="832"/>
      <c r="K1118" s="832"/>
      <c r="L1118" s="990" t="s">
        <v>1578</v>
      </c>
      <c r="M1118" s="832"/>
      <c r="N1118" s="997">
        <f>IF($H$1123&lt;=0,0,IF(4*$H$1123/PI()/N1117^2&lt;2,2,TRUNC(4*$H$1123/PI()/N1117^2)+1))</f>
        <v>2</v>
      </c>
      <c r="O1118" s="997">
        <f>IF($H$1123&lt;=0,0,IF(4*$H$1123/PI()/O1117^2&lt;2,2,TRUNC(4*$H$1123/PI()/O1117^2)+1))</f>
        <v>2</v>
      </c>
      <c r="P1118" s="997">
        <f>IF($H$1123&lt;=0,0,IF(4*$H$1123/PI()/P1117^2&lt;2,2,TRUNC(4*$H$1123/PI()/P1117^2)+1))</f>
        <v>2</v>
      </c>
      <c r="Q1118" s="997">
        <f>IF($H$1123&lt;=0,0,IF(4*$H$1123/PI()/Q1117^2&lt;2,2,TRUNC(4*$H$1123/PI()/Q1117^2)+1))</f>
        <v>2</v>
      </c>
      <c r="R1118" s="997">
        <f>IF($H$1123&lt;=0,0,IF(4*$H$1123/PI()/R1117^2&lt;2,2,TRUNC(4*$H$1123/PI()/R1117^2)+1))</f>
        <v>2</v>
      </c>
      <c r="S1118" s="832"/>
      <c r="T1118" s="832"/>
    </row>
    <row r="1119" spans="1:20" x14ac:dyDescent="0.2">
      <c r="A1119" s="832"/>
      <c r="B1119" s="990" t="s">
        <v>1641</v>
      </c>
      <c r="C1119" s="832"/>
      <c r="D1119" s="832"/>
      <c r="E1119" s="832"/>
      <c r="F1119" s="832"/>
      <c r="G1119" s="832"/>
      <c r="H1119" s="832"/>
      <c r="I1119" s="832"/>
      <c r="J1119" s="832"/>
      <c r="K1119" s="832"/>
      <c r="L1119" s="990" t="s">
        <v>1579</v>
      </c>
      <c r="M1119" s="832"/>
      <c r="N1119" s="997">
        <f>N1118*N1117+(N1118+1)*25</f>
        <v>99</v>
      </c>
      <c r="O1119" s="997">
        <f>O1118*O1117+(O1118+1)*25</f>
        <v>107</v>
      </c>
      <c r="P1119" s="997">
        <f>P1118*P1117+(P1118+1)*25</f>
        <v>115</v>
      </c>
      <c r="Q1119" s="997">
        <f>Q1118*Q1117+(Q1118+1)*25</f>
        <v>119</v>
      </c>
      <c r="R1119" s="997">
        <f>R1118*R1117+(R1118+1)*25</f>
        <v>125</v>
      </c>
      <c r="S1119" s="832"/>
      <c r="T1119" s="832"/>
    </row>
    <row r="1120" spans="1:20" x14ac:dyDescent="0.2">
      <c r="A1120" s="832"/>
      <c r="B1120" s="990" t="s">
        <v>1174</v>
      </c>
      <c r="C1120" s="832"/>
      <c r="D1120" s="832"/>
      <c r="E1120" s="1015">
        <f>IF(G1117&lt;=9,$C$247,$C$248)</f>
        <v>2E-3</v>
      </c>
      <c r="F1120" s="832"/>
      <c r="G1120" s="832"/>
      <c r="H1120" s="832"/>
      <c r="I1120" s="832"/>
      <c r="J1120" s="832"/>
      <c r="K1120" s="832"/>
      <c r="L1120" s="990" t="s">
        <v>68</v>
      </c>
      <c r="M1120" s="832"/>
      <c r="N1120" s="997">
        <f>N1118*PI()*N1117^2/4</f>
        <v>226.1946710584651</v>
      </c>
      <c r="O1120" s="997">
        <f>O1118*PI()*O1117^2/4</f>
        <v>402.12385965949352</v>
      </c>
      <c r="P1120" s="997">
        <f>P1118*PI()*P1117^2/4</f>
        <v>628.31853071795865</v>
      </c>
      <c r="Q1120" s="997">
        <f>Q1118*PI()*Q1117^2/4</f>
        <v>760.26542216872997</v>
      </c>
      <c r="R1120" s="997">
        <f>R1118*PI()*R1117^2/4</f>
        <v>981.74770424681037</v>
      </c>
      <c r="S1120" s="832"/>
      <c r="T1120" s="832"/>
    </row>
    <row r="1121" spans="1:20" x14ac:dyDescent="0.2">
      <c r="A1121" s="832"/>
      <c r="B1121" s="832"/>
      <c r="C1121" s="832"/>
      <c r="D1121" s="832"/>
      <c r="E1121" s="832"/>
      <c r="F1121" s="832"/>
      <c r="G1121" s="832"/>
      <c r="H1121" s="832"/>
      <c r="I1121" s="832"/>
      <c r="J1121" s="832"/>
      <c r="K1121" s="832"/>
      <c r="L1121" s="990" t="s">
        <v>69</v>
      </c>
      <c r="M1121" s="832"/>
      <c r="N1121" s="997">
        <f>IF(N1119&gt;O1115,100000000,N1120-H1123)</f>
        <v>16.194671058465076</v>
      </c>
      <c r="O1121" s="997">
        <f>IF(O1119&gt;O1115,100000000,O1120-H1123)</f>
        <v>192.12385965949349</v>
      </c>
      <c r="P1121" s="997">
        <f>IF(P1119&gt;O1115,100000000,P1120-H1123)</f>
        <v>418.31853071795865</v>
      </c>
      <c r="Q1121" s="997">
        <f>IF(Q1119&gt;O1115,100000000,Q1120-H1123)</f>
        <v>550.26542216872997</v>
      </c>
      <c r="R1121" s="997">
        <f>IF(R1119&gt;O1115,100000000,R1120-H1123)</f>
        <v>771.74770424681037</v>
      </c>
      <c r="S1121" s="832"/>
      <c r="T1121" s="832"/>
    </row>
    <row r="1122" spans="1:20" x14ac:dyDescent="0.2">
      <c r="A1122" s="832"/>
      <c r="B1122" s="990" t="s">
        <v>84</v>
      </c>
      <c r="C1122" s="1015">
        <f>E1120</f>
        <v>2E-3</v>
      </c>
      <c r="D1122" s="990" t="s">
        <v>1012</v>
      </c>
      <c r="E1122" s="997">
        <f>IF(F1118&lt;380,F1118,380)</f>
        <v>350</v>
      </c>
      <c r="F1122" s="990" t="s">
        <v>1638</v>
      </c>
      <c r="G1122" s="832"/>
      <c r="H1122" s="997">
        <f>C1122*E1122*300</f>
        <v>210.00000000000003</v>
      </c>
      <c r="I1122" s="990" t="s">
        <v>78</v>
      </c>
      <c r="J1122" s="832"/>
      <c r="K1122" s="832"/>
      <c r="L1122" s="990" t="s">
        <v>70</v>
      </c>
      <c r="M1122" s="832"/>
      <c r="N1122" s="997">
        <f>IF(P1122=12,N1118,IF(P1122=16,O1118,IF(P1122=20,P1118,IF(P1122=22,Q1118,IF(P1122=25,R1118,100000000)))))</f>
        <v>2</v>
      </c>
      <c r="O1122" s="990" t="s">
        <v>1580</v>
      </c>
      <c r="P1122" s="997">
        <f>IF(MIN(N1119:R1119)&gt;O1115,100000000,IF(MIN(N1121:R1121)=N1121,12,IF(MIN(N1121:R1121)=O1121,16,IF(MIN(N1121:R1121)=P1121,20,IF(MIN(N1121:R1121)=Q1121,22,25)))))</f>
        <v>12</v>
      </c>
      <c r="Q1122" s="990" t="s">
        <v>1581</v>
      </c>
      <c r="R1122" s="832"/>
      <c r="S1122" s="832"/>
      <c r="T1122" s="832"/>
    </row>
    <row r="1123" spans="1:20" x14ac:dyDescent="0.2">
      <c r="A1123" s="832"/>
      <c r="B1123" s="994" t="str">
        <f>IF(H1112&gt;H1122,"Ast(Moment)  &gt;  Ast(Shrinkage)","Ast(Moment)  &lt;  Ast(Shrinkage)")</f>
        <v>Ast(Moment)  &lt;  Ast(Shrinkage)</v>
      </c>
      <c r="C1123" s="832"/>
      <c r="D1123" s="832"/>
      <c r="E1123" s="832"/>
      <c r="F1123" s="990" t="s">
        <v>88</v>
      </c>
      <c r="G1123" s="832"/>
      <c r="H1123" s="997">
        <f>IF(H1112&gt;H1122,H1112,H1122)</f>
        <v>210.00000000000003</v>
      </c>
      <c r="I1123" s="990" t="s">
        <v>89</v>
      </c>
      <c r="J1123" s="832"/>
      <c r="K1123" s="832"/>
      <c r="L1123" s="832"/>
      <c r="M1123" s="832"/>
      <c r="N1123" s="832"/>
      <c r="O1123" s="832"/>
      <c r="P1123" s="832"/>
      <c r="Q1123" s="832"/>
      <c r="R1123" s="832"/>
      <c r="S1123" s="832"/>
      <c r="T1123" s="832"/>
    </row>
    <row r="1124" spans="1:20" x14ac:dyDescent="0.2">
      <c r="A1124" s="832"/>
      <c r="B1124" s="832"/>
      <c r="C1124" s="832"/>
      <c r="D1124" s="832"/>
      <c r="E1124" s="832"/>
      <c r="F1124" s="832"/>
      <c r="G1124" s="832"/>
      <c r="H1124" s="832"/>
      <c r="I1124" s="832"/>
      <c r="J1124" s="832"/>
      <c r="K1124" s="832"/>
      <c r="L1124" s="832"/>
      <c r="M1124" s="832"/>
      <c r="N1124" s="832"/>
      <c r="O1124" s="832"/>
      <c r="P1124" s="832"/>
      <c r="Q1124" s="832"/>
      <c r="R1124" s="832"/>
      <c r="S1124" s="832"/>
      <c r="T1124" s="832"/>
    </row>
    <row r="1125" spans="1:20" x14ac:dyDescent="0.2">
      <c r="A1125" s="832"/>
      <c r="B1125" s="990" t="s">
        <v>1642</v>
      </c>
      <c r="C1125" s="832"/>
      <c r="D1125" s="832"/>
      <c r="E1125" s="832"/>
      <c r="F1125" s="832"/>
      <c r="G1125" s="832"/>
      <c r="H1125" s="832"/>
      <c r="I1125" s="832"/>
      <c r="J1125" s="832"/>
      <c r="K1125" s="832"/>
      <c r="L1125" s="832"/>
      <c r="M1125" s="832"/>
      <c r="N1125" s="832"/>
      <c r="O1125" s="832"/>
      <c r="P1125" s="832"/>
      <c r="Q1125" s="832"/>
      <c r="R1125" s="832"/>
      <c r="S1125" s="832"/>
      <c r="T1125" s="832"/>
    </row>
    <row r="1126" spans="1:20" x14ac:dyDescent="0.2">
      <c r="A1126" s="832"/>
      <c r="B1126" s="990" t="s">
        <v>1643</v>
      </c>
      <c r="C1126" s="832"/>
      <c r="D1126" s="832"/>
      <c r="E1126" s="832"/>
      <c r="F1126" s="832"/>
      <c r="G1126" s="832"/>
      <c r="H1126" s="832"/>
      <c r="I1126" s="832"/>
      <c r="J1126" s="832"/>
      <c r="K1126" s="832"/>
      <c r="L1126" s="832"/>
      <c r="M1126" s="832"/>
      <c r="N1126" s="832"/>
      <c r="O1126" s="832"/>
      <c r="P1126" s="832"/>
      <c r="Q1126" s="832"/>
      <c r="R1126" s="832"/>
      <c r="S1126" s="832"/>
      <c r="T1126" s="832"/>
    </row>
    <row r="1127" spans="1:20" x14ac:dyDescent="0.2">
      <c r="A1127" s="832"/>
      <c r="B1127" s="990" t="s">
        <v>1644</v>
      </c>
      <c r="C1127" s="832"/>
      <c r="D1127" s="832"/>
      <c r="E1127" s="832"/>
      <c r="F1127" s="832"/>
      <c r="G1127" s="832"/>
      <c r="H1127" s="832"/>
      <c r="I1127" s="832"/>
      <c r="J1127" s="832"/>
      <c r="K1127" s="832"/>
      <c r="L1127" s="832"/>
      <c r="M1127" s="832"/>
      <c r="N1127" s="832"/>
      <c r="O1127" s="832"/>
      <c r="P1127" s="832"/>
      <c r="Q1127" s="832"/>
      <c r="R1127" s="832"/>
      <c r="S1127" s="832"/>
      <c r="T1127" s="832"/>
    </row>
    <row r="1128" spans="1:20" x14ac:dyDescent="0.2">
      <c r="A1128" s="832"/>
      <c r="B1128" s="832"/>
      <c r="C1128" s="832"/>
      <c r="D1128" s="832"/>
      <c r="E1128" s="832"/>
      <c r="F1128" s="832"/>
      <c r="G1128" s="832"/>
      <c r="H1128" s="832"/>
      <c r="I1128" s="832"/>
      <c r="J1128" s="832"/>
      <c r="K1128" s="832"/>
      <c r="L1128" s="832"/>
      <c r="M1128" s="832"/>
      <c r="N1128" s="832"/>
      <c r="O1128" s="832"/>
      <c r="P1128" s="832"/>
      <c r="Q1128" s="832"/>
      <c r="R1128" s="832"/>
      <c r="S1128" s="832"/>
      <c r="T1128" s="832"/>
    </row>
    <row r="1129" spans="1:20" x14ac:dyDescent="0.2">
      <c r="A1129" s="832"/>
      <c r="B1129" s="832"/>
      <c r="C1129" s="990" t="s">
        <v>79</v>
      </c>
      <c r="D1129" s="997">
        <f>IF(H1525=0,N1122,H1525)</f>
        <v>2</v>
      </c>
      <c r="E1129" s="990" t="s">
        <v>1580</v>
      </c>
      <c r="F1129" s="997">
        <f>IF(H1525=0,P1122,I1525)</f>
        <v>12</v>
      </c>
      <c r="G1129" s="990" t="s">
        <v>1583</v>
      </c>
      <c r="H1129" s="832"/>
      <c r="I1129" s="997">
        <f>D1129*PI()*F1129^2/4</f>
        <v>226.1946710584651</v>
      </c>
      <c r="J1129" s="990" t="s">
        <v>81</v>
      </c>
      <c r="K1129" s="832"/>
      <c r="L1129" s="832"/>
      <c r="M1129" s="832"/>
      <c r="N1129" s="832"/>
      <c r="O1129" s="832"/>
      <c r="P1129" s="832"/>
      <c r="Q1129" s="832"/>
      <c r="R1129" s="832"/>
      <c r="S1129" s="832"/>
      <c r="T1129" s="832"/>
    </row>
    <row r="1130" spans="1:20" x14ac:dyDescent="0.2">
      <c r="A1130" s="832"/>
      <c r="B1130" s="832"/>
      <c r="C1130" s="832"/>
      <c r="D1130" s="832"/>
      <c r="E1130" s="832"/>
      <c r="F1130" s="832"/>
      <c r="G1130" s="832"/>
      <c r="H1130" s="832"/>
      <c r="I1130" s="832"/>
      <c r="J1130" s="832"/>
      <c r="K1130" s="832"/>
      <c r="L1130" s="990" t="s">
        <v>66</v>
      </c>
      <c r="M1130" s="832"/>
      <c r="N1130" s="997">
        <v>12</v>
      </c>
      <c r="O1130" s="997">
        <v>16</v>
      </c>
      <c r="P1130" s="997">
        <v>20</v>
      </c>
      <c r="Q1130" s="997">
        <v>22</v>
      </c>
      <c r="R1130" s="997">
        <v>25</v>
      </c>
      <c r="S1130" s="832"/>
      <c r="T1130" s="832"/>
    </row>
    <row r="1131" spans="1:20" x14ac:dyDescent="0.2">
      <c r="A1131" s="990" t="s">
        <v>950</v>
      </c>
      <c r="B1131" s="832"/>
      <c r="C1131" s="832"/>
      <c r="D1131" s="832"/>
      <c r="E1131" s="832"/>
      <c r="F1131" s="832"/>
      <c r="G1131" s="832"/>
      <c r="H1131" s="832"/>
      <c r="I1131" s="832"/>
      <c r="J1131" s="832"/>
      <c r="K1131" s="832"/>
      <c r="L1131" s="990" t="s">
        <v>1578</v>
      </c>
      <c r="M1131" s="832"/>
      <c r="N1131" s="997">
        <f>IF($H$1145&lt;=0,0,IF(4*$H$1145/PI()/N1130^2&lt;2,2,TRUNC(4*$H$1145/PI()/N1130^2)+1))</f>
        <v>2</v>
      </c>
      <c r="O1131" s="997">
        <f>IF($H$1145&lt;=0,0,IF(4*$H$1145/PI()/O1130^2&lt;2,2,TRUNC(4*$H$1145/PI()/O1130^2)+1))</f>
        <v>2</v>
      </c>
      <c r="P1131" s="997">
        <f>IF($H$1145&lt;=0,0,IF(4*$H$1145/PI()/P1130^2&lt;2,2,TRUNC(4*$H$1145/PI()/P1130^2)+1))</f>
        <v>2</v>
      </c>
      <c r="Q1131" s="997">
        <f>IF($H$1145&lt;=0,0,IF(4*$H$1145/PI()/Q1130^2&lt;2,2,TRUNC(4*$H$1145/PI()/Q1130^2)+1))</f>
        <v>2</v>
      </c>
      <c r="R1131" s="997">
        <f>IF($H$1145&lt;=0,0,IF(4*$H$1145/PI()/R1130^2&lt;2,2,TRUNC(4*$H$1145/PI()/R1130^2)+1))</f>
        <v>2</v>
      </c>
      <c r="S1131" s="832"/>
      <c r="T1131" s="832"/>
    </row>
    <row r="1132" spans="1:20" x14ac:dyDescent="0.2">
      <c r="A1132" s="990" t="s">
        <v>126</v>
      </c>
      <c r="B1132" s="832"/>
      <c r="C1132" s="832"/>
      <c r="D1132" s="832"/>
      <c r="E1132" s="832"/>
      <c r="F1132" s="832"/>
      <c r="G1132" s="832"/>
      <c r="H1132" s="832"/>
      <c r="I1132" s="832"/>
      <c r="J1132" s="832"/>
      <c r="K1132" s="832"/>
      <c r="L1132" s="990" t="s">
        <v>1579</v>
      </c>
      <c r="M1132" s="832"/>
      <c r="N1132" s="997">
        <f>N1131*N1130+(N1131+1)*25</f>
        <v>99</v>
      </c>
      <c r="O1132" s="997">
        <f>O1131*O1130+(O1131+1)*25</f>
        <v>107</v>
      </c>
      <c r="P1132" s="997">
        <f>P1131*P1130+(P1131+1)*25</f>
        <v>115</v>
      </c>
      <c r="Q1132" s="997">
        <f>Q1131*Q1130+(Q1131+1)*25</f>
        <v>119</v>
      </c>
      <c r="R1132" s="997">
        <f>R1131*R1130+(R1131+1)*25</f>
        <v>125</v>
      </c>
      <c r="S1132" s="832"/>
      <c r="T1132" s="832"/>
    </row>
    <row r="1133" spans="1:20" x14ac:dyDescent="0.2">
      <c r="A1133" s="832"/>
      <c r="B1133" s="832"/>
      <c r="C1133" s="832"/>
      <c r="D1133" s="832"/>
      <c r="E1133" s="832"/>
      <c r="F1133" s="990"/>
      <c r="G1133" s="832"/>
      <c r="H1133" s="832"/>
      <c r="I1133" s="832"/>
      <c r="J1133" s="832"/>
      <c r="K1133" s="832"/>
      <c r="L1133" s="990" t="s">
        <v>68</v>
      </c>
      <c r="M1133" s="832"/>
      <c r="N1133" s="997">
        <f>N1131*PI()*N1130^2/4</f>
        <v>226.1946710584651</v>
      </c>
      <c r="O1133" s="997">
        <f>O1131*PI()*O1130^2/4</f>
        <v>402.12385965949352</v>
      </c>
      <c r="P1133" s="997">
        <f>P1131*PI()*P1130^2/4</f>
        <v>628.31853071795865</v>
      </c>
      <c r="Q1133" s="997">
        <f>Q1131*PI()*Q1130^2/4</f>
        <v>760.26542216872997</v>
      </c>
      <c r="R1133" s="997">
        <f>R1131*PI()*R1130^2/4</f>
        <v>981.74770424681037</v>
      </c>
      <c r="S1133" s="832"/>
      <c r="T1133" s="832"/>
    </row>
    <row r="1134" spans="1:20" x14ac:dyDescent="0.2">
      <c r="A1134" s="832"/>
      <c r="B1134" s="990" t="s">
        <v>1916</v>
      </c>
      <c r="C1134" s="832"/>
      <c r="D1134" s="832"/>
      <c r="E1134" s="832"/>
      <c r="F1134" s="832"/>
      <c r="G1134" s="832"/>
      <c r="H1134" s="874">
        <f>(G1048*1000000000)/(F1105*E1106*H1110)</f>
        <v>148.22759886611334</v>
      </c>
      <c r="I1134" s="990" t="s">
        <v>78</v>
      </c>
      <c r="J1134" s="832"/>
      <c r="K1134" s="832"/>
      <c r="L1134" s="990" t="s">
        <v>69</v>
      </c>
      <c r="M1134" s="832"/>
      <c r="N1134" s="997">
        <f>IF(N1132&gt;O1115,100000000,N1133-H1145)</f>
        <v>16.194671058465076</v>
      </c>
      <c r="O1134" s="997">
        <f>IF(O1132&gt;O1115,100000000,O1133-H1145)</f>
        <v>192.12385965949349</v>
      </c>
      <c r="P1134" s="997">
        <f>IF(P1132&gt;O1115,100000000,P1133-H1145)</f>
        <v>418.31853071795865</v>
      </c>
      <c r="Q1134" s="997">
        <f>IF(Q1132&gt;O1115,100000000,Q1133-H1145)</f>
        <v>550.26542216872997</v>
      </c>
      <c r="R1134" s="997">
        <f>IF(R1132&gt;O1115,100000000,R1133-H1145)</f>
        <v>771.74770424681037</v>
      </c>
      <c r="S1134" s="832"/>
      <c r="T1134" s="832"/>
    </row>
    <row r="1135" spans="1:20" x14ac:dyDescent="0.2">
      <c r="A1135" s="832"/>
      <c r="B1135" s="832"/>
      <c r="C1135" s="832"/>
      <c r="D1135" s="832"/>
      <c r="E1135" s="832"/>
      <c r="F1135" s="990"/>
      <c r="G1135" s="832"/>
      <c r="H1135" s="832"/>
      <c r="I1135" s="832"/>
      <c r="J1135" s="832"/>
      <c r="K1135" s="832"/>
      <c r="L1135" s="990" t="s">
        <v>70</v>
      </c>
      <c r="M1135" s="832"/>
      <c r="N1135" s="997">
        <f>IF(P1135=12,N1131,IF(P1135=16,O1131,IF(P1135=20,P1131,IF(P1135=22,Q1131,IF(P1135=25,R1131,100000000)))))</f>
        <v>2</v>
      </c>
      <c r="O1135" s="990" t="s">
        <v>1580</v>
      </c>
      <c r="P1135" s="997">
        <f>IF(MIN(N1132:R1132)&gt;O1115,100000000,IF(MIN(N1134:R1134)=N1134,12,IF(MIN(N1134:R1134)=O1134,16,IF(MIN(N1134:R1134)=P1134,20,IF(MIN(N1134:R1134)=Q1134,22,25)))))</f>
        <v>12</v>
      </c>
      <c r="Q1135" s="990" t="s">
        <v>1581</v>
      </c>
      <c r="R1135" s="832"/>
      <c r="S1135" s="832"/>
      <c r="T1135" s="832"/>
    </row>
    <row r="1136" spans="1:20" x14ac:dyDescent="0.2">
      <c r="A1136" s="832"/>
      <c r="B1136" s="832"/>
      <c r="C1136" s="832"/>
      <c r="D1136" s="832"/>
      <c r="E1136" s="832"/>
      <c r="F1136" s="832"/>
      <c r="G1136" s="832"/>
      <c r="H1136" s="832"/>
      <c r="I1136" s="832"/>
      <c r="J1136" s="832"/>
      <c r="K1136" s="832"/>
      <c r="L1136" s="832"/>
      <c r="M1136" s="832"/>
      <c r="N1136" s="832"/>
      <c r="O1136" s="832"/>
      <c r="P1136" s="832"/>
      <c r="Q1136" s="832"/>
      <c r="R1136" s="832"/>
      <c r="S1136" s="832"/>
      <c r="T1136" s="832"/>
    </row>
    <row r="1137" spans="1:20" x14ac:dyDescent="0.2">
      <c r="A1137" s="832"/>
      <c r="B1137" s="990" t="s">
        <v>87</v>
      </c>
      <c r="C1137" s="832"/>
      <c r="D1137" s="832"/>
      <c r="E1137" s="832"/>
      <c r="F1137" s="832"/>
      <c r="G1137" s="832"/>
      <c r="H1137" s="832"/>
      <c r="I1137" s="832"/>
      <c r="J1137" s="832"/>
      <c r="K1137" s="832"/>
      <c r="L1137" s="832"/>
      <c r="M1137" s="832"/>
      <c r="N1137" s="832"/>
      <c r="O1137" s="832"/>
      <c r="P1137" s="832"/>
      <c r="Q1137" s="832"/>
      <c r="R1137" s="832"/>
      <c r="S1137" s="832"/>
      <c r="T1137" s="832"/>
    </row>
    <row r="1138" spans="1:20" x14ac:dyDescent="0.2">
      <c r="A1138" s="832"/>
      <c r="B1138" s="832"/>
      <c r="C1138" s="832"/>
      <c r="D1138" s="832"/>
      <c r="E1138" s="832"/>
      <c r="F1138" s="832"/>
      <c r="G1138" s="832"/>
      <c r="H1138" s="832"/>
      <c r="I1138" s="832"/>
      <c r="J1138" s="832"/>
      <c r="K1138" s="832"/>
      <c r="L1138" s="832"/>
      <c r="M1138" s="832"/>
      <c r="N1138" s="832"/>
      <c r="O1138" s="832"/>
      <c r="P1138" s="832"/>
      <c r="Q1138" s="832"/>
      <c r="R1138" s="832"/>
      <c r="S1138" s="832"/>
      <c r="T1138" s="832"/>
    </row>
    <row r="1139" spans="1:20" x14ac:dyDescent="0.2">
      <c r="A1139" s="832"/>
      <c r="B1139" s="990" t="s">
        <v>1640</v>
      </c>
      <c r="C1139" s="832"/>
      <c r="D1139" s="832"/>
      <c r="E1139" s="832"/>
      <c r="F1139" s="832"/>
      <c r="G1139" s="832"/>
      <c r="H1139" s="994">
        <f>D65</f>
        <v>2.9</v>
      </c>
      <c r="I1139" s="994" t="str">
        <f>IF(H1139&lt;=9,"m  &lt;  9 m","m  &gt;  9 m")</f>
        <v>m  &lt;  9 m</v>
      </c>
      <c r="J1139" s="832"/>
      <c r="K1139" s="832"/>
      <c r="L1139" s="832"/>
      <c r="M1139" s="832"/>
      <c r="N1139" s="832"/>
      <c r="O1139" s="832"/>
      <c r="P1139" s="832"/>
      <c r="Q1139" s="832"/>
      <c r="R1139" s="832"/>
      <c r="S1139" s="832"/>
      <c r="T1139" s="832"/>
    </row>
    <row r="1140" spans="1:20" x14ac:dyDescent="0.2">
      <c r="A1140" s="832"/>
      <c r="B1140" s="990" t="s">
        <v>1170</v>
      </c>
      <c r="C1140" s="832"/>
      <c r="D1140" s="832"/>
      <c r="E1140" s="832"/>
      <c r="F1140" s="997">
        <f>G1078</f>
        <v>350</v>
      </c>
      <c r="G1140" s="994" t="str">
        <f>IF(F1140&lt;=380,"mm  &lt;  380 mm","mm  &gt;  380 mm")</f>
        <v>mm  &lt;  380 mm</v>
      </c>
      <c r="H1140" s="832"/>
      <c r="I1140" s="832"/>
      <c r="J1140" s="832"/>
      <c r="K1140" s="832"/>
      <c r="L1140" s="832"/>
      <c r="M1140" s="832"/>
      <c r="N1140" s="832"/>
      <c r="O1140" s="832"/>
      <c r="P1140" s="832"/>
      <c r="Q1140" s="832"/>
      <c r="R1140" s="832"/>
      <c r="S1140" s="832"/>
      <c r="T1140" s="832"/>
    </row>
    <row r="1141" spans="1:20" x14ac:dyDescent="0.2">
      <c r="A1141" s="832"/>
      <c r="B1141" s="990" t="s">
        <v>1641</v>
      </c>
      <c r="C1141" s="832"/>
      <c r="D1141" s="832"/>
      <c r="E1141" s="832"/>
      <c r="F1141" s="832"/>
      <c r="G1141" s="832"/>
      <c r="H1141" s="832"/>
      <c r="I1141" s="832"/>
      <c r="J1141" s="832"/>
      <c r="K1141" s="832"/>
      <c r="L1141" s="832"/>
      <c r="M1141" s="832"/>
      <c r="N1141" s="832"/>
      <c r="O1141" s="832"/>
      <c r="P1141" s="832"/>
      <c r="Q1141" s="832"/>
      <c r="R1141" s="832"/>
      <c r="S1141" s="832"/>
      <c r="T1141" s="832"/>
    </row>
    <row r="1142" spans="1:20" x14ac:dyDescent="0.2">
      <c r="A1142" s="832"/>
      <c r="B1142" s="990" t="s">
        <v>1174</v>
      </c>
      <c r="C1142" s="832"/>
      <c r="D1142" s="832"/>
      <c r="E1142" s="1015">
        <f>IF(H1139&lt;=9,$C$247,$C$248)</f>
        <v>2E-3</v>
      </c>
      <c r="F1142" s="832"/>
      <c r="G1142" s="832"/>
      <c r="H1142" s="832"/>
      <c r="I1142" s="832"/>
      <c r="J1142" s="832"/>
      <c r="K1142" s="832"/>
      <c r="L1142" s="832"/>
      <c r="M1142" s="832"/>
      <c r="N1142" s="832"/>
      <c r="O1142" s="832"/>
      <c r="P1142" s="832"/>
      <c r="Q1142" s="832"/>
      <c r="R1142" s="832"/>
      <c r="S1142" s="832"/>
      <c r="T1142" s="832"/>
    </row>
    <row r="1143" spans="1:20" x14ac:dyDescent="0.2">
      <c r="A1143" s="832"/>
      <c r="B1143" s="832"/>
      <c r="C1143" s="832"/>
      <c r="D1143" s="832"/>
      <c r="E1143" s="832"/>
      <c r="F1143" s="832"/>
      <c r="G1143" s="832"/>
      <c r="H1143" s="832"/>
      <c r="I1143" s="832"/>
      <c r="J1143" s="832"/>
      <c r="K1143" s="832"/>
      <c r="L1143" s="832"/>
      <c r="M1143" s="832"/>
      <c r="N1143" s="832"/>
      <c r="O1143" s="832"/>
      <c r="P1143" s="832"/>
      <c r="Q1143" s="832"/>
      <c r="R1143" s="832"/>
      <c r="S1143" s="832"/>
      <c r="T1143" s="832"/>
    </row>
    <row r="1144" spans="1:20" x14ac:dyDescent="0.2">
      <c r="A1144" s="832"/>
      <c r="B1144" s="990" t="s">
        <v>84</v>
      </c>
      <c r="C1144" s="1015">
        <f>E1142</f>
        <v>2E-3</v>
      </c>
      <c r="D1144" s="990" t="s">
        <v>1012</v>
      </c>
      <c r="E1144" s="997">
        <f>IF(F1140&lt;380,F1140,380)</f>
        <v>350</v>
      </c>
      <c r="F1144" s="990" t="s">
        <v>1638</v>
      </c>
      <c r="G1144" s="832"/>
      <c r="H1144" s="997">
        <f>C1144*E1144*300</f>
        <v>210.00000000000003</v>
      </c>
      <c r="I1144" s="990" t="s">
        <v>78</v>
      </c>
      <c r="J1144" s="832"/>
      <c r="K1144" s="832"/>
      <c r="L1144" s="832"/>
      <c r="M1144" s="832"/>
      <c r="N1144" s="832"/>
      <c r="O1144" s="832"/>
      <c r="P1144" s="832"/>
      <c r="Q1144" s="832"/>
      <c r="R1144" s="832"/>
      <c r="S1144" s="832"/>
      <c r="T1144" s="832"/>
    </row>
    <row r="1145" spans="1:20" x14ac:dyDescent="0.2">
      <c r="A1145" s="832"/>
      <c r="B1145" s="994" t="str">
        <f>IF(H1134&gt;H1144,"Ast(Moment)  &gt;  Ast(Shrinkage)","Ast(Moment)  &lt;  Ast(Shrinkage)")</f>
        <v>Ast(Moment)  &lt;  Ast(Shrinkage)</v>
      </c>
      <c r="C1145" s="832"/>
      <c r="D1145" s="832"/>
      <c r="E1145" s="832"/>
      <c r="F1145" s="990" t="s">
        <v>88</v>
      </c>
      <c r="G1145" s="832"/>
      <c r="H1145" s="997">
        <f>IF(H1134&gt;H1144,H1134,H1144)</f>
        <v>210.00000000000003</v>
      </c>
      <c r="I1145" s="990" t="s">
        <v>89</v>
      </c>
      <c r="J1145" s="832"/>
      <c r="K1145" s="832"/>
      <c r="L1145" s="832"/>
      <c r="M1145" s="832"/>
      <c r="N1145" s="832"/>
      <c r="O1145" s="832"/>
      <c r="P1145" s="832"/>
      <c r="Q1145" s="832"/>
      <c r="R1145" s="997"/>
      <c r="S1145" s="832"/>
      <c r="T1145" s="832"/>
    </row>
    <row r="1146" spans="1:20" x14ac:dyDescent="0.2">
      <c r="A1146" s="832"/>
      <c r="B1146" s="832"/>
      <c r="C1146" s="832"/>
      <c r="D1146" s="832"/>
      <c r="E1146" s="832"/>
      <c r="F1146" s="832"/>
      <c r="G1146" s="832"/>
      <c r="H1146" s="832"/>
      <c r="I1146" s="832"/>
      <c r="J1146" s="832"/>
      <c r="K1146" s="832"/>
      <c r="L1146" s="832"/>
      <c r="M1146" s="832"/>
      <c r="N1146" s="997"/>
      <c r="O1146" s="997"/>
      <c r="P1146" s="997"/>
      <c r="Q1146" s="997"/>
      <c r="R1146" s="997"/>
      <c r="S1146" s="832"/>
      <c r="T1146" s="832"/>
    </row>
    <row r="1147" spans="1:20" x14ac:dyDescent="0.2">
      <c r="A1147" s="832"/>
      <c r="B1147" s="990" t="s">
        <v>1642</v>
      </c>
      <c r="C1147" s="832"/>
      <c r="D1147" s="832"/>
      <c r="E1147" s="832"/>
      <c r="F1147" s="832"/>
      <c r="G1147" s="832"/>
      <c r="H1147" s="832"/>
      <c r="I1147" s="832"/>
      <c r="J1147" s="832"/>
      <c r="K1147" s="832"/>
      <c r="L1147" s="832"/>
      <c r="M1147" s="832"/>
      <c r="N1147" s="832"/>
      <c r="O1147" s="832"/>
      <c r="P1147" s="832"/>
      <c r="Q1147" s="832"/>
      <c r="R1147" s="832"/>
      <c r="S1147" s="832"/>
      <c r="T1147" s="832"/>
    </row>
    <row r="1148" spans="1:20" x14ac:dyDescent="0.2">
      <c r="A1148" s="832"/>
      <c r="B1148" s="990" t="s">
        <v>1643</v>
      </c>
      <c r="C1148" s="832"/>
      <c r="D1148" s="832"/>
      <c r="E1148" s="832"/>
      <c r="F1148" s="832"/>
      <c r="G1148" s="832"/>
      <c r="H1148" s="832"/>
      <c r="I1148" s="832"/>
      <c r="J1148" s="832"/>
      <c r="K1148" s="832"/>
      <c r="L1148" s="832"/>
      <c r="M1148" s="832"/>
      <c r="N1148" s="832"/>
      <c r="O1148" s="832"/>
      <c r="P1148" s="832"/>
      <c r="Q1148" s="832"/>
      <c r="R1148" s="832"/>
      <c r="S1148" s="832"/>
      <c r="T1148" s="832"/>
    </row>
    <row r="1149" spans="1:20" x14ac:dyDescent="0.2">
      <c r="A1149" s="832"/>
      <c r="B1149" s="990" t="s">
        <v>1644</v>
      </c>
      <c r="C1149" s="832"/>
      <c r="D1149" s="832"/>
      <c r="E1149" s="832"/>
      <c r="F1149" s="832"/>
      <c r="G1149" s="832"/>
      <c r="H1149" s="832"/>
      <c r="I1149" s="832"/>
      <c r="J1149" s="832"/>
      <c r="K1149" s="832"/>
      <c r="L1149" s="832"/>
      <c r="M1149" s="832"/>
      <c r="N1149" s="832"/>
      <c r="O1149" s="832"/>
      <c r="P1149" s="832"/>
      <c r="Q1149" s="832"/>
      <c r="R1149" s="832"/>
      <c r="S1149" s="832"/>
      <c r="T1149" s="832"/>
    </row>
    <row r="1150" spans="1:20" x14ac:dyDescent="0.2">
      <c r="A1150" s="832"/>
      <c r="B1150" s="832"/>
      <c r="C1150" s="832"/>
      <c r="D1150" s="832"/>
      <c r="E1150" s="832"/>
      <c r="F1150" s="832"/>
      <c r="G1150" s="832"/>
      <c r="H1150" s="832"/>
      <c r="I1150" s="832"/>
      <c r="J1150" s="832"/>
      <c r="K1150" s="832"/>
      <c r="L1150" s="832"/>
      <c r="M1150" s="832"/>
      <c r="N1150" s="832"/>
      <c r="O1150" s="832"/>
      <c r="P1150" s="832"/>
      <c r="Q1150" s="832"/>
      <c r="R1150" s="832"/>
      <c r="S1150" s="832"/>
      <c r="T1150" s="832"/>
    </row>
    <row r="1151" spans="1:20" x14ac:dyDescent="0.2">
      <c r="A1151" s="832"/>
      <c r="B1151" s="832"/>
      <c r="C1151" s="990" t="s">
        <v>79</v>
      </c>
      <c r="D1151" s="997">
        <f>IF(H1526=0,N1135,H1526)</f>
        <v>2</v>
      </c>
      <c r="E1151" s="990" t="s">
        <v>1580</v>
      </c>
      <c r="F1151" s="997">
        <f>IF(H1526=0,P1135,I1526)</f>
        <v>12</v>
      </c>
      <c r="G1151" s="990" t="s">
        <v>1583</v>
      </c>
      <c r="H1151" s="832"/>
      <c r="I1151" s="997">
        <f>D1151*PI()*F1151^2/4</f>
        <v>226.1946710584651</v>
      </c>
      <c r="J1151" s="990" t="s">
        <v>81</v>
      </c>
      <c r="K1151" s="832"/>
      <c r="L1151" s="832"/>
      <c r="M1151" s="832"/>
      <c r="N1151" s="1111"/>
      <c r="O1151" s="832"/>
      <c r="P1151" s="1111"/>
      <c r="Q1151" s="832"/>
      <c r="R1151" s="832"/>
      <c r="S1151" s="832"/>
      <c r="T1151" s="832"/>
    </row>
    <row r="1152" spans="1:20" x14ac:dyDescent="0.2">
      <c r="A1152" s="990" t="s">
        <v>986</v>
      </c>
      <c r="B1152" s="832"/>
      <c r="C1152" s="832"/>
      <c r="D1152" s="832"/>
      <c r="E1152" s="832"/>
      <c r="F1152" s="832"/>
      <c r="G1152" s="832"/>
      <c r="H1152" s="832"/>
      <c r="I1152" s="832"/>
      <c r="J1152" s="832"/>
      <c r="K1152" s="832"/>
      <c r="L1152" s="832"/>
      <c r="M1152" s="832"/>
      <c r="N1152" s="832"/>
      <c r="O1152" s="832"/>
      <c r="P1152" s="832"/>
      <c r="Q1152" s="832"/>
      <c r="R1152" s="832"/>
      <c r="S1152" s="832"/>
      <c r="T1152" s="832"/>
    </row>
    <row r="1153" spans="1:20" x14ac:dyDescent="0.2">
      <c r="A1153" s="990" t="s">
        <v>950</v>
      </c>
      <c r="B1153" s="832"/>
      <c r="C1153" s="832"/>
      <c r="D1153" s="832"/>
      <c r="E1153" s="832"/>
      <c r="F1153" s="832"/>
      <c r="G1153" s="832"/>
      <c r="H1153" s="832"/>
      <c r="I1153" s="832"/>
      <c r="J1153" s="832"/>
      <c r="K1153" s="832"/>
      <c r="L1153" s="832"/>
      <c r="M1153" s="832"/>
      <c r="N1153" s="832"/>
      <c r="O1153" s="832"/>
      <c r="P1153" s="832"/>
      <c r="Q1153" s="832"/>
      <c r="R1153" s="832"/>
      <c r="S1153" s="832"/>
      <c r="T1153" s="832"/>
    </row>
    <row r="1154" spans="1:20" x14ac:dyDescent="0.2">
      <c r="A1154" s="990" t="s">
        <v>1645</v>
      </c>
      <c r="B1154" s="832"/>
      <c r="C1154" s="832"/>
      <c r="D1154" s="832"/>
      <c r="E1154" s="832"/>
      <c r="F1154" s="832"/>
      <c r="G1154" s="832"/>
      <c r="H1154" s="832"/>
      <c r="I1154" s="832"/>
      <c r="J1154" s="832"/>
      <c r="K1154" s="832"/>
      <c r="L1154" s="832"/>
      <c r="M1154" s="832"/>
      <c r="N1154" s="832"/>
      <c r="O1154" s="832"/>
      <c r="P1154" s="832"/>
      <c r="Q1154" s="832"/>
      <c r="R1154" s="832"/>
      <c r="S1154" s="832"/>
      <c r="T1154" s="832"/>
    </row>
    <row r="1155" spans="1:20" x14ac:dyDescent="0.2">
      <c r="A1155" s="832"/>
      <c r="B1155" s="832"/>
      <c r="C1155" s="832"/>
      <c r="D1155" s="832"/>
      <c r="E1155" s="832"/>
      <c r="F1155" s="832"/>
      <c r="G1155" s="832"/>
      <c r="H1155" s="832"/>
      <c r="I1155" s="832"/>
      <c r="J1155" s="832"/>
      <c r="K1155" s="832"/>
      <c r="L1155" s="832"/>
      <c r="M1155" s="832"/>
      <c r="N1155" s="832"/>
      <c r="O1155" s="832"/>
      <c r="P1155" s="832"/>
      <c r="Q1155" s="832"/>
      <c r="R1155" s="832"/>
      <c r="S1155" s="832"/>
      <c r="T1155" s="832"/>
    </row>
    <row r="1156" spans="1:20" x14ac:dyDescent="0.2">
      <c r="A1156" s="832"/>
      <c r="B1156" s="990" t="s">
        <v>1646</v>
      </c>
      <c r="C1156" s="832"/>
      <c r="D1156" s="832"/>
      <c r="E1156" s="832"/>
      <c r="F1156" s="832"/>
      <c r="G1156" s="832"/>
      <c r="H1156" s="832"/>
      <c r="I1156" s="832"/>
      <c r="J1156" s="832"/>
      <c r="K1156" s="832"/>
      <c r="L1156" s="832"/>
      <c r="M1156" s="832"/>
      <c r="N1156" s="832"/>
      <c r="O1156" s="832"/>
      <c r="P1156" s="832"/>
      <c r="Q1156" s="832"/>
      <c r="R1156" s="832"/>
      <c r="S1156" s="832"/>
      <c r="T1156" s="832"/>
    </row>
    <row r="1157" spans="1:20" x14ac:dyDescent="0.2">
      <c r="A1157" s="832"/>
      <c r="B1157" s="990" t="s">
        <v>1647</v>
      </c>
      <c r="C1157" s="832"/>
      <c r="D1157" s="832"/>
      <c r="E1157" s="832"/>
      <c r="F1157" s="832"/>
      <c r="G1157" s="832"/>
      <c r="H1157" s="832"/>
      <c r="I1157" s="832"/>
      <c r="J1157" s="832"/>
      <c r="K1157" s="832"/>
      <c r="L1157" s="832"/>
      <c r="M1157" s="832"/>
      <c r="N1157" s="832"/>
      <c r="O1157" s="832"/>
      <c r="P1157" s="832"/>
      <c r="Q1157" s="832"/>
      <c r="R1157" s="832"/>
      <c r="S1157" s="832"/>
      <c r="T1157" s="832"/>
    </row>
    <row r="1158" spans="1:20" x14ac:dyDescent="0.2">
      <c r="A1158" s="832"/>
      <c r="B1158" s="832"/>
      <c r="C1158" s="832"/>
      <c r="D1158" s="832"/>
      <c r="E1158" s="832"/>
      <c r="F1158" s="832"/>
      <c r="G1158" s="832"/>
      <c r="H1158" s="832"/>
      <c r="I1158" s="832"/>
      <c r="J1158" s="832"/>
      <c r="K1158" s="832"/>
      <c r="L1158" s="832"/>
      <c r="M1158" s="832"/>
      <c r="N1158" s="832"/>
      <c r="O1158" s="832"/>
      <c r="P1158" s="832"/>
      <c r="Q1158" s="832"/>
      <c r="R1158" s="832"/>
      <c r="S1158" s="832"/>
      <c r="T1158" s="832"/>
    </row>
    <row r="1159" spans="1:20" x14ac:dyDescent="0.2">
      <c r="A1159" s="832"/>
      <c r="B1159" s="990" t="s">
        <v>1648</v>
      </c>
      <c r="C1159" s="832"/>
      <c r="D1159" s="832"/>
      <c r="E1159" s="832"/>
      <c r="F1159" s="832"/>
      <c r="G1159" s="832"/>
      <c r="H1159" s="832"/>
      <c r="I1159" s="832"/>
      <c r="J1159" s="832"/>
      <c r="K1159" s="832"/>
      <c r="L1159" s="832"/>
      <c r="M1159" s="832"/>
      <c r="N1159" s="832"/>
      <c r="O1159" s="832"/>
      <c r="P1159" s="832"/>
      <c r="Q1159" s="832"/>
      <c r="R1159" s="832"/>
      <c r="S1159" s="832"/>
      <c r="T1159" s="832"/>
    </row>
    <row r="1160" spans="1:20" x14ac:dyDescent="0.2">
      <c r="A1160" s="832"/>
      <c r="B1160" s="832"/>
      <c r="C1160" s="832"/>
      <c r="D1160" s="832"/>
      <c r="E1160" s="832"/>
      <c r="F1160" s="832"/>
      <c r="G1160" s="832"/>
      <c r="H1160" s="832"/>
      <c r="I1160" s="832"/>
      <c r="J1160" s="832"/>
      <c r="K1160" s="832"/>
      <c r="L1160" s="832"/>
      <c r="M1160" s="832"/>
      <c r="N1160" s="832"/>
      <c r="O1160" s="832"/>
      <c r="P1160" s="832"/>
      <c r="Q1160" s="832"/>
      <c r="R1160" s="832"/>
      <c r="S1160" s="832"/>
      <c r="T1160" s="832"/>
    </row>
    <row r="1161" spans="1:20" x14ac:dyDescent="0.2">
      <c r="A1161" s="832"/>
      <c r="B1161" s="990" t="s">
        <v>1649</v>
      </c>
      <c r="C1161" s="832"/>
      <c r="D1161" s="832"/>
      <c r="E1161" s="832"/>
      <c r="F1161" s="997">
        <f>E40</f>
        <v>350</v>
      </c>
      <c r="G1161" s="990" t="s">
        <v>43</v>
      </c>
      <c r="H1161" s="832"/>
      <c r="I1161" s="832"/>
      <c r="J1161" s="832"/>
      <c r="K1161" s="832"/>
      <c r="L1161" s="832"/>
      <c r="M1161" s="832"/>
      <c r="N1161" s="832"/>
      <c r="O1161" s="832"/>
      <c r="P1161" s="832"/>
      <c r="Q1161" s="832"/>
      <c r="R1161" s="832"/>
      <c r="S1161" s="832"/>
      <c r="T1161" s="832"/>
    </row>
    <row r="1162" spans="1:20" x14ac:dyDescent="0.2">
      <c r="A1162" s="832"/>
      <c r="B1162" s="990" t="s">
        <v>1650</v>
      </c>
      <c r="C1162" s="832"/>
      <c r="D1162" s="832"/>
      <c r="E1162" s="832"/>
      <c r="F1162" s="997">
        <f>G63</f>
        <v>30</v>
      </c>
      <c r="G1162" s="990" t="s">
        <v>43</v>
      </c>
      <c r="H1162" s="832"/>
      <c r="I1162" s="832"/>
      <c r="J1162" s="832"/>
      <c r="K1162" s="832"/>
      <c r="L1162" s="832"/>
      <c r="M1162" s="832"/>
      <c r="N1162" s="832"/>
      <c r="O1162" s="832"/>
      <c r="P1162" s="832"/>
      <c r="Q1162" s="832"/>
      <c r="R1162" s="832"/>
      <c r="S1162" s="832"/>
      <c r="T1162" s="832"/>
    </row>
    <row r="1163" spans="1:20" x14ac:dyDescent="0.2">
      <c r="A1163" s="832"/>
      <c r="B1163" s="832"/>
      <c r="C1163" s="832"/>
      <c r="D1163" s="832"/>
      <c r="E1163" s="832"/>
      <c r="F1163" s="832"/>
      <c r="G1163" s="832"/>
      <c r="H1163" s="832"/>
      <c r="I1163" s="832"/>
      <c r="J1163" s="832"/>
      <c r="K1163" s="832"/>
      <c r="L1163" s="832"/>
      <c r="M1163" s="832"/>
      <c r="N1163" s="832"/>
      <c r="O1163" s="832"/>
      <c r="P1163" s="832"/>
      <c r="Q1163" s="832"/>
      <c r="R1163" s="832"/>
      <c r="S1163" s="832"/>
      <c r="T1163" s="832"/>
    </row>
    <row r="1164" spans="1:20" x14ac:dyDescent="0.2">
      <c r="A1164" s="832"/>
      <c r="B1164" s="990" t="s">
        <v>1651</v>
      </c>
      <c r="C1164" s="832"/>
      <c r="D1164" s="997">
        <f>2*(F1161+300-4*F1162)</f>
        <v>1060</v>
      </c>
      <c r="E1164" s="990" t="s">
        <v>43</v>
      </c>
      <c r="F1164" s="832"/>
      <c r="G1164" s="832"/>
      <c r="H1164" s="832"/>
      <c r="I1164" s="832"/>
      <c r="J1164" s="832"/>
      <c r="K1164" s="832"/>
      <c r="L1164" s="832"/>
      <c r="M1164" s="832"/>
      <c r="N1164" s="832"/>
      <c r="O1164" s="832"/>
      <c r="P1164" s="832"/>
      <c r="Q1164" s="832"/>
      <c r="R1164" s="832"/>
      <c r="S1164" s="832"/>
      <c r="T1164" s="832"/>
    </row>
    <row r="1165" spans="1:20" x14ac:dyDescent="0.2">
      <c r="A1165" s="832"/>
      <c r="B1165" s="832"/>
      <c r="C1165" s="832"/>
      <c r="D1165" s="832"/>
      <c r="E1165" s="832"/>
      <c r="F1165" s="832"/>
      <c r="G1165" s="832"/>
      <c r="H1165" s="832"/>
      <c r="I1165" s="832"/>
      <c r="J1165" s="832"/>
      <c r="K1165" s="832"/>
      <c r="L1165" s="832"/>
      <c r="M1165" s="832"/>
      <c r="N1165" s="832"/>
      <c r="O1165" s="832"/>
      <c r="P1165" s="832"/>
      <c r="Q1165" s="832"/>
      <c r="R1165" s="832"/>
      <c r="S1165" s="832"/>
      <c r="T1165" s="832"/>
    </row>
    <row r="1166" spans="1:20" x14ac:dyDescent="0.2">
      <c r="A1166" s="832"/>
      <c r="B1166" s="990" t="s">
        <v>79</v>
      </c>
      <c r="C1166" s="997">
        <v>10</v>
      </c>
      <c r="D1166" s="990" t="s">
        <v>1652</v>
      </c>
      <c r="E1166" s="997">
        <f>D1164</f>
        <v>1060</v>
      </c>
      <c r="F1166" s="990" t="s">
        <v>1653</v>
      </c>
      <c r="G1166" s="997">
        <v>225</v>
      </c>
      <c r="H1166" s="990" t="s">
        <v>1654</v>
      </c>
      <c r="I1166" s="832"/>
      <c r="J1166" s="997">
        <f>PI()/4*C1166^2*E1166/G1166</f>
        <v>370.00980142279786</v>
      </c>
      <c r="K1166" s="990" t="s">
        <v>1655</v>
      </c>
      <c r="L1166" s="832"/>
      <c r="M1166" s="832"/>
      <c r="N1166" s="832"/>
      <c r="O1166" s="832"/>
      <c r="P1166" s="832"/>
      <c r="Q1166" s="832"/>
      <c r="R1166" s="832"/>
      <c r="S1166" s="832"/>
      <c r="T1166" s="832"/>
    </row>
    <row r="1167" spans="1:20" x14ac:dyDescent="0.2">
      <c r="A1167" s="990" t="s">
        <v>950</v>
      </c>
      <c r="B1167" s="832"/>
      <c r="C1167" s="832"/>
      <c r="D1167" s="832"/>
      <c r="E1167" s="832"/>
      <c r="F1167" s="832"/>
      <c r="G1167" s="832"/>
      <c r="H1167" s="832"/>
      <c r="I1167" s="832"/>
      <c r="J1167" s="832"/>
      <c r="K1167" s="832"/>
      <c r="L1167" s="832"/>
      <c r="M1167" s="832"/>
      <c r="N1167" s="832"/>
      <c r="O1167" s="832"/>
      <c r="P1167" s="832"/>
      <c r="Q1167" s="832"/>
      <c r="R1167" s="832"/>
      <c r="S1167" s="832"/>
      <c r="T1167" s="832"/>
    </row>
    <row r="1168" spans="1:20" x14ac:dyDescent="0.2">
      <c r="A1168" s="990" t="s">
        <v>1656</v>
      </c>
      <c r="B1168" s="832"/>
      <c r="C1168" s="832"/>
      <c r="D1168" s="832"/>
      <c r="E1168" s="832"/>
      <c r="F1168" s="832"/>
      <c r="G1168" s="832"/>
      <c r="H1168" s="832"/>
      <c r="I1168" s="832"/>
      <c r="J1168" s="832"/>
      <c r="K1168" s="832"/>
      <c r="L1168" s="832"/>
      <c r="M1168" s="832"/>
      <c r="N1168" s="832"/>
      <c r="O1168" s="832"/>
      <c r="P1168" s="832"/>
      <c r="Q1168" s="832"/>
      <c r="R1168" s="832"/>
      <c r="S1168" s="832"/>
      <c r="T1168" s="832"/>
    </row>
    <row r="1169" spans="1:20" x14ac:dyDescent="0.2">
      <c r="A1169" s="832"/>
      <c r="B1169" s="832"/>
      <c r="C1169" s="832"/>
      <c r="D1169" s="832"/>
      <c r="E1169" s="832"/>
      <c r="F1169" s="832"/>
      <c r="G1169" s="832"/>
      <c r="H1169" s="832"/>
      <c r="I1169" s="832"/>
      <c r="J1169" s="832"/>
      <c r="K1169" s="832"/>
      <c r="L1169" s="832"/>
      <c r="M1169" s="832"/>
      <c r="N1169" s="832"/>
      <c r="O1169" s="832"/>
      <c r="P1169" s="832"/>
      <c r="Q1169" s="832"/>
      <c r="R1169" s="832"/>
      <c r="S1169" s="832"/>
      <c r="T1169" s="832"/>
    </row>
    <row r="1170" spans="1:20" x14ac:dyDescent="0.2">
      <c r="A1170" s="832"/>
      <c r="B1170" s="990" t="s">
        <v>1657</v>
      </c>
      <c r="C1170" s="832"/>
      <c r="D1170" s="832"/>
      <c r="E1170" s="832"/>
      <c r="F1170" s="832"/>
      <c r="G1170" s="832"/>
      <c r="H1170" s="832"/>
      <c r="I1170" s="832"/>
      <c r="J1170" s="832"/>
      <c r="K1170" s="832"/>
      <c r="L1170" s="832"/>
      <c r="M1170" s="832"/>
      <c r="N1170" s="832"/>
      <c r="O1170" s="832"/>
      <c r="P1170" s="832"/>
      <c r="Q1170" s="832"/>
      <c r="R1170" s="832"/>
      <c r="S1170" s="832"/>
      <c r="T1170" s="832"/>
    </row>
    <row r="1171" spans="1:20" x14ac:dyDescent="0.2">
      <c r="A1171" s="832"/>
      <c r="B1171" s="832"/>
      <c r="C1171" s="832"/>
      <c r="D1171" s="832"/>
      <c r="E1171" s="832"/>
      <c r="F1171" s="832"/>
      <c r="G1171" s="832"/>
      <c r="H1171" s="832"/>
      <c r="I1171" s="832"/>
      <c r="J1171" s="832"/>
      <c r="K1171" s="832"/>
      <c r="L1171" s="832"/>
      <c r="M1171" s="832"/>
      <c r="N1171" s="832"/>
      <c r="O1171" s="832"/>
      <c r="P1171" s="832"/>
      <c r="Q1171" s="832"/>
      <c r="R1171" s="832"/>
      <c r="S1171" s="832"/>
      <c r="T1171" s="832"/>
    </row>
    <row r="1172" spans="1:20" x14ac:dyDescent="0.2">
      <c r="A1172" s="832"/>
      <c r="B1172" s="832"/>
      <c r="C1172" s="832"/>
      <c r="D1172" s="832"/>
      <c r="E1172" s="990" t="s">
        <v>1658</v>
      </c>
      <c r="F1172" s="832"/>
      <c r="G1172" s="832"/>
      <c r="H1172" s="832"/>
      <c r="I1172" s="832"/>
      <c r="J1172" s="832"/>
      <c r="K1172" s="832"/>
      <c r="L1172" s="832"/>
      <c r="M1172" s="832"/>
      <c r="N1172" s="832"/>
      <c r="O1172" s="832"/>
      <c r="P1172" s="832"/>
      <c r="Q1172" s="832"/>
      <c r="R1172" s="832"/>
      <c r="S1172" s="832"/>
      <c r="T1172" s="832"/>
    </row>
    <row r="1173" spans="1:20" x14ac:dyDescent="0.2">
      <c r="A1173" s="832"/>
      <c r="B1173" s="990" t="s">
        <v>1659</v>
      </c>
      <c r="C1173" s="832"/>
      <c r="D1173" s="832"/>
      <c r="E1173" s="997">
        <f>I1129</f>
        <v>226.1946710584651</v>
      </c>
      <c r="F1173" s="832"/>
      <c r="G1173" s="832"/>
      <c r="H1173" s="832"/>
      <c r="I1173" s="832"/>
      <c r="J1173" s="832"/>
      <c r="K1173" s="832"/>
      <c r="L1173" s="832"/>
      <c r="M1173" s="832"/>
      <c r="N1173" s="832"/>
      <c r="O1173" s="832"/>
      <c r="P1173" s="832"/>
      <c r="Q1173" s="832"/>
      <c r="R1173" s="832"/>
      <c r="S1173" s="832"/>
      <c r="T1173" s="832"/>
    </row>
    <row r="1174" spans="1:20" x14ac:dyDescent="0.2">
      <c r="A1174" s="832"/>
      <c r="B1174" s="990" t="s">
        <v>1660</v>
      </c>
      <c r="C1174" s="832"/>
      <c r="D1174" s="832"/>
      <c r="E1174" s="997">
        <f>I1151</f>
        <v>226.1946710584651</v>
      </c>
      <c r="F1174" s="832"/>
      <c r="G1174" s="832"/>
      <c r="H1174" s="832"/>
      <c r="I1174" s="832"/>
      <c r="J1174" s="832"/>
      <c r="K1174" s="832"/>
      <c r="L1174" s="832"/>
      <c r="M1174" s="832"/>
      <c r="N1174" s="832"/>
      <c r="O1174" s="832"/>
      <c r="P1174" s="832"/>
      <c r="Q1174" s="832"/>
      <c r="R1174" s="832"/>
      <c r="S1174" s="832"/>
      <c r="T1174" s="832"/>
    </row>
    <row r="1175" spans="1:20" x14ac:dyDescent="0.2">
      <c r="A1175" s="832"/>
      <c r="B1175" s="1005" t="s">
        <v>1661</v>
      </c>
      <c r="C1175" s="1006"/>
      <c r="D1175" s="1006"/>
      <c r="E1175" s="1007">
        <f>J1166</f>
        <v>370.00980142279786</v>
      </c>
      <c r="F1175" s="832"/>
      <c r="G1175" s="832"/>
      <c r="H1175" s="832"/>
      <c r="I1175" s="832"/>
      <c r="J1175" s="832"/>
      <c r="K1175" s="832"/>
      <c r="L1175" s="832"/>
      <c r="M1175" s="832"/>
      <c r="N1175" s="832"/>
      <c r="O1175" s="832"/>
      <c r="P1175" s="832"/>
      <c r="Q1175" s="832"/>
      <c r="R1175" s="832"/>
      <c r="S1175" s="832"/>
      <c r="T1175" s="832"/>
    </row>
    <row r="1176" spans="1:20" x14ac:dyDescent="0.2">
      <c r="A1176" s="832"/>
      <c r="B1176" s="990" t="s">
        <v>475</v>
      </c>
      <c r="C1176" s="832"/>
      <c r="D1176" s="832"/>
      <c r="E1176" s="997">
        <f>SUM(E1173:E1175)</f>
        <v>822.39914353972813</v>
      </c>
      <c r="F1176" s="832"/>
      <c r="G1176" s="832"/>
      <c r="H1176" s="832"/>
      <c r="I1176" s="832"/>
      <c r="J1176" s="832"/>
      <c r="K1176" s="832"/>
      <c r="L1176" s="832"/>
      <c r="M1176" s="832"/>
      <c r="N1176" s="832"/>
      <c r="O1176" s="832"/>
      <c r="P1176" s="832"/>
      <c r="Q1176" s="832"/>
      <c r="R1176" s="832"/>
      <c r="S1176" s="832"/>
      <c r="T1176" s="832"/>
    </row>
    <row r="1177" spans="1:20" x14ac:dyDescent="0.2">
      <c r="A1177" s="832"/>
      <c r="B1177" s="832"/>
      <c r="C1177" s="832"/>
      <c r="D1177" s="832"/>
      <c r="E1177" s="832"/>
      <c r="F1177" s="832"/>
      <c r="G1177" s="832"/>
      <c r="H1177" s="832"/>
      <c r="I1177" s="832"/>
      <c r="J1177" s="832"/>
      <c r="K1177" s="832"/>
      <c r="L1177" s="832"/>
      <c r="M1177" s="832"/>
      <c r="N1177" s="832"/>
      <c r="O1177" s="832"/>
      <c r="P1177" s="832"/>
      <c r="Q1177" s="832"/>
      <c r="R1177" s="832"/>
      <c r="S1177" s="832"/>
      <c r="T1177" s="832"/>
    </row>
    <row r="1178" spans="1:20" x14ac:dyDescent="0.2">
      <c r="A1178" s="990" t="s">
        <v>986</v>
      </c>
      <c r="B1178" s="832"/>
      <c r="C1178" s="832"/>
      <c r="D1178" s="832"/>
      <c r="E1178" s="832"/>
      <c r="F1178" s="832"/>
      <c r="G1178" s="832"/>
      <c r="H1178" s="832"/>
      <c r="I1178" s="832"/>
      <c r="J1178" s="832"/>
      <c r="K1178" s="832"/>
      <c r="L1178" s="832"/>
      <c r="M1178" s="832"/>
      <c r="N1178" s="832"/>
      <c r="O1178" s="832"/>
      <c r="P1178" s="832"/>
      <c r="Q1178" s="832"/>
      <c r="R1178" s="832"/>
      <c r="S1178" s="832"/>
      <c r="T1178" s="832"/>
    </row>
    <row r="1179" spans="1:20" x14ac:dyDescent="0.2">
      <c r="A1179" s="990" t="s">
        <v>950</v>
      </c>
      <c r="B1179" s="832"/>
      <c r="C1179" s="832"/>
      <c r="D1179" s="832"/>
      <c r="E1179" s="832"/>
      <c r="F1179" s="832"/>
      <c r="G1179" s="832"/>
      <c r="H1179" s="832"/>
      <c r="I1179" s="832"/>
      <c r="J1179" s="832"/>
      <c r="K1179" s="832"/>
      <c r="L1179" s="832"/>
      <c r="M1179" s="832"/>
      <c r="N1179" s="832"/>
      <c r="O1179" s="832"/>
      <c r="P1179" s="832"/>
      <c r="Q1179" s="832"/>
      <c r="R1179" s="832"/>
      <c r="S1179" s="832"/>
      <c r="T1179" s="832"/>
    </row>
    <row r="1180" spans="1:20" x14ac:dyDescent="0.2">
      <c r="A1180" s="1044" t="s">
        <v>1662</v>
      </c>
      <c r="B1180" s="832"/>
      <c r="C1180" s="832"/>
      <c r="D1180" s="832"/>
      <c r="E1180" s="832"/>
      <c r="F1180" s="832"/>
      <c r="G1180" s="832"/>
      <c r="H1180" s="832"/>
      <c r="I1180" s="832"/>
      <c r="J1180" s="832"/>
      <c r="K1180" s="832"/>
      <c r="L1180" s="832"/>
      <c r="M1180" s="832"/>
      <c r="N1180" s="832"/>
      <c r="O1180" s="832"/>
      <c r="P1180" s="832"/>
      <c r="Q1180" s="832"/>
      <c r="R1180" s="832"/>
      <c r="S1180" s="832"/>
      <c r="T1180" s="832"/>
    </row>
    <row r="1181" spans="1:20" x14ac:dyDescent="0.2">
      <c r="A1181" s="832"/>
      <c r="B1181" s="832"/>
      <c r="C1181" s="832"/>
      <c r="D1181" s="832"/>
      <c r="E1181" s="832"/>
      <c r="F1181" s="832"/>
      <c r="G1181" s="832"/>
      <c r="H1181" s="832"/>
      <c r="I1181" s="832"/>
      <c r="J1181" s="832"/>
      <c r="K1181" s="832"/>
      <c r="L1181" s="832"/>
      <c r="M1181" s="832"/>
      <c r="N1181" s="832"/>
      <c r="O1181" s="832"/>
      <c r="P1181" s="832"/>
      <c r="Q1181" s="832"/>
      <c r="R1181" s="832"/>
      <c r="S1181" s="832"/>
      <c r="T1181" s="832"/>
    </row>
    <row r="1182" spans="1:20" x14ac:dyDescent="0.2">
      <c r="A1182" s="990" t="s">
        <v>950</v>
      </c>
      <c r="B1182" s="832"/>
      <c r="C1182" s="832"/>
      <c r="D1182" s="832"/>
      <c r="E1182" s="832"/>
      <c r="F1182" s="832"/>
      <c r="G1182" s="832"/>
      <c r="H1182" s="832"/>
      <c r="I1182" s="832"/>
      <c r="J1182" s="832"/>
      <c r="K1182" s="832"/>
      <c r="L1182" s="832"/>
      <c r="M1182" s="832"/>
      <c r="N1182" s="832"/>
      <c r="O1182" s="832"/>
      <c r="P1182" s="832"/>
      <c r="Q1182" s="832"/>
      <c r="R1182" s="832"/>
      <c r="S1182" s="832"/>
      <c r="T1182" s="832"/>
    </row>
    <row r="1183" spans="1:20" x14ac:dyDescent="0.2">
      <c r="A1183" s="990" t="s">
        <v>54</v>
      </c>
      <c r="B1183" s="832"/>
      <c r="C1183" s="832"/>
      <c r="D1183" s="832"/>
      <c r="E1183" s="832"/>
      <c r="F1183" s="832"/>
      <c r="G1183" s="832"/>
      <c r="H1183" s="832"/>
      <c r="I1183" s="832"/>
      <c r="J1183" s="832"/>
      <c r="K1183" s="832"/>
      <c r="L1183" s="832"/>
      <c r="M1183" s="832"/>
      <c r="N1183" s="832"/>
      <c r="O1183" s="832"/>
      <c r="P1183" s="832"/>
      <c r="Q1183" s="832"/>
      <c r="R1183" s="832"/>
      <c r="S1183" s="832"/>
      <c r="T1183" s="832"/>
    </row>
    <row r="1184" spans="1:20" x14ac:dyDescent="0.2">
      <c r="A1184" s="832"/>
      <c r="B1184" s="832"/>
      <c r="C1184" s="832"/>
      <c r="D1184" s="832"/>
      <c r="E1184" s="832"/>
      <c r="F1184" s="832"/>
      <c r="G1184" s="832"/>
      <c r="H1184" s="832"/>
      <c r="I1184" s="832"/>
      <c r="J1184" s="832"/>
      <c r="K1184" s="832"/>
      <c r="L1184" s="832"/>
      <c r="M1184" s="832"/>
      <c r="N1184" s="832"/>
      <c r="O1184" s="832"/>
      <c r="P1184" s="832"/>
      <c r="Q1184" s="832"/>
      <c r="R1184" s="832"/>
      <c r="S1184" s="832"/>
      <c r="T1184" s="832"/>
    </row>
    <row r="1185" spans="1:20" x14ac:dyDescent="0.2">
      <c r="A1185" s="832"/>
      <c r="B1185" s="990" t="s">
        <v>1663</v>
      </c>
      <c r="C1185" s="832"/>
      <c r="D1185" s="832"/>
      <c r="E1185" s="832"/>
      <c r="F1185" s="832"/>
      <c r="G1185" s="832"/>
      <c r="H1185" s="832"/>
      <c r="I1185" s="832"/>
      <c r="J1185" s="832"/>
      <c r="K1185" s="832"/>
      <c r="L1185" s="832"/>
      <c r="M1185" s="832"/>
      <c r="N1185" s="832"/>
      <c r="O1185" s="832"/>
      <c r="P1185" s="832"/>
      <c r="Q1185" s="832"/>
      <c r="R1185" s="832"/>
      <c r="S1185" s="832"/>
      <c r="T1185" s="832"/>
    </row>
    <row r="1186" spans="1:20" x14ac:dyDescent="0.2">
      <c r="A1186" s="832"/>
      <c r="B1186" s="832"/>
      <c r="C1186" s="990" t="s">
        <v>1485</v>
      </c>
      <c r="D1186" s="994">
        <f>E40/1000</f>
        <v>0.35</v>
      </c>
      <c r="E1186" s="990" t="s">
        <v>1012</v>
      </c>
      <c r="F1186" s="994">
        <f>E10</f>
        <v>23.6</v>
      </c>
      <c r="G1186" s="990" t="s">
        <v>55</v>
      </c>
      <c r="H1186" s="994">
        <f>D1186*F1186</f>
        <v>8.26</v>
      </c>
      <c r="I1186" s="990" t="s">
        <v>35</v>
      </c>
      <c r="J1186" s="832"/>
      <c r="K1186" s="832"/>
      <c r="L1186" s="832"/>
      <c r="M1186" s="832"/>
      <c r="N1186" s="832"/>
      <c r="O1186" s="832"/>
      <c r="P1186" s="832"/>
      <c r="Q1186" s="832"/>
      <c r="R1186" s="832"/>
      <c r="S1186" s="832"/>
      <c r="T1186" s="832"/>
    </row>
    <row r="1187" spans="1:20" x14ac:dyDescent="0.2">
      <c r="A1187" s="832"/>
      <c r="B1187" s="832"/>
      <c r="C1187" s="832"/>
      <c r="D1187" s="832"/>
      <c r="E1187" s="832"/>
      <c r="F1187" s="832"/>
      <c r="G1187" s="832"/>
      <c r="H1187" s="832"/>
      <c r="I1187" s="832"/>
      <c r="J1187" s="832"/>
      <c r="K1187" s="832"/>
      <c r="L1187" s="832"/>
      <c r="M1187" s="832"/>
      <c r="N1187" s="832"/>
      <c r="O1187" s="832"/>
      <c r="P1187" s="832"/>
      <c r="Q1187" s="832"/>
      <c r="R1187" s="832"/>
      <c r="S1187" s="832"/>
      <c r="T1187" s="832"/>
    </row>
    <row r="1188" spans="1:20" x14ac:dyDescent="0.2">
      <c r="A1188" s="832"/>
      <c r="B1188" s="990" t="s">
        <v>1664</v>
      </c>
      <c r="C1188" s="832"/>
      <c r="D1188" s="832"/>
      <c r="E1188" s="832"/>
      <c r="F1188" s="832"/>
      <c r="G1188" s="832"/>
      <c r="H1188" s="994">
        <f>E16</f>
        <v>7.18</v>
      </c>
      <c r="I1188" s="990" t="s">
        <v>35</v>
      </c>
      <c r="J1188" s="832"/>
      <c r="K1188" s="832"/>
      <c r="L1188" s="832"/>
      <c r="M1188" s="832"/>
      <c r="N1188" s="832"/>
      <c r="O1188" s="832"/>
      <c r="P1188" s="832"/>
      <c r="Q1188" s="832"/>
      <c r="R1188" s="832"/>
      <c r="S1188" s="832"/>
      <c r="T1188" s="832"/>
    </row>
    <row r="1189" spans="1:20" x14ac:dyDescent="0.2">
      <c r="A1189" s="832"/>
      <c r="B1189" s="990" t="s">
        <v>1665</v>
      </c>
      <c r="C1189" s="832"/>
      <c r="D1189" s="832"/>
      <c r="E1189" s="832"/>
      <c r="F1189" s="832"/>
      <c r="G1189" s="990" t="s">
        <v>55</v>
      </c>
      <c r="H1189" s="994">
        <f>H1186+H1188</f>
        <v>15.44</v>
      </c>
      <c r="I1189" s="990" t="s">
        <v>35</v>
      </c>
      <c r="J1189" s="832"/>
      <c r="K1189" s="832"/>
      <c r="L1189" s="832"/>
      <c r="M1189" s="832"/>
      <c r="N1189" s="832"/>
      <c r="O1189" s="832"/>
      <c r="P1189" s="832"/>
      <c r="Q1189" s="832"/>
      <c r="R1189" s="832"/>
      <c r="S1189" s="832"/>
      <c r="T1189" s="832"/>
    </row>
    <row r="1190" spans="1:20" x14ac:dyDescent="0.2">
      <c r="A1190" s="832"/>
      <c r="B1190" s="832"/>
      <c r="C1190" s="832"/>
      <c r="D1190" s="832"/>
      <c r="E1190" s="832"/>
      <c r="F1190" s="832"/>
      <c r="G1190" s="832"/>
      <c r="H1190" s="832"/>
      <c r="I1190" s="832"/>
      <c r="J1190" s="832"/>
      <c r="K1190" s="832"/>
      <c r="L1190" s="832"/>
      <c r="M1190" s="832"/>
      <c r="N1190" s="832"/>
      <c r="O1190" s="832"/>
      <c r="P1190" s="832"/>
      <c r="Q1190" s="832"/>
      <c r="R1190" s="832"/>
      <c r="S1190" s="832"/>
      <c r="T1190" s="832"/>
    </row>
    <row r="1191" spans="1:20" x14ac:dyDescent="0.2">
      <c r="A1191" s="832"/>
      <c r="B1191" s="990" t="s">
        <v>1486</v>
      </c>
      <c r="C1191" s="832"/>
      <c r="D1191" s="832"/>
      <c r="E1191" s="832"/>
      <c r="F1191" s="832"/>
      <c r="G1191" s="832"/>
      <c r="H1191" s="832"/>
      <c r="I1191" s="832"/>
      <c r="J1191" s="832"/>
      <c r="K1191" s="832"/>
      <c r="L1191" s="832"/>
      <c r="M1191" s="832"/>
      <c r="N1191" s="832"/>
      <c r="O1191" s="832"/>
      <c r="P1191" s="832"/>
      <c r="Q1191" s="832"/>
      <c r="R1191" s="832"/>
      <c r="S1191" s="832"/>
      <c r="T1191" s="832"/>
    </row>
    <row r="1192" spans="1:20" x14ac:dyDescent="0.2">
      <c r="A1192" s="832"/>
      <c r="B1192" s="990" t="s">
        <v>1487</v>
      </c>
      <c r="C1192" s="832"/>
      <c r="D1192" s="832"/>
      <c r="E1192" s="832"/>
      <c r="F1192" s="832"/>
      <c r="G1192" s="832"/>
      <c r="H1192" s="832"/>
      <c r="I1192" s="832"/>
      <c r="J1192" s="832"/>
      <c r="K1192" s="832"/>
      <c r="L1192" s="832"/>
      <c r="M1192" s="832"/>
      <c r="N1192" s="832"/>
      <c r="O1192" s="832"/>
      <c r="P1192" s="832"/>
      <c r="Q1192" s="832"/>
      <c r="R1192" s="832"/>
      <c r="S1192" s="832"/>
      <c r="T1192" s="832"/>
    </row>
    <row r="1193" spans="1:20" x14ac:dyDescent="0.2">
      <c r="A1193" s="832"/>
      <c r="B1193" s="990" t="s">
        <v>1488</v>
      </c>
      <c r="C1193" s="832"/>
      <c r="D1193" s="832"/>
      <c r="E1193" s="832"/>
      <c r="F1193" s="832"/>
      <c r="G1193" s="832"/>
      <c r="H1193" s="832"/>
      <c r="I1193" s="832"/>
      <c r="J1193" s="832"/>
      <c r="K1193" s="832"/>
      <c r="L1193" s="832"/>
      <c r="M1193" s="832"/>
      <c r="N1193" s="832"/>
      <c r="O1193" s="832"/>
      <c r="P1193" s="832"/>
      <c r="Q1193" s="832"/>
      <c r="R1193" s="832"/>
      <c r="S1193" s="832"/>
      <c r="T1193" s="832"/>
    </row>
    <row r="1194" spans="1:20" x14ac:dyDescent="0.2">
      <c r="A1194" s="832"/>
      <c r="B1194" s="832"/>
      <c r="C1194" s="832"/>
      <c r="D1194" s="832"/>
      <c r="E1194" s="832"/>
      <c r="F1194" s="832"/>
      <c r="G1194" s="832"/>
      <c r="H1194" s="832"/>
      <c r="I1194" s="832"/>
      <c r="J1194" s="832"/>
      <c r="K1194" s="832"/>
      <c r="L1194" s="832"/>
      <c r="M1194" s="832"/>
      <c r="N1194" s="832"/>
      <c r="O1194" s="832"/>
      <c r="P1194" s="832"/>
      <c r="Q1194" s="832"/>
      <c r="R1194" s="832"/>
      <c r="S1194" s="832"/>
      <c r="T1194" s="832"/>
    </row>
    <row r="1195" spans="1:20" x14ac:dyDescent="0.2">
      <c r="A1195" s="832"/>
      <c r="B1195" s="990" t="s">
        <v>1489</v>
      </c>
      <c r="C1195" s="832"/>
      <c r="D1195" s="832"/>
      <c r="E1195" s="832"/>
      <c r="F1195" s="832"/>
      <c r="G1195" s="832"/>
      <c r="H1195" s="832"/>
      <c r="I1195" s="832"/>
      <c r="J1195" s="832"/>
      <c r="K1195" s="832"/>
      <c r="L1195" s="832"/>
      <c r="M1195" s="832"/>
      <c r="N1195" s="832"/>
      <c r="O1195" s="832"/>
      <c r="P1195" s="832"/>
      <c r="Q1195" s="832"/>
      <c r="R1195" s="832"/>
      <c r="S1195" s="832"/>
      <c r="T1195" s="832"/>
    </row>
    <row r="1196" spans="1:20" x14ac:dyDescent="0.2">
      <c r="A1196" s="832"/>
      <c r="B1196" s="990" t="s">
        <v>1490</v>
      </c>
      <c r="C1196" s="832"/>
      <c r="D1196" s="832"/>
      <c r="E1196" s="832"/>
      <c r="F1196" s="832"/>
      <c r="G1196" s="832"/>
      <c r="H1196" s="832"/>
      <c r="I1196" s="832"/>
      <c r="J1196" s="832"/>
      <c r="K1196" s="832"/>
      <c r="L1196" s="832"/>
      <c r="M1196" s="832"/>
      <c r="N1196" s="832"/>
      <c r="O1196" s="832"/>
      <c r="P1196" s="832"/>
      <c r="Q1196" s="832"/>
      <c r="R1196" s="832"/>
      <c r="S1196" s="832"/>
      <c r="T1196" s="832"/>
    </row>
    <row r="1197" spans="1:20" x14ac:dyDescent="0.2">
      <c r="A1197" s="832"/>
      <c r="B1197" s="832"/>
      <c r="C1197" s="832"/>
      <c r="D1197" s="832"/>
      <c r="E1197" s="832"/>
      <c r="F1197" s="832"/>
      <c r="G1197" s="832"/>
      <c r="H1197" s="832"/>
      <c r="I1197" s="832"/>
      <c r="J1197" s="832"/>
      <c r="K1197" s="832"/>
      <c r="L1197" s="832"/>
      <c r="M1197" s="832"/>
      <c r="N1197" s="832"/>
      <c r="O1197" s="832"/>
      <c r="P1197" s="832"/>
      <c r="Q1197" s="832"/>
      <c r="R1197" s="832"/>
      <c r="S1197" s="832"/>
      <c r="T1197" s="832"/>
    </row>
    <row r="1198" spans="1:20" x14ac:dyDescent="0.2">
      <c r="A1198" s="832"/>
      <c r="B1198" s="990" t="s">
        <v>1491</v>
      </c>
      <c r="C1198" s="832"/>
      <c r="D1198" s="832"/>
      <c r="E1198" s="832"/>
      <c r="F1198" s="832"/>
      <c r="G1198" s="832"/>
      <c r="H1198" s="832"/>
      <c r="I1198" s="832"/>
      <c r="J1198" s="832"/>
      <c r="K1198" s="832"/>
      <c r="L1198" s="832"/>
      <c r="M1198" s="832"/>
      <c r="N1198" s="832"/>
      <c r="O1198" s="832"/>
      <c r="P1198" s="832"/>
      <c r="Q1198" s="832"/>
      <c r="R1198" s="832"/>
      <c r="S1198" s="832"/>
      <c r="T1198" s="832"/>
    </row>
    <row r="1199" spans="1:20" x14ac:dyDescent="0.2">
      <c r="A1199" s="832"/>
      <c r="B1199" s="1028"/>
      <c r="C1199" s="1028"/>
      <c r="D1199" s="1028" t="s">
        <v>2219</v>
      </c>
      <c r="E1199" s="1028" t="s">
        <v>1824</v>
      </c>
      <c r="F1199" s="1028" t="s">
        <v>1823</v>
      </c>
      <c r="G1199" s="832"/>
      <c r="H1199" s="832"/>
      <c r="I1199" s="832"/>
      <c r="J1199" s="832"/>
      <c r="K1199" s="832"/>
      <c r="L1199" s="832"/>
      <c r="M1199" s="832"/>
      <c r="N1199" s="832"/>
      <c r="O1199" s="832"/>
      <c r="P1199" s="832"/>
      <c r="Q1199" s="832"/>
      <c r="R1199" s="832"/>
      <c r="S1199" s="832"/>
      <c r="T1199" s="832"/>
    </row>
    <row r="1200" spans="1:20" x14ac:dyDescent="0.2">
      <c r="A1200" s="832"/>
      <c r="B1200" s="990" t="s">
        <v>1492</v>
      </c>
      <c r="C1200" s="832"/>
      <c r="D1200" s="832"/>
      <c r="E1200" s="832"/>
      <c r="F1200" s="832"/>
      <c r="G1200" s="832"/>
      <c r="H1200" s="832"/>
      <c r="I1200" s="832"/>
      <c r="J1200" s="832"/>
      <c r="K1200" s="832"/>
      <c r="L1200" s="832"/>
      <c r="M1200" s="832"/>
      <c r="N1200" s="832"/>
      <c r="O1200" s="832"/>
      <c r="P1200" s="832"/>
      <c r="Q1200" s="832"/>
      <c r="R1200" s="832"/>
      <c r="S1200" s="832"/>
      <c r="T1200" s="832"/>
    </row>
    <row r="1201" spans="1:20" x14ac:dyDescent="0.2">
      <c r="A1201" s="832"/>
      <c r="B1201" s="990" t="s">
        <v>1494</v>
      </c>
      <c r="C1201" s="832"/>
      <c r="D1201" s="998">
        <f t="shared" ref="D1201:F1202" si="4">D196</f>
        <v>7.1428571428571425E-2</v>
      </c>
      <c r="E1201" s="998">
        <f t="shared" si="4"/>
        <v>7.1428571428571425E-2</v>
      </c>
      <c r="F1201" s="998">
        <f t="shared" si="4"/>
        <v>7.1428571428571425E-2</v>
      </c>
      <c r="G1201" s="832"/>
      <c r="H1201" s="832"/>
      <c r="I1201" s="832"/>
      <c r="J1201" s="832"/>
      <c r="K1201" s="832"/>
      <c r="L1201" s="832"/>
      <c r="M1201" s="832"/>
      <c r="N1201" s="832"/>
      <c r="O1201" s="832"/>
      <c r="P1201" s="832"/>
      <c r="Q1201" s="832"/>
      <c r="R1201" s="832"/>
      <c r="S1201" s="832"/>
      <c r="T1201" s="832"/>
    </row>
    <row r="1202" spans="1:20" x14ac:dyDescent="0.2">
      <c r="A1202" s="832"/>
      <c r="B1202" s="990" t="s">
        <v>1493</v>
      </c>
      <c r="C1202" s="832"/>
      <c r="D1202" s="998">
        <f t="shared" si="4"/>
        <v>6.25E-2</v>
      </c>
      <c r="E1202" s="998">
        <f t="shared" si="4"/>
        <v>0.1111111111111111</v>
      </c>
      <c r="F1202" s="998">
        <f t="shared" si="4"/>
        <v>0.1</v>
      </c>
      <c r="G1202" s="832"/>
      <c r="H1202" s="832"/>
      <c r="I1202" s="832"/>
      <c r="J1202" s="832"/>
      <c r="K1202" s="832"/>
      <c r="L1202" s="832"/>
      <c r="M1202" s="832"/>
      <c r="N1202" s="832"/>
      <c r="O1202" s="832"/>
      <c r="P1202" s="832"/>
      <c r="Q1202" s="832"/>
      <c r="R1202" s="832"/>
      <c r="S1202" s="832"/>
      <c r="T1202" s="832"/>
    </row>
    <row r="1203" spans="1:20" x14ac:dyDescent="0.2">
      <c r="A1203" s="832"/>
      <c r="B1203" s="832"/>
      <c r="C1203" s="832"/>
      <c r="D1203" s="998"/>
      <c r="E1203" s="998"/>
      <c r="F1203" s="998"/>
      <c r="G1203" s="832"/>
      <c r="H1203" s="832"/>
      <c r="I1203" s="832"/>
      <c r="J1203" s="832"/>
      <c r="K1203" s="832"/>
      <c r="L1203" s="832"/>
      <c r="M1203" s="832"/>
      <c r="N1203" s="832"/>
      <c r="O1203" s="832"/>
      <c r="P1203" s="832"/>
      <c r="Q1203" s="832"/>
      <c r="R1203" s="832"/>
      <c r="S1203" s="832"/>
      <c r="T1203" s="832"/>
    </row>
    <row r="1204" spans="1:20" x14ac:dyDescent="0.2">
      <c r="A1204" s="832"/>
      <c r="B1204" s="990" t="s">
        <v>1495</v>
      </c>
      <c r="C1204" s="832"/>
      <c r="D1204" s="998">
        <f>D199</f>
        <v>1.1499999999999999</v>
      </c>
      <c r="E1204" s="998">
        <f>E199</f>
        <v>1.1499999999999999</v>
      </c>
      <c r="F1204" s="998">
        <f>F199</f>
        <v>1.1499999999999999</v>
      </c>
      <c r="G1204" s="832"/>
      <c r="H1204" s="832"/>
      <c r="I1204" s="832"/>
      <c r="J1204" s="832"/>
      <c r="K1204" s="832"/>
      <c r="L1204" s="832"/>
      <c r="M1204" s="832"/>
      <c r="N1204" s="832"/>
      <c r="O1204" s="832"/>
      <c r="P1204" s="832"/>
      <c r="Q1204" s="832"/>
      <c r="R1204" s="832"/>
      <c r="S1204" s="832"/>
      <c r="T1204" s="832"/>
    </row>
    <row r="1205" spans="1:20" x14ac:dyDescent="0.2">
      <c r="A1205" s="832"/>
      <c r="B1205" s="995"/>
      <c r="C1205" s="995"/>
      <c r="D1205" s="995"/>
      <c r="E1205" s="995"/>
      <c r="F1205" s="995"/>
      <c r="G1205" s="832"/>
      <c r="H1205" s="832"/>
      <c r="I1205" s="832"/>
      <c r="J1205" s="832"/>
      <c r="K1205" s="832"/>
      <c r="L1205" s="832"/>
      <c r="M1205" s="832"/>
      <c r="N1205" s="832"/>
      <c r="O1205" s="832"/>
      <c r="P1205" s="832"/>
      <c r="Q1205" s="832"/>
      <c r="R1205" s="832"/>
      <c r="S1205" s="832"/>
      <c r="T1205" s="832"/>
    </row>
    <row r="1206" spans="1:20" x14ac:dyDescent="0.2">
      <c r="A1206" s="832"/>
      <c r="B1206" s="990" t="s">
        <v>1496</v>
      </c>
      <c r="C1206" s="832"/>
      <c r="D1206" s="832"/>
      <c r="E1206" s="832"/>
      <c r="F1206" s="994">
        <f>E44</f>
        <v>1.5</v>
      </c>
      <c r="G1206" s="990" t="s">
        <v>24</v>
      </c>
      <c r="H1206" s="832"/>
      <c r="I1206" s="832"/>
      <c r="J1206" s="832"/>
      <c r="K1206" s="832"/>
      <c r="L1206" s="832"/>
      <c r="M1206" s="832"/>
      <c r="N1206" s="832"/>
      <c r="O1206" s="832"/>
      <c r="P1206" s="832"/>
      <c r="Q1206" s="832"/>
      <c r="R1206" s="832"/>
      <c r="S1206" s="832"/>
      <c r="T1206" s="832"/>
    </row>
    <row r="1207" spans="1:20" x14ac:dyDescent="0.2">
      <c r="A1207" s="832"/>
      <c r="B1207" s="990" t="s">
        <v>1497</v>
      </c>
      <c r="C1207" s="832"/>
      <c r="D1207" s="997">
        <f>E42</f>
        <v>1</v>
      </c>
      <c r="E1207" s="832"/>
      <c r="F1207" s="832"/>
      <c r="G1207" s="832"/>
      <c r="H1207" s="832"/>
      <c r="I1207" s="832"/>
      <c r="J1207" s="832"/>
      <c r="K1207" s="832"/>
      <c r="L1207" s="832"/>
      <c r="M1207" s="832"/>
      <c r="N1207" s="832"/>
      <c r="O1207" s="832"/>
      <c r="P1207" s="832"/>
      <c r="Q1207" s="832"/>
      <c r="R1207" s="832"/>
      <c r="S1207" s="832"/>
      <c r="T1207" s="832"/>
    </row>
    <row r="1208" spans="1:20" x14ac:dyDescent="0.2">
      <c r="A1208" s="832"/>
      <c r="B1208" s="832"/>
      <c r="C1208" s="832"/>
      <c r="D1208" s="832"/>
      <c r="E1208" s="832"/>
      <c r="F1208" s="832"/>
      <c r="G1208" s="832"/>
      <c r="H1208" s="832"/>
      <c r="I1208" s="832"/>
      <c r="J1208" s="832"/>
      <c r="K1208" s="832"/>
      <c r="L1208" s="832"/>
      <c r="M1208" s="832"/>
      <c r="N1208" s="832"/>
      <c r="O1208" s="832"/>
      <c r="P1208" s="832"/>
      <c r="Q1208" s="832"/>
      <c r="R1208" s="832"/>
      <c r="S1208" s="832"/>
      <c r="T1208" s="832"/>
    </row>
    <row r="1209" spans="1:20" x14ac:dyDescent="0.2">
      <c r="A1209" s="832"/>
      <c r="B1209" s="990" t="s">
        <v>1499</v>
      </c>
      <c r="C1209" s="832"/>
      <c r="D1209" s="832"/>
      <c r="E1209" s="994">
        <f>IF($D$1207=1,D1201*$H$1189*$F$1206^2,IF($D$1207=2,E1201*$H$1189*$F$1206^2,F1201*$H$1189*$F$1206^2))</f>
        <v>2.4814285714285713</v>
      </c>
      <c r="F1209" s="990" t="s">
        <v>58</v>
      </c>
      <c r="G1209" s="832"/>
      <c r="H1209" s="832"/>
      <c r="I1209" s="832"/>
      <c r="J1209" s="832"/>
      <c r="K1209" s="832"/>
      <c r="L1209" s="832"/>
      <c r="M1209" s="832"/>
      <c r="N1209" s="832"/>
      <c r="O1209" s="832"/>
      <c r="P1209" s="832"/>
      <c r="Q1209" s="832"/>
      <c r="R1209" s="832"/>
      <c r="S1209" s="832"/>
      <c r="T1209" s="832"/>
    </row>
    <row r="1210" spans="1:20" x14ac:dyDescent="0.2">
      <c r="A1210" s="832"/>
      <c r="B1210" s="990" t="s">
        <v>1498</v>
      </c>
      <c r="C1210" s="832"/>
      <c r="D1210" s="832"/>
      <c r="E1210" s="994">
        <f>IF($D$1207=1,D1202*$H$1189*$F$1206^2,IF($D$1207=2,E1202*$H$1189*$F$1206^2,F1202*$H$1189*$F$1206^2))</f>
        <v>2.1712500000000001</v>
      </c>
      <c r="F1210" s="990" t="s">
        <v>58</v>
      </c>
      <c r="G1210" s="832"/>
      <c r="H1210" s="832"/>
      <c r="I1210" s="832"/>
      <c r="J1210" s="832"/>
      <c r="K1210" s="832"/>
      <c r="L1210" s="832"/>
      <c r="M1210" s="832"/>
      <c r="N1210" s="832"/>
      <c r="O1210" s="832"/>
      <c r="P1210" s="832"/>
      <c r="Q1210" s="832"/>
      <c r="R1210" s="832"/>
      <c r="S1210" s="832"/>
      <c r="T1210" s="832"/>
    </row>
    <row r="1211" spans="1:20" x14ac:dyDescent="0.2">
      <c r="A1211" s="832"/>
      <c r="B1211" s="832"/>
      <c r="C1211" s="832"/>
      <c r="D1211" s="832"/>
      <c r="E1211" s="832"/>
      <c r="F1211" s="832"/>
      <c r="G1211" s="832"/>
      <c r="H1211" s="832"/>
      <c r="I1211" s="832"/>
      <c r="J1211" s="832"/>
      <c r="K1211" s="832"/>
      <c r="L1211" s="832"/>
      <c r="M1211" s="832"/>
      <c r="N1211" s="832"/>
      <c r="O1211" s="832"/>
      <c r="P1211" s="832"/>
      <c r="Q1211" s="832"/>
      <c r="R1211" s="832"/>
      <c r="S1211" s="832"/>
      <c r="T1211" s="832"/>
    </row>
    <row r="1212" spans="1:20" x14ac:dyDescent="0.2">
      <c r="A1212" s="832"/>
      <c r="B1212" s="990" t="s">
        <v>1500</v>
      </c>
      <c r="C1212" s="832"/>
      <c r="D1212" s="832"/>
      <c r="E1212" s="994">
        <f>IF($D$1207=1,D1204*$H$1189*$F$1206/2,IF($D$1207=2,E1204*$H$1189*$F$1206/2,F1204*$H$1189*$F$1206/2))</f>
        <v>13.316999999999997</v>
      </c>
      <c r="F1212" s="990" t="s">
        <v>57</v>
      </c>
      <c r="G1212" s="832"/>
      <c r="H1212" s="832"/>
      <c r="I1212" s="832"/>
      <c r="J1212" s="832"/>
      <c r="K1212" s="832"/>
      <c r="L1212" s="832"/>
      <c r="M1212" s="832"/>
      <c r="N1212" s="832"/>
      <c r="O1212" s="832"/>
      <c r="P1212" s="832"/>
      <c r="Q1212" s="832"/>
      <c r="R1212" s="832"/>
      <c r="S1212" s="832"/>
      <c r="T1212" s="832"/>
    </row>
    <row r="1213" spans="1:20" x14ac:dyDescent="0.2">
      <c r="A1213" s="832"/>
      <c r="B1213" s="832"/>
      <c r="C1213" s="832"/>
      <c r="D1213" s="832"/>
      <c r="E1213" s="832"/>
      <c r="F1213" s="832"/>
      <c r="G1213" s="832"/>
      <c r="H1213" s="832"/>
      <c r="I1213" s="832"/>
      <c r="J1213" s="832"/>
      <c r="K1213" s="832"/>
      <c r="L1213" s="832"/>
      <c r="M1213" s="832"/>
      <c r="N1213" s="832"/>
      <c r="O1213" s="832"/>
      <c r="P1213" s="832"/>
      <c r="Q1213" s="832"/>
      <c r="R1213" s="832"/>
      <c r="S1213" s="832"/>
      <c r="T1213" s="832"/>
    </row>
    <row r="1214" spans="1:20" x14ac:dyDescent="0.2">
      <c r="A1214" s="990" t="s">
        <v>950</v>
      </c>
      <c r="B1214" s="832"/>
      <c r="C1214" s="832"/>
      <c r="D1214" s="832"/>
      <c r="E1214" s="832"/>
      <c r="F1214" s="832"/>
      <c r="G1214" s="832"/>
      <c r="H1214" s="832"/>
      <c r="I1214" s="832"/>
      <c r="J1214" s="832"/>
      <c r="K1214" s="832"/>
      <c r="L1214" s="832"/>
      <c r="M1214" s="832"/>
      <c r="N1214" s="832"/>
      <c r="O1214" s="832"/>
      <c r="P1214" s="832"/>
      <c r="Q1214" s="832"/>
      <c r="R1214" s="832"/>
      <c r="S1214" s="832"/>
      <c r="T1214" s="832"/>
    </row>
    <row r="1215" spans="1:20" x14ac:dyDescent="0.2">
      <c r="A1215" s="990" t="s">
        <v>59</v>
      </c>
      <c r="B1215" s="832"/>
      <c r="C1215" s="832"/>
      <c r="D1215" s="832"/>
      <c r="E1215" s="832"/>
      <c r="F1215" s="832"/>
      <c r="G1215" s="832"/>
      <c r="H1215" s="832"/>
      <c r="I1215" s="832"/>
      <c r="J1215" s="832"/>
      <c r="K1215" s="832"/>
      <c r="L1215" s="832"/>
      <c r="M1215" s="832"/>
      <c r="N1215" s="832"/>
      <c r="O1215" s="832"/>
      <c r="P1215" s="832"/>
      <c r="Q1215" s="832"/>
      <c r="R1215" s="832"/>
      <c r="S1215" s="832"/>
      <c r="T1215" s="832"/>
    </row>
    <row r="1216" spans="1:20" x14ac:dyDescent="0.2">
      <c r="A1216" s="832"/>
      <c r="B1216" s="832"/>
      <c r="C1216" s="832"/>
      <c r="D1216" s="832"/>
      <c r="E1216" s="832"/>
      <c r="F1216" s="832"/>
      <c r="G1216" s="832"/>
      <c r="H1216" s="832"/>
      <c r="I1216" s="832"/>
      <c r="J1216" s="832"/>
      <c r="K1216" s="832"/>
      <c r="L1216" s="832"/>
      <c r="M1216" s="832"/>
      <c r="N1216" s="832"/>
      <c r="O1216" s="832"/>
      <c r="P1216" s="832"/>
      <c r="Q1216" s="832"/>
      <c r="R1216" s="832"/>
      <c r="S1216" s="832"/>
      <c r="T1216" s="832"/>
    </row>
    <row r="1217" spans="1:20" x14ac:dyDescent="0.2">
      <c r="A1217" s="832"/>
      <c r="B1217" s="990" t="s">
        <v>499</v>
      </c>
      <c r="C1217" s="832"/>
      <c r="D1217" s="832"/>
      <c r="E1217" s="832"/>
      <c r="F1217" s="832"/>
      <c r="G1217" s="832"/>
      <c r="H1217" s="832"/>
      <c r="I1217" s="832"/>
      <c r="J1217" s="832"/>
      <c r="K1217" s="832"/>
      <c r="L1217" s="832"/>
      <c r="M1217" s="832"/>
      <c r="N1217" s="832"/>
      <c r="O1217" s="832"/>
      <c r="P1217" s="832"/>
      <c r="Q1217" s="832"/>
      <c r="R1217" s="832"/>
      <c r="S1217" s="832"/>
      <c r="T1217" s="832"/>
    </row>
    <row r="1218" spans="1:20" x14ac:dyDescent="0.2">
      <c r="A1218" s="832"/>
      <c r="B1218" s="832"/>
      <c r="C1218" s="832"/>
      <c r="D1218" s="832"/>
      <c r="E1218" s="832"/>
      <c r="F1218" s="832"/>
      <c r="G1218" s="832"/>
      <c r="H1218" s="832"/>
      <c r="I1218" s="832"/>
      <c r="J1218" s="832"/>
      <c r="K1218" s="832"/>
      <c r="L1218" s="832"/>
      <c r="M1218" s="832"/>
      <c r="N1218" s="832"/>
      <c r="O1218" s="832"/>
      <c r="P1218" s="832"/>
      <c r="Q1218" s="832"/>
      <c r="R1218" s="832"/>
      <c r="S1218" s="832"/>
      <c r="T1218" s="832"/>
    </row>
    <row r="1219" spans="1:20" x14ac:dyDescent="0.2">
      <c r="A1219" s="832"/>
      <c r="B1219" s="990" t="s">
        <v>1150</v>
      </c>
      <c r="C1219" s="832"/>
      <c r="D1219" s="832"/>
      <c r="E1219" s="832"/>
      <c r="F1219" s="832"/>
      <c r="G1219" s="832"/>
      <c r="H1219" s="832"/>
      <c r="I1219" s="832"/>
      <c r="J1219" s="832"/>
      <c r="K1219" s="832"/>
      <c r="L1219" s="832"/>
      <c r="M1219" s="832"/>
      <c r="N1219" s="832"/>
      <c r="O1219" s="832"/>
      <c r="P1219" s="832"/>
      <c r="Q1219" s="832"/>
      <c r="R1219" s="832"/>
      <c r="S1219" s="832"/>
      <c r="T1219" s="832"/>
    </row>
    <row r="1220" spans="1:20" x14ac:dyDescent="0.2">
      <c r="A1220" s="832"/>
      <c r="B1220" s="990" t="s">
        <v>500</v>
      </c>
      <c r="C1220" s="832"/>
      <c r="D1220" s="832"/>
      <c r="E1220" s="994">
        <f>MAX(E1209:E1210)</f>
        <v>2.4814285714285713</v>
      </c>
      <c r="F1220" s="990" t="s">
        <v>58</v>
      </c>
      <c r="G1220" s="832"/>
      <c r="H1220" s="832"/>
      <c r="I1220" s="832"/>
      <c r="J1220" s="832"/>
      <c r="K1220" s="832"/>
      <c r="L1220" s="832"/>
      <c r="M1220" s="832"/>
      <c r="N1220" s="832"/>
      <c r="O1220" s="832"/>
      <c r="P1220" s="832"/>
      <c r="Q1220" s="832"/>
      <c r="R1220" s="832"/>
      <c r="S1220" s="832"/>
      <c r="T1220" s="832"/>
    </row>
    <row r="1221" spans="1:20" x14ac:dyDescent="0.2">
      <c r="A1221" s="832"/>
      <c r="B1221" s="990" t="s">
        <v>1151</v>
      </c>
      <c r="C1221" s="832"/>
      <c r="D1221" s="832"/>
      <c r="E1221" s="999">
        <f>$F$128</f>
        <v>1252.9941383359403</v>
      </c>
      <c r="F1221" s="990" t="s">
        <v>35</v>
      </c>
      <c r="G1221" s="832"/>
      <c r="H1221" s="832"/>
      <c r="I1221" s="832"/>
      <c r="J1221" s="832"/>
      <c r="K1221" s="832"/>
      <c r="L1221" s="832"/>
      <c r="M1221" s="832"/>
      <c r="N1221" s="832"/>
      <c r="O1221" s="832"/>
      <c r="P1221" s="832"/>
      <c r="Q1221" s="832"/>
      <c r="R1221" s="832"/>
      <c r="S1221" s="832"/>
      <c r="T1221" s="832"/>
    </row>
    <row r="1222" spans="1:20" x14ac:dyDescent="0.2">
      <c r="A1222" s="832"/>
      <c r="B1222" s="990" t="s">
        <v>1152</v>
      </c>
      <c r="C1222" s="832"/>
      <c r="D1222" s="832"/>
      <c r="E1222" s="832"/>
      <c r="F1222" s="832"/>
      <c r="G1222" s="832"/>
      <c r="H1222" s="832"/>
      <c r="I1222" s="832"/>
      <c r="J1222" s="832"/>
      <c r="K1222" s="832"/>
      <c r="L1222" s="832"/>
      <c r="M1222" s="832"/>
      <c r="N1222" s="832"/>
      <c r="O1222" s="832"/>
      <c r="P1222" s="832"/>
      <c r="Q1222" s="832"/>
      <c r="R1222" s="832"/>
      <c r="S1222" s="832"/>
      <c r="T1222" s="832"/>
    </row>
    <row r="1223" spans="1:20" x14ac:dyDescent="0.2">
      <c r="A1223" s="832"/>
      <c r="B1223" s="990" t="s">
        <v>60</v>
      </c>
      <c r="C1223" s="832"/>
      <c r="D1223" s="832"/>
      <c r="E1223" s="997">
        <f>SQRT(E1220/E1221)*1000</f>
        <v>44.501676213875534</v>
      </c>
      <c r="F1223" s="990" t="s">
        <v>43</v>
      </c>
      <c r="G1223" s="832"/>
      <c r="H1223" s="832"/>
      <c r="I1223" s="832"/>
      <c r="J1223" s="832"/>
      <c r="K1223" s="832"/>
      <c r="L1223" s="832"/>
      <c r="M1223" s="832"/>
      <c r="N1223" s="832"/>
      <c r="O1223" s="832"/>
      <c r="P1223" s="832"/>
      <c r="Q1223" s="832"/>
      <c r="R1223" s="832"/>
      <c r="S1223" s="832"/>
      <c r="T1223" s="832"/>
    </row>
    <row r="1224" spans="1:20" x14ac:dyDescent="0.2">
      <c r="A1224" s="832"/>
      <c r="B1224" s="832"/>
      <c r="C1224" s="832"/>
      <c r="D1224" s="832"/>
      <c r="E1224" s="832"/>
      <c r="F1224" s="832"/>
      <c r="G1224" s="832"/>
      <c r="H1224" s="832"/>
      <c r="I1224" s="832"/>
      <c r="J1224" s="832"/>
      <c r="K1224" s="832"/>
      <c r="L1224" s="832"/>
      <c r="M1224" s="832"/>
      <c r="N1224" s="832"/>
      <c r="O1224" s="832"/>
      <c r="P1224" s="832"/>
      <c r="Q1224" s="832"/>
      <c r="R1224" s="832"/>
      <c r="S1224" s="832"/>
      <c r="T1224" s="832"/>
    </row>
    <row r="1225" spans="1:20" x14ac:dyDescent="0.2">
      <c r="A1225" s="832"/>
      <c r="B1225" s="990" t="s">
        <v>1153</v>
      </c>
      <c r="C1225" s="832"/>
      <c r="D1225" s="832"/>
      <c r="E1225" s="832"/>
      <c r="F1225" s="832"/>
      <c r="G1225" s="832"/>
      <c r="H1225" s="832"/>
      <c r="I1225" s="832"/>
      <c r="J1225" s="832"/>
      <c r="K1225" s="832"/>
      <c r="L1225" s="832"/>
      <c r="M1225" s="832"/>
      <c r="N1225" s="832"/>
      <c r="O1225" s="832"/>
      <c r="P1225" s="832"/>
      <c r="Q1225" s="832"/>
      <c r="R1225" s="832"/>
      <c r="S1225" s="832"/>
      <c r="T1225" s="832"/>
    </row>
    <row r="1226" spans="1:20" x14ac:dyDescent="0.2">
      <c r="A1226" s="832"/>
      <c r="B1226" s="990" t="s">
        <v>501</v>
      </c>
      <c r="C1226" s="832"/>
      <c r="D1226" s="832"/>
      <c r="E1226" s="994">
        <f>E1212</f>
        <v>13.316999999999997</v>
      </c>
      <c r="F1226" s="990" t="s">
        <v>57</v>
      </c>
      <c r="G1226" s="832"/>
      <c r="H1226" s="832"/>
      <c r="I1226" s="832"/>
      <c r="J1226" s="832"/>
      <c r="K1226" s="832"/>
      <c r="L1226" s="832"/>
      <c r="M1226" s="832"/>
      <c r="N1226" s="832"/>
      <c r="O1226" s="832"/>
      <c r="P1226" s="832"/>
      <c r="Q1226" s="832"/>
      <c r="R1226" s="832"/>
      <c r="S1226" s="832"/>
      <c r="T1226" s="832"/>
    </row>
    <row r="1227" spans="1:20" x14ac:dyDescent="0.2">
      <c r="A1227" s="832"/>
      <c r="B1227" s="990" t="s">
        <v>1154</v>
      </c>
      <c r="C1227" s="832"/>
      <c r="D1227" s="832"/>
      <c r="E1227" s="832"/>
      <c r="F1227" s="999">
        <f>$G$57</f>
        <v>428.65627255412932</v>
      </c>
      <c r="G1227" s="990" t="s">
        <v>35</v>
      </c>
      <c r="H1227" s="832"/>
      <c r="I1227" s="832"/>
      <c r="J1227" s="832"/>
      <c r="K1227" s="832"/>
      <c r="L1227" s="832"/>
      <c r="M1227" s="832"/>
      <c r="N1227" s="832"/>
      <c r="O1227" s="832"/>
      <c r="P1227" s="832"/>
      <c r="Q1227" s="832"/>
      <c r="R1227" s="832"/>
      <c r="S1227" s="832"/>
      <c r="T1227" s="832"/>
    </row>
    <row r="1228" spans="1:20" x14ac:dyDescent="0.2">
      <c r="A1228" s="832"/>
      <c r="B1228" s="990" t="s">
        <v>61</v>
      </c>
      <c r="C1228" s="832"/>
      <c r="D1228" s="832"/>
      <c r="E1228" s="997">
        <f>E1226/F1227*1000</f>
        <v>31.066849717726619</v>
      </c>
      <c r="F1228" s="990" t="s">
        <v>43</v>
      </c>
      <c r="G1228" s="832"/>
      <c r="H1228" s="832"/>
      <c r="I1228" s="832"/>
      <c r="J1228" s="832"/>
      <c r="K1228" s="832"/>
      <c r="L1228" s="832"/>
      <c r="M1228" s="832"/>
      <c r="N1228" s="832"/>
      <c r="O1228" s="832"/>
      <c r="P1228" s="832"/>
      <c r="Q1228" s="832"/>
      <c r="R1228" s="832"/>
      <c r="S1228" s="832"/>
      <c r="T1228" s="832"/>
    </row>
    <row r="1229" spans="1:20" x14ac:dyDescent="0.2">
      <c r="A1229" s="990" t="s">
        <v>986</v>
      </c>
      <c r="B1229" s="832"/>
      <c r="C1229" s="832"/>
      <c r="D1229" s="832"/>
      <c r="E1229" s="832"/>
      <c r="F1229" s="832"/>
      <c r="G1229" s="832"/>
      <c r="H1229" s="832"/>
      <c r="I1229" s="832"/>
      <c r="J1229" s="832"/>
      <c r="K1229" s="832"/>
      <c r="L1229" s="832"/>
      <c r="M1229" s="832"/>
      <c r="N1229" s="832"/>
      <c r="O1229" s="832"/>
      <c r="P1229" s="832"/>
      <c r="Q1229" s="832"/>
      <c r="R1229" s="832"/>
      <c r="S1229" s="832"/>
      <c r="T1229" s="832"/>
    </row>
    <row r="1230" spans="1:20" x14ac:dyDescent="0.2">
      <c r="A1230" s="832"/>
      <c r="B1230" s="990" t="s">
        <v>1927</v>
      </c>
      <c r="C1230" s="832"/>
      <c r="D1230" s="832"/>
      <c r="E1230" s="832"/>
      <c r="F1230" s="832"/>
      <c r="G1230" s="832"/>
      <c r="H1230" s="832"/>
      <c r="I1230" s="832"/>
      <c r="J1230" s="832"/>
      <c r="K1230" s="832"/>
      <c r="L1230" s="832"/>
      <c r="M1230" s="832"/>
      <c r="N1230" s="832"/>
      <c r="O1230" s="832"/>
      <c r="P1230" s="832"/>
      <c r="Q1230" s="832"/>
      <c r="R1230" s="832"/>
      <c r="S1230" s="832"/>
      <c r="T1230" s="832"/>
    </row>
    <row r="1231" spans="1:20" x14ac:dyDescent="0.2">
      <c r="A1231" s="832"/>
      <c r="B1231" s="990"/>
      <c r="C1231" s="832"/>
      <c r="D1231" s="832"/>
      <c r="E1231" s="832"/>
      <c r="F1231" s="832"/>
      <c r="G1231" s="832"/>
      <c r="H1231" s="832"/>
      <c r="I1231" s="832"/>
      <c r="J1231" s="832"/>
      <c r="K1231" s="832"/>
      <c r="L1231" s="832"/>
      <c r="M1231" s="832"/>
      <c r="N1231" s="832"/>
      <c r="O1231" s="832"/>
      <c r="P1231" s="832"/>
      <c r="Q1231" s="832"/>
      <c r="R1231" s="832"/>
      <c r="S1231" s="832"/>
      <c r="T1231" s="832"/>
    </row>
    <row r="1232" spans="1:20" x14ac:dyDescent="0.2">
      <c r="A1232" s="832"/>
      <c r="B1232" s="994" t="str">
        <f>IF(E1223&gt;=E1228,"dr(Moment)  &gt;  dr(Shear)","dr(Moment)  &lt;  dr(Shear)")</f>
        <v>dr(Moment)  &gt;  dr(Shear)</v>
      </c>
      <c r="C1232" s="832"/>
      <c r="D1232" s="832"/>
      <c r="E1232" s="990" t="s">
        <v>1156</v>
      </c>
      <c r="F1232" s="832"/>
      <c r="G1232" s="997">
        <f>IF(E1223&gt;=E1228,E1223,E1228)</f>
        <v>44.501676213875534</v>
      </c>
      <c r="H1232" s="990" t="s">
        <v>62</v>
      </c>
      <c r="I1232" s="832"/>
      <c r="J1232" s="832"/>
      <c r="K1232" s="832"/>
      <c r="L1232" s="832"/>
      <c r="M1232" s="832"/>
      <c r="N1232" s="832"/>
      <c r="O1232" s="832"/>
      <c r="P1232" s="832"/>
      <c r="Q1232" s="832"/>
      <c r="R1232" s="832"/>
      <c r="S1232" s="832"/>
      <c r="T1232" s="832"/>
    </row>
    <row r="1233" spans="1:20" x14ac:dyDescent="0.2">
      <c r="A1233" s="832"/>
      <c r="B1233" s="990" t="s">
        <v>63</v>
      </c>
      <c r="C1233" s="832"/>
      <c r="D1233" s="997">
        <f>G1232</f>
        <v>44.501676213875534</v>
      </c>
      <c r="E1233" s="990" t="s">
        <v>1502</v>
      </c>
      <c r="F1233" s="997">
        <f>G63</f>
        <v>30</v>
      </c>
      <c r="G1233" s="990" t="s">
        <v>1503</v>
      </c>
      <c r="H1233" s="997">
        <f>D1233+F1233</f>
        <v>74.501676213875527</v>
      </c>
      <c r="I1233" s="990" t="s">
        <v>43</v>
      </c>
      <c r="J1233" s="832"/>
      <c r="K1233" s="832"/>
      <c r="L1233" s="832"/>
      <c r="M1233" s="832"/>
      <c r="N1233" s="832"/>
      <c r="O1233" s="832"/>
      <c r="P1233" s="832"/>
      <c r="Q1233" s="832"/>
      <c r="R1233" s="832"/>
      <c r="S1233" s="832"/>
      <c r="T1233" s="832"/>
    </row>
    <row r="1234" spans="1:20" x14ac:dyDescent="0.2">
      <c r="A1234" s="832"/>
      <c r="B1234" s="832"/>
      <c r="C1234" s="832"/>
      <c r="D1234" s="832"/>
      <c r="E1234" s="832"/>
      <c r="F1234" s="832"/>
      <c r="G1234" s="832"/>
      <c r="H1234" s="832"/>
      <c r="I1234" s="832"/>
      <c r="J1234" s="832"/>
      <c r="K1234" s="832"/>
      <c r="L1234" s="832"/>
      <c r="M1234" s="832"/>
      <c r="N1234" s="832"/>
      <c r="O1234" s="832"/>
      <c r="P1234" s="832"/>
      <c r="Q1234" s="832"/>
      <c r="R1234" s="832"/>
      <c r="S1234" s="832"/>
      <c r="T1234" s="832"/>
    </row>
    <row r="1235" spans="1:20" x14ac:dyDescent="0.2">
      <c r="A1235" s="832"/>
      <c r="B1235" s="990" t="s">
        <v>574</v>
      </c>
      <c r="C1235" s="832"/>
      <c r="D1235" s="832"/>
      <c r="E1235" s="832"/>
      <c r="F1235" s="832"/>
      <c r="G1235" s="997">
        <f>E40</f>
        <v>350</v>
      </c>
      <c r="H1235" s="990" t="s">
        <v>43</v>
      </c>
      <c r="I1235" s="832"/>
      <c r="J1235" s="832"/>
      <c r="K1235" s="832"/>
      <c r="L1235" s="832"/>
      <c r="M1235" s="832"/>
      <c r="N1235" s="832"/>
      <c r="O1235" s="832"/>
      <c r="P1235" s="832"/>
      <c r="Q1235" s="832"/>
      <c r="R1235" s="832"/>
      <c r="S1235" s="832"/>
      <c r="T1235" s="832"/>
    </row>
    <row r="1236" spans="1:20" x14ac:dyDescent="0.2">
      <c r="A1236" s="832"/>
      <c r="B1236" s="832"/>
      <c r="C1236" s="832"/>
      <c r="D1236" s="832"/>
      <c r="E1236" s="832"/>
      <c r="F1236" s="832"/>
      <c r="G1236" s="832"/>
      <c r="H1236" s="832"/>
      <c r="I1236" s="832"/>
      <c r="J1236" s="832"/>
      <c r="K1236" s="832"/>
      <c r="L1236" s="832"/>
      <c r="M1236" s="832"/>
      <c r="N1236" s="832"/>
      <c r="O1236" s="832"/>
      <c r="P1236" s="832"/>
      <c r="Q1236" s="832"/>
      <c r="R1236" s="832"/>
      <c r="S1236" s="832"/>
      <c r="T1236" s="832"/>
    </row>
    <row r="1237" spans="1:20" x14ac:dyDescent="0.2">
      <c r="A1237" s="832"/>
      <c r="B1237" s="994" t="str">
        <f>IF(G1235&gt;=H1233,"ta  &gt;  tr     Design is OK.","ta  &lt;  tr     Design is Not OK.")</f>
        <v>ta  &gt;  tr     Design is OK.</v>
      </c>
      <c r="C1237" s="832"/>
      <c r="D1237" s="832"/>
      <c r="E1237" s="832"/>
      <c r="F1237" s="990" t="s">
        <v>64</v>
      </c>
      <c r="G1237" s="832"/>
      <c r="H1237" s="832"/>
      <c r="I1237" s="832"/>
      <c r="J1237" s="832"/>
      <c r="K1237" s="832"/>
      <c r="L1237" s="832"/>
      <c r="M1237" s="832"/>
      <c r="N1237" s="832"/>
      <c r="O1237" s="832"/>
      <c r="P1237" s="832"/>
      <c r="Q1237" s="832"/>
      <c r="R1237" s="832"/>
      <c r="S1237" s="832"/>
      <c r="T1237" s="832"/>
    </row>
    <row r="1238" spans="1:20" x14ac:dyDescent="0.2">
      <c r="A1238" s="832"/>
      <c r="B1238" s="1029" t="str">
        <f>IF(G1235&gt;1.5*H1233,"WARNING:  Actual Member Thickness is considerably larger (&gt;50%) than required.","")</f>
        <v>WARNING:  Actual Member Thickness is considerably larger (&gt;50%) than required.</v>
      </c>
      <c r="C1238" s="832"/>
      <c r="D1238" s="832"/>
      <c r="E1238" s="832"/>
      <c r="F1238" s="832"/>
      <c r="G1238" s="832"/>
      <c r="H1238" s="832"/>
      <c r="I1238" s="832"/>
      <c r="J1238" s="832"/>
      <c r="K1238" s="832"/>
      <c r="L1238" s="832"/>
      <c r="M1238" s="832"/>
      <c r="N1238" s="832"/>
      <c r="O1238" s="832"/>
      <c r="P1238" s="832"/>
      <c r="Q1238" s="832"/>
      <c r="R1238" s="832"/>
      <c r="S1238" s="832"/>
      <c r="T1238" s="832"/>
    </row>
    <row r="1239" spans="1:20" x14ac:dyDescent="0.2">
      <c r="A1239" s="832"/>
      <c r="B1239" s="832"/>
      <c r="C1239" s="832"/>
      <c r="D1239" s="832"/>
      <c r="E1239" s="832"/>
      <c r="F1239" s="832"/>
      <c r="G1239" s="832"/>
      <c r="H1239" s="832"/>
      <c r="I1239" s="832"/>
      <c r="J1239" s="832"/>
      <c r="K1239" s="832"/>
      <c r="L1239" s="832"/>
      <c r="M1239" s="832"/>
      <c r="N1239" s="832"/>
      <c r="O1239" s="832"/>
      <c r="P1239" s="832"/>
      <c r="Q1239" s="832"/>
      <c r="R1239" s="832"/>
      <c r="S1239" s="832"/>
      <c r="T1239" s="832"/>
    </row>
    <row r="1240" spans="1:20" x14ac:dyDescent="0.2">
      <c r="A1240" s="990" t="s">
        <v>950</v>
      </c>
      <c r="B1240" s="832"/>
      <c r="C1240" s="832"/>
      <c r="D1240" s="832"/>
      <c r="E1240" s="832"/>
      <c r="F1240" s="832"/>
      <c r="G1240" s="832"/>
      <c r="H1240" s="832"/>
      <c r="I1240" s="832"/>
      <c r="J1240" s="832"/>
      <c r="K1240" s="832"/>
      <c r="L1240" s="832"/>
      <c r="M1240" s="832"/>
      <c r="N1240" s="832"/>
      <c r="O1240" s="832"/>
      <c r="P1240" s="832"/>
      <c r="Q1240" s="832"/>
      <c r="R1240" s="832"/>
      <c r="S1240" s="832"/>
      <c r="T1240" s="832"/>
    </row>
    <row r="1241" spans="1:20" x14ac:dyDescent="0.2">
      <c r="A1241" s="990" t="s">
        <v>123</v>
      </c>
      <c r="B1241" s="832"/>
      <c r="C1241" s="832"/>
      <c r="D1241" s="832"/>
      <c r="E1241" s="832"/>
      <c r="F1241" s="832"/>
      <c r="G1241" s="832"/>
      <c r="H1241" s="832"/>
      <c r="I1241" s="832"/>
      <c r="J1241" s="832"/>
      <c r="K1241" s="832"/>
      <c r="L1241" s="832"/>
      <c r="M1241" s="832"/>
      <c r="N1241" s="832"/>
      <c r="O1241" s="832"/>
      <c r="P1241" s="832"/>
      <c r="Q1241" s="832"/>
      <c r="R1241" s="832"/>
      <c r="S1241" s="832"/>
      <c r="T1241" s="832"/>
    </row>
    <row r="1242" spans="1:20" x14ac:dyDescent="0.2">
      <c r="A1242" s="832"/>
      <c r="B1242" s="832"/>
      <c r="C1242" s="832"/>
      <c r="D1242" s="832"/>
      <c r="E1242" s="832"/>
      <c r="F1242" s="832"/>
      <c r="G1242" s="832"/>
      <c r="H1242" s="832"/>
      <c r="I1242" s="832"/>
      <c r="J1242" s="832"/>
      <c r="K1242" s="832"/>
      <c r="L1242" s="832"/>
      <c r="M1242" s="832"/>
      <c r="N1242" s="832"/>
      <c r="O1242" s="832"/>
      <c r="P1242" s="832"/>
      <c r="Q1242" s="832"/>
      <c r="R1242" s="832"/>
      <c r="S1242" s="832"/>
      <c r="T1242" s="832"/>
    </row>
    <row r="1243" spans="1:20" x14ac:dyDescent="0.2">
      <c r="A1243" s="832"/>
      <c r="B1243" s="990" t="s">
        <v>503</v>
      </c>
      <c r="C1243" s="832"/>
      <c r="D1243" s="832"/>
      <c r="E1243" s="832"/>
      <c r="F1243" s="832"/>
      <c r="G1243" s="832"/>
      <c r="H1243" s="832"/>
      <c r="I1243" s="832"/>
      <c r="J1243" s="832"/>
      <c r="K1243" s="832"/>
      <c r="L1243" s="832"/>
      <c r="M1243" s="832"/>
      <c r="N1243" s="832"/>
      <c r="O1243" s="832"/>
      <c r="P1243" s="832"/>
      <c r="Q1243" s="832"/>
      <c r="R1243" s="832"/>
      <c r="S1243" s="832"/>
      <c r="T1243" s="832"/>
    </row>
    <row r="1244" spans="1:20" x14ac:dyDescent="0.2">
      <c r="A1244" s="832"/>
      <c r="B1244" s="990" t="s">
        <v>504</v>
      </c>
      <c r="C1244" s="832"/>
      <c r="D1244" s="832"/>
      <c r="E1244" s="832"/>
      <c r="F1244" s="832"/>
      <c r="G1244" s="832"/>
      <c r="H1244" s="832"/>
      <c r="I1244" s="832"/>
      <c r="J1244" s="832"/>
      <c r="K1244" s="832"/>
      <c r="L1244" s="832"/>
      <c r="M1244" s="832"/>
      <c r="N1244" s="832"/>
      <c r="O1244" s="832"/>
      <c r="P1244" s="832"/>
      <c r="Q1244" s="832"/>
      <c r="R1244" s="832"/>
      <c r="S1244" s="832"/>
      <c r="T1244" s="832"/>
    </row>
    <row r="1245" spans="1:20" x14ac:dyDescent="0.2">
      <c r="A1245" s="832"/>
      <c r="B1245" s="990" t="s">
        <v>505</v>
      </c>
      <c r="C1245" s="832"/>
      <c r="D1245" s="832"/>
      <c r="E1245" s="832"/>
      <c r="F1245" s="832"/>
      <c r="G1245" s="832"/>
      <c r="H1245" s="832"/>
      <c r="I1245" s="832"/>
      <c r="J1245" s="832"/>
      <c r="K1245" s="832"/>
      <c r="L1245" s="990" t="s">
        <v>66</v>
      </c>
      <c r="M1245" s="832"/>
      <c r="N1245" s="997">
        <v>12</v>
      </c>
      <c r="O1245" s="997">
        <v>16</v>
      </c>
      <c r="P1245" s="997">
        <v>20</v>
      </c>
      <c r="Q1245" s="997">
        <v>22</v>
      </c>
      <c r="R1245" s="997">
        <v>25</v>
      </c>
      <c r="S1245" s="832"/>
      <c r="T1245" s="832"/>
    </row>
    <row r="1246" spans="1:20" x14ac:dyDescent="0.2">
      <c r="A1246" s="832"/>
      <c r="B1246" s="832"/>
      <c r="C1246" s="832"/>
      <c r="D1246" s="832"/>
      <c r="E1246" s="832"/>
      <c r="F1246" s="832"/>
      <c r="G1246" s="832"/>
      <c r="H1246" s="832"/>
      <c r="I1246" s="832"/>
      <c r="J1246" s="832"/>
      <c r="K1246" s="832"/>
      <c r="L1246" s="990" t="s">
        <v>67</v>
      </c>
      <c r="M1246" s="832"/>
      <c r="N1246" s="997">
        <f>IF(I1255=0,100000000,TRUNC(785.4*N1245^2/I1255/25)*25)</f>
        <v>150</v>
      </c>
      <c r="O1246" s="997">
        <f>IF(I1255=0,100000000,TRUNC(785.4*O1245^2/I1255/25)*25)</f>
        <v>275</v>
      </c>
      <c r="P1246" s="997">
        <f>IF(I1255=0,100000000,TRUNC(785.4*P1245^2/I1255/25)*25)</f>
        <v>425</v>
      </c>
      <c r="Q1246" s="997">
        <f>IF(I1255=0,100000000,TRUNC(785.4*Q1245^2/I1255/25)*25)</f>
        <v>525</v>
      </c>
      <c r="R1246" s="997">
        <f>IF(I1255=0,100000000,TRUNC(785.4*R1245^2/I1255/25)*25)</f>
        <v>700</v>
      </c>
      <c r="S1246" s="832"/>
      <c r="T1246" s="832"/>
    </row>
    <row r="1247" spans="1:20" x14ac:dyDescent="0.2">
      <c r="A1247" s="832"/>
      <c r="B1247" s="990" t="s">
        <v>1158</v>
      </c>
      <c r="C1247" s="832"/>
      <c r="D1247" s="832"/>
      <c r="E1247" s="832"/>
      <c r="F1247" s="832"/>
      <c r="G1247" s="832"/>
      <c r="H1247" s="832"/>
      <c r="I1247" s="832"/>
      <c r="J1247" s="832"/>
      <c r="K1247" s="832"/>
      <c r="L1247" s="990" t="s">
        <v>68</v>
      </c>
      <c r="M1247" s="832"/>
      <c r="N1247" s="997">
        <f>785.4*N1245^2/N1246</f>
        <v>753.98399999999992</v>
      </c>
      <c r="O1247" s="997">
        <f>785.4*O1245^2/O1246</f>
        <v>731.13599999999997</v>
      </c>
      <c r="P1247" s="997">
        <f>785.4*P1245^2/P1246</f>
        <v>739.2</v>
      </c>
      <c r="Q1247" s="997">
        <f>785.4*Q1245^2/Q1246</f>
        <v>724.06399999999996</v>
      </c>
      <c r="R1247" s="997">
        <f>785.4*R1245^2/R1246</f>
        <v>701.25</v>
      </c>
      <c r="S1247" s="832"/>
      <c r="T1247" s="832"/>
    </row>
    <row r="1248" spans="1:20" x14ac:dyDescent="0.2">
      <c r="A1248" s="832"/>
      <c r="B1248" s="990" t="s">
        <v>1159</v>
      </c>
      <c r="C1248" s="832"/>
      <c r="D1248" s="832"/>
      <c r="E1248" s="832"/>
      <c r="F1248" s="832"/>
      <c r="G1248" s="832"/>
      <c r="H1248" s="832"/>
      <c r="I1248" s="832"/>
      <c r="J1248" s="832"/>
      <c r="K1248" s="832"/>
      <c r="L1248" s="990" t="s">
        <v>69</v>
      </c>
      <c r="M1248" s="832"/>
      <c r="N1248" s="997">
        <f>IF(OR(N1246&gt;300,N1246&lt;100),100000000,N1247-I1255)</f>
        <v>53.98399999999981</v>
      </c>
      <c r="O1248" s="997">
        <f>IF(OR(O1246&gt;300,O1246&lt;100),100000001,O1247-I1255)</f>
        <v>31.135999999999854</v>
      </c>
      <c r="P1248" s="997">
        <f>IF(OR(P1246&gt;300,P1246&lt;100),100000001,P1247-I1255)</f>
        <v>100000001</v>
      </c>
      <c r="Q1248" s="997">
        <f>IF(OR(Q1246&gt;300,Q1246&lt;100),100000001,Q1247-I1255)</f>
        <v>100000001</v>
      </c>
      <c r="R1248" s="997">
        <f>IF(OR(R1246&gt;300,R1246&lt;100),100000001,R1247-I1255)</f>
        <v>100000001</v>
      </c>
      <c r="S1248" s="832"/>
      <c r="T1248" s="832"/>
    </row>
    <row r="1249" spans="1:20" x14ac:dyDescent="0.2">
      <c r="A1249" s="832"/>
      <c r="B1249" s="832"/>
      <c r="C1249" s="832"/>
      <c r="D1249" s="832"/>
      <c r="E1249" s="832"/>
      <c r="F1249" s="832"/>
      <c r="G1249" s="832"/>
      <c r="H1249" s="832"/>
      <c r="I1249" s="832"/>
      <c r="J1249" s="832"/>
      <c r="K1249" s="832"/>
      <c r="L1249" s="990" t="s">
        <v>70</v>
      </c>
      <c r="M1249" s="832"/>
      <c r="N1249" s="997">
        <f>IF(R1246&lt;100,25,IF(MIN(N1248:R1248)=N1248,12,IF(MIN(N1248:R1248)=O1248,16,IF(MIN(N1248:R1248)=P1248,20,IF(MIN(N1248:R1248)=Q1248,22,IF(MIN(N1248:R1248)=R1248,25,0))))))</f>
        <v>16</v>
      </c>
      <c r="O1249" s="990" t="s">
        <v>71</v>
      </c>
      <c r="P1249" s="997">
        <f>IF(N1249=12,N1246,IF(N1249=16,O1246,IF(N1249=20,P1246,IF(N1249=22,Q1246,IF(N1249=25,R1246,0)))))</f>
        <v>275</v>
      </c>
      <c r="Q1249" s="990" t="s">
        <v>72</v>
      </c>
      <c r="R1249" s="832"/>
      <c r="S1249" s="832"/>
      <c r="T1249" s="832"/>
    </row>
    <row r="1250" spans="1:20" x14ac:dyDescent="0.2">
      <c r="A1250" s="832"/>
      <c r="B1250" s="990" t="s">
        <v>1231</v>
      </c>
      <c r="C1250" s="832"/>
      <c r="D1250" s="832"/>
      <c r="E1250" s="990" t="s">
        <v>1637</v>
      </c>
      <c r="F1250" s="832"/>
      <c r="G1250" s="832"/>
      <c r="H1250" s="994">
        <f>E47</f>
        <v>2.1</v>
      </c>
      <c r="I1250" s="832" t="s">
        <v>24</v>
      </c>
      <c r="J1250" s="832"/>
      <c r="K1250" s="990" t="s">
        <v>24</v>
      </c>
      <c r="L1250" s="832"/>
      <c r="M1250" s="832"/>
      <c r="N1250" s="832"/>
      <c r="O1250" s="832"/>
      <c r="P1250" s="832"/>
      <c r="Q1250" s="832"/>
      <c r="R1250" s="832"/>
      <c r="S1250" s="832"/>
      <c r="T1250" s="832"/>
    </row>
    <row r="1251" spans="1:20" x14ac:dyDescent="0.2">
      <c r="A1251" s="832"/>
      <c r="B1251" s="990" t="s">
        <v>1232</v>
      </c>
      <c r="C1251" s="832"/>
      <c r="D1251" s="832"/>
      <c r="E1251" s="990" t="s">
        <v>74</v>
      </c>
      <c r="F1251" s="832"/>
      <c r="G1251" s="832"/>
      <c r="H1251" s="997">
        <f>G1235</f>
        <v>350</v>
      </c>
      <c r="I1251" s="832" t="s">
        <v>43</v>
      </c>
      <c r="J1251" s="832"/>
      <c r="K1251" s="990" t="s">
        <v>43</v>
      </c>
      <c r="L1251" s="832"/>
      <c r="M1251" s="832"/>
      <c r="N1251" s="832"/>
      <c r="O1251" s="832"/>
      <c r="P1251" s="832"/>
      <c r="Q1251" s="832"/>
      <c r="R1251" s="832"/>
      <c r="S1251" s="832"/>
      <c r="T1251" s="832"/>
    </row>
    <row r="1252" spans="1:20" x14ac:dyDescent="0.2">
      <c r="A1252" s="832"/>
      <c r="B1252" s="990" t="s">
        <v>75</v>
      </c>
      <c r="C1252" s="1015">
        <f>$C$247</f>
        <v>2E-3</v>
      </c>
      <c r="D1252" s="1014"/>
      <c r="E1252" s="990" t="s">
        <v>1930</v>
      </c>
      <c r="F1252" s="832"/>
      <c r="G1252" s="832"/>
      <c r="H1252" s="832">
        <v>1</v>
      </c>
      <c r="I1252" s="832" t="s">
        <v>43</v>
      </c>
      <c r="J1252" s="832"/>
      <c r="K1252" s="832"/>
      <c r="L1252" s="832"/>
      <c r="M1252" s="832"/>
      <c r="N1252" s="832"/>
      <c r="O1252" s="832"/>
      <c r="P1252" s="832"/>
      <c r="Q1252" s="832"/>
      <c r="R1252" s="832"/>
      <c r="S1252" s="832"/>
      <c r="T1252" s="832"/>
    </row>
    <row r="1253" spans="1:20" x14ac:dyDescent="0.2">
      <c r="A1253" s="832"/>
      <c r="B1253" s="990" t="s">
        <v>76</v>
      </c>
      <c r="C1253" s="1015">
        <f>$C$248</f>
        <v>2.5000000000000001E-3</v>
      </c>
      <c r="D1253" s="1014"/>
      <c r="E1253" s="832"/>
      <c r="F1253" s="832"/>
      <c r="G1253" s="832"/>
      <c r="H1253" s="832"/>
      <c r="I1253" s="832"/>
      <c r="J1253" s="832"/>
      <c r="K1253" s="832"/>
      <c r="L1253" s="832"/>
      <c r="M1253" s="832"/>
      <c r="N1253" s="832"/>
      <c r="O1253" s="832"/>
      <c r="P1253" s="832"/>
      <c r="Q1253" s="832"/>
      <c r="R1253" s="832"/>
      <c r="S1253" s="832"/>
      <c r="T1253" s="832"/>
    </row>
    <row r="1254" spans="1:20" x14ac:dyDescent="0.2">
      <c r="A1254" s="832"/>
      <c r="B1254" s="832"/>
      <c r="C1254" s="832"/>
      <c r="D1254" s="832"/>
      <c r="E1254" s="832"/>
      <c r="F1254" s="832"/>
      <c r="G1254" s="832"/>
      <c r="H1254" s="832"/>
      <c r="I1254" s="832"/>
      <c r="J1254" s="832"/>
      <c r="K1254" s="832"/>
      <c r="L1254" s="832"/>
      <c r="M1254" s="832"/>
      <c r="N1254" s="832"/>
      <c r="O1254" s="832"/>
      <c r="P1254" s="832"/>
      <c r="Q1254" s="832"/>
      <c r="R1254" s="832"/>
      <c r="S1254" s="832"/>
      <c r="T1254" s="832"/>
    </row>
    <row r="1255" spans="1:20" x14ac:dyDescent="0.2">
      <c r="A1255" s="832"/>
      <c r="B1255" s="990" t="s">
        <v>77</v>
      </c>
      <c r="C1255" s="832"/>
      <c r="D1255" s="1015">
        <f>IF(H1250&lt;=9,C1252,C1253)</f>
        <v>2E-3</v>
      </c>
      <c r="E1255" s="990" t="s">
        <v>1504</v>
      </c>
      <c r="F1255" s="997">
        <f>IF(H1251&lt;380,H1251,380)</f>
        <v>350</v>
      </c>
      <c r="G1255" s="990" t="s">
        <v>1175</v>
      </c>
      <c r="H1255" s="832"/>
      <c r="I1255" s="997">
        <f>D1255*F1255*1000</f>
        <v>700.00000000000011</v>
      </c>
      <c r="J1255" s="832"/>
      <c r="K1255" s="990" t="s">
        <v>78</v>
      </c>
      <c r="L1255" s="832"/>
      <c r="M1255" s="832"/>
      <c r="N1255" s="997"/>
      <c r="O1255" s="997"/>
      <c r="P1255" s="997"/>
      <c r="Q1255" s="997"/>
      <c r="R1255" s="997"/>
      <c r="S1255" s="832"/>
      <c r="T1255" s="832"/>
    </row>
    <row r="1256" spans="1:20" x14ac:dyDescent="0.2">
      <c r="A1256" s="832"/>
      <c r="B1256" s="1045" t="s">
        <v>79</v>
      </c>
      <c r="C1256" s="1046">
        <v>16</v>
      </c>
      <c r="D1256" s="1045" t="s">
        <v>71</v>
      </c>
      <c r="E1256" s="1046">
        <v>200</v>
      </c>
      <c r="F1256" s="1045" t="s">
        <v>80</v>
      </c>
      <c r="G1256" s="1047"/>
      <c r="H1256" s="1046">
        <f>785.4*C1256^2/E1256</f>
        <v>1005.312</v>
      </c>
      <c r="I1256" s="1045" t="s">
        <v>81</v>
      </c>
      <c r="J1256" s="1047"/>
      <c r="K1256" s="832"/>
      <c r="L1256" s="832"/>
      <c r="M1256" s="832"/>
      <c r="N1256" s="997"/>
      <c r="O1256" s="997"/>
      <c r="P1256" s="997"/>
      <c r="Q1256" s="997"/>
      <c r="R1256" s="997"/>
      <c r="S1256" s="832"/>
      <c r="T1256" s="832"/>
    </row>
    <row r="1257" spans="1:20" x14ac:dyDescent="0.2">
      <c r="A1257" s="832"/>
      <c r="B1257" s="832"/>
      <c r="C1257" s="832"/>
      <c r="D1257" s="832"/>
      <c r="E1257" s="832"/>
      <c r="F1257" s="832"/>
      <c r="G1257" s="832"/>
      <c r="H1257" s="832"/>
      <c r="I1257" s="832"/>
      <c r="J1257" s="832"/>
      <c r="K1257" s="832"/>
      <c r="L1257" s="832"/>
      <c r="M1257" s="832"/>
      <c r="N1257" s="997"/>
      <c r="O1257" s="997"/>
      <c r="P1257" s="997"/>
      <c r="Q1257" s="997"/>
      <c r="R1257" s="997"/>
      <c r="S1257" s="832"/>
      <c r="T1257" s="832"/>
    </row>
    <row r="1258" spans="1:20" x14ac:dyDescent="0.2">
      <c r="A1258" s="990" t="s">
        <v>950</v>
      </c>
      <c r="B1258" s="832"/>
      <c r="C1258" s="832"/>
      <c r="D1258" s="832"/>
      <c r="E1258" s="832"/>
      <c r="F1258" s="832"/>
      <c r="G1258" s="832"/>
      <c r="H1258" s="832"/>
      <c r="I1258" s="832"/>
      <c r="J1258" s="832"/>
      <c r="K1258" s="832"/>
      <c r="L1258" s="832"/>
      <c r="M1258" s="832"/>
      <c r="N1258" s="832"/>
      <c r="O1258" s="832"/>
      <c r="P1258" s="832"/>
      <c r="Q1258" s="832"/>
      <c r="R1258" s="832"/>
      <c r="S1258" s="832"/>
      <c r="T1258" s="832"/>
    </row>
    <row r="1259" spans="1:20" x14ac:dyDescent="0.2">
      <c r="A1259" s="990" t="s">
        <v>125</v>
      </c>
      <c r="B1259" s="832"/>
      <c r="C1259" s="832"/>
      <c r="D1259" s="832"/>
      <c r="E1259" s="832"/>
      <c r="F1259" s="832"/>
      <c r="G1259" s="832"/>
      <c r="H1259" s="832"/>
      <c r="I1259" s="832"/>
      <c r="J1259" s="832"/>
      <c r="K1259" s="832"/>
      <c r="L1259" s="832"/>
      <c r="M1259" s="832"/>
      <c r="N1259" s="832"/>
      <c r="O1259" s="832"/>
      <c r="P1259" s="832"/>
      <c r="Q1259" s="832"/>
      <c r="R1259" s="832"/>
      <c r="S1259" s="832"/>
      <c r="T1259" s="832"/>
    </row>
    <row r="1260" spans="1:20" x14ac:dyDescent="0.2">
      <c r="A1260" s="832"/>
      <c r="B1260" s="832"/>
      <c r="C1260" s="832"/>
      <c r="D1260" s="832"/>
      <c r="E1260" s="832"/>
      <c r="F1260" s="990"/>
      <c r="G1260" s="832"/>
      <c r="H1260" s="832"/>
      <c r="I1260" s="832"/>
      <c r="J1260" s="832"/>
      <c r="K1260" s="832"/>
      <c r="L1260" s="832"/>
      <c r="M1260" s="832"/>
      <c r="N1260" s="832"/>
      <c r="O1260" s="832"/>
      <c r="P1260" s="832"/>
      <c r="Q1260" s="832"/>
      <c r="R1260" s="832"/>
      <c r="S1260" s="832"/>
      <c r="T1260" s="832"/>
    </row>
    <row r="1261" spans="1:20" x14ac:dyDescent="0.2">
      <c r="A1261" s="832"/>
      <c r="B1261" s="990" t="s">
        <v>1929</v>
      </c>
      <c r="C1261" s="832"/>
      <c r="D1261" s="832"/>
      <c r="E1261" s="832"/>
      <c r="F1261" s="832"/>
      <c r="G1261" s="832"/>
      <c r="H1261" s="832"/>
      <c r="I1261" s="832"/>
      <c r="J1261" s="832"/>
      <c r="K1261" s="832"/>
      <c r="L1261" s="832"/>
      <c r="M1261" s="832"/>
      <c r="N1261" s="832"/>
      <c r="O1261" s="832"/>
      <c r="P1261" s="832"/>
      <c r="Q1261" s="832"/>
      <c r="R1261" s="832"/>
      <c r="S1261" s="832"/>
      <c r="T1261" s="832"/>
    </row>
    <row r="1262" spans="1:20" x14ac:dyDescent="0.2">
      <c r="A1262" s="832"/>
      <c r="B1262" s="832"/>
      <c r="C1262" s="832"/>
      <c r="D1262" s="832"/>
      <c r="E1262" s="832"/>
      <c r="F1262" s="990"/>
      <c r="G1262" s="832"/>
      <c r="H1262" s="832"/>
      <c r="I1262" s="832"/>
      <c r="J1262" s="832"/>
      <c r="K1262" s="832"/>
      <c r="L1262" s="832"/>
      <c r="M1262" s="832"/>
      <c r="N1262" s="832"/>
      <c r="O1262" s="832"/>
      <c r="P1262" s="832"/>
      <c r="Q1262" s="832"/>
      <c r="R1262" s="832"/>
      <c r="S1262" s="832"/>
      <c r="T1262" s="832"/>
    </row>
    <row r="1263" spans="1:20" x14ac:dyDescent="0.2">
      <c r="A1263" s="832"/>
      <c r="B1263" s="990" t="s">
        <v>86</v>
      </c>
      <c r="C1263" s="832"/>
      <c r="D1263" s="832"/>
      <c r="E1263" s="994">
        <f>E1210</f>
        <v>2.1712500000000001</v>
      </c>
      <c r="F1263" s="990" t="s">
        <v>58</v>
      </c>
      <c r="G1263" s="832"/>
      <c r="H1263" s="832"/>
      <c r="I1263" s="832"/>
      <c r="J1263" s="832"/>
      <c r="K1263" s="832"/>
      <c r="L1263" s="832"/>
      <c r="M1263" s="832"/>
      <c r="N1263" s="832"/>
      <c r="O1263" s="832"/>
      <c r="P1263" s="832"/>
      <c r="Q1263" s="832"/>
      <c r="R1263" s="832"/>
      <c r="S1263" s="832"/>
      <c r="T1263" s="832"/>
    </row>
    <row r="1264" spans="1:20" x14ac:dyDescent="0.2">
      <c r="A1264" s="832"/>
      <c r="B1264" s="990" t="s">
        <v>1505</v>
      </c>
      <c r="C1264" s="832"/>
      <c r="D1264" s="832"/>
      <c r="E1264" s="832"/>
      <c r="F1264" s="999">
        <f>$G$54</f>
        <v>186300</v>
      </c>
      <c r="G1264" s="990" t="s">
        <v>35</v>
      </c>
      <c r="H1264" s="832"/>
      <c r="I1264" s="832"/>
      <c r="J1264" s="832"/>
      <c r="K1264" s="832"/>
      <c r="L1264" s="832"/>
      <c r="M1264" s="832"/>
      <c r="N1264" s="832"/>
      <c r="O1264" s="832"/>
      <c r="P1264" s="832"/>
      <c r="Q1264" s="832"/>
      <c r="R1264" s="832"/>
      <c r="S1264" s="832"/>
      <c r="T1264" s="832"/>
    </row>
    <row r="1265" spans="1:20" x14ac:dyDescent="0.2">
      <c r="A1265" s="832"/>
      <c r="B1265" s="990" t="s">
        <v>1506</v>
      </c>
      <c r="C1265" s="832"/>
      <c r="D1265" s="832"/>
      <c r="E1265" s="998">
        <f>$F$127</f>
        <v>0.89379715799027371</v>
      </c>
      <c r="F1265" s="832"/>
      <c r="G1265" s="832"/>
      <c r="H1265" s="832"/>
      <c r="I1265" s="832"/>
      <c r="J1265" s="832"/>
      <c r="K1265" s="832"/>
      <c r="L1265" s="832"/>
      <c r="M1265" s="832"/>
      <c r="N1265" s="832"/>
      <c r="O1265" s="832"/>
      <c r="P1265" s="832"/>
      <c r="Q1265" s="832"/>
      <c r="R1265" s="832"/>
      <c r="S1265" s="832"/>
      <c r="T1265" s="832"/>
    </row>
    <row r="1266" spans="1:20" x14ac:dyDescent="0.2">
      <c r="A1266" s="832"/>
      <c r="B1266" s="832"/>
      <c r="C1266" s="832"/>
      <c r="D1266" s="832"/>
      <c r="E1266" s="832"/>
      <c r="F1266" s="832"/>
      <c r="G1266" s="832"/>
      <c r="H1266" s="832"/>
      <c r="I1266" s="832"/>
      <c r="J1266" s="832"/>
      <c r="K1266" s="832"/>
      <c r="L1266" s="832"/>
      <c r="M1266" s="832"/>
      <c r="N1266" s="832"/>
      <c r="O1266" s="832"/>
      <c r="P1266" s="832"/>
      <c r="Q1266" s="832"/>
      <c r="R1266" s="832"/>
      <c r="S1266" s="832"/>
      <c r="T1266" s="832"/>
    </row>
    <row r="1267" spans="1:20" x14ac:dyDescent="0.2">
      <c r="A1267" s="832"/>
      <c r="B1267" s="990" t="s">
        <v>1507</v>
      </c>
      <c r="C1267" s="832"/>
      <c r="D1267" s="832"/>
      <c r="E1267" s="832"/>
      <c r="F1267" s="832"/>
      <c r="G1267" s="832"/>
      <c r="H1267" s="832"/>
      <c r="I1267" s="832"/>
      <c r="J1267" s="832"/>
      <c r="K1267" s="832"/>
      <c r="L1267" s="832"/>
      <c r="M1267" s="832"/>
      <c r="N1267" s="832"/>
      <c r="O1267" s="832"/>
      <c r="P1267" s="832"/>
      <c r="Q1267" s="832"/>
      <c r="R1267" s="832"/>
      <c r="S1267" s="832"/>
      <c r="T1267" s="832"/>
    </row>
    <row r="1268" spans="1:20" x14ac:dyDescent="0.2">
      <c r="A1268" s="832"/>
      <c r="B1268" s="990" t="s">
        <v>1509</v>
      </c>
      <c r="C1268" s="832"/>
      <c r="D1268" s="997">
        <f>G1235</f>
        <v>350</v>
      </c>
      <c r="E1268" s="990" t="s">
        <v>1510</v>
      </c>
      <c r="F1268" s="997">
        <f>$G$63</f>
        <v>30</v>
      </c>
      <c r="G1268" s="990" t="s">
        <v>1485</v>
      </c>
      <c r="H1268" s="997">
        <f>D1268-F1268</f>
        <v>320</v>
      </c>
      <c r="I1268" s="990" t="s">
        <v>43</v>
      </c>
      <c r="J1268" s="832"/>
      <c r="K1268" s="832"/>
      <c r="L1268" s="832"/>
      <c r="M1268" s="832"/>
      <c r="N1268" s="832"/>
      <c r="O1268" s="832"/>
      <c r="P1268" s="832"/>
      <c r="Q1268" s="832"/>
      <c r="R1268" s="832"/>
      <c r="S1268" s="832"/>
      <c r="T1268" s="832"/>
    </row>
    <row r="1269" spans="1:20" x14ac:dyDescent="0.2">
      <c r="A1269" s="832"/>
      <c r="B1269" s="990" t="s">
        <v>1168</v>
      </c>
      <c r="C1269" s="832"/>
      <c r="D1269" s="994"/>
      <c r="E1269" s="990"/>
      <c r="F1269" s="832"/>
      <c r="G1269" s="832"/>
      <c r="H1269" s="874">
        <f>(E1263*1000000000)/(F1264*E1265*H1268)</f>
        <v>40.748162445864409</v>
      </c>
      <c r="I1269" s="990" t="s">
        <v>78</v>
      </c>
      <c r="J1269" s="832"/>
      <c r="K1269" s="832"/>
      <c r="L1269" s="832"/>
      <c r="M1269" s="832"/>
      <c r="N1269" s="832"/>
      <c r="O1269" s="832"/>
      <c r="P1269" s="832"/>
      <c r="Q1269" s="832"/>
      <c r="R1269" s="832"/>
      <c r="S1269" s="832"/>
      <c r="T1269" s="832"/>
    </row>
    <row r="1270" spans="1:20" x14ac:dyDescent="0.2">
      <c r="A1270" s="832"/>
      <c r="B1270" s="832"/>
      <c r="C1270" s="832"/>
      <c r="D1270" s="832"/>
      <c r="E1270" s="832"/>
      <c r="F1270" s="832"/>
      <c r="G1270" s="832"/>
      <c r="H1270" s="832"/>
      <c r="I1270" s="997"/>
      <c r="J1270" s="832"/>
      <c r="K1270" s="832"/>
      <c r="L1270" s="832"/>
      <c r="M1270" s="832"/>
      <c r="N1270" s="832"/>
      <c r="O1270" s="832"/>
      <c r="P1270" s="832"/>
      <c r="Q1270" s="832"/>
      <c r="R1270" s="832"/>
      <c r="S1270" s="832"/>
      <c r="T1270" s="832"/>
    </row>
    <row r="1271" spans="1:20" x14ac:dyDescent="0.2">
      <c r="A1271" s="990" t="s">
        <v>986</v>
      </c>
      <c r="B1271" s="832"/>
      <c r="C1271" s="832"/>
      <c r="D1271" s="832"/>
      <c r="E1271" s="832"/>
      <c r="F1271" s="832"/>
      <c r="G1271" s="832"/>
      <c r="H1271" s="832"/>
      <c r="I1271" s="832"/>
      <c r="J1271" s="832"/>
      <c r="K1271" s="832"/>
      <c r="L1271" s="832"/>
      <c r="M1271" s="832"/>
      <c r="N1271" s="832"/>
      <c r="O1271" s="832"/>
      <c r="P1271" s="832"/>
      <c r="Q1271" s="832"/>
      <c r="R1271" s="832"/>
      <c r="S1271" s="832"/>
      <c r="T1271" s="832"/>
    </row>
    <row r="1272" spans="1:20" x14ac:dyDescent="0.2">
      <c r="A1272" s="832"/>
      <c r="B1272" s="990" t="s">
        <v>87</v>
      </c>
      <c r="C1272" s="832"/>
      <c r="D1272" s="832"/>
      <c r="E1272" s="832"/>
      <c r="F1272" s="832"/>
      <c r="G1272" s="832"/>
      <c r="H1272" s="832"/>
      <c r="I1272" s="832"/>
      <c r="J1272" s="832"/>
      <c r="K1272" s="832"/>
      <c r="L1272" s="832"/>
      <c r="M1272" s="832"/>
      <c r="N1272" s="832"/>
      <c r="O1272" s="832"/>
      <c r="P1272" s="832"/>
      <c r="Q1272" s="832"/>
      <c r="R1272" s="832"/>
      <c r="S1272" s="832"/>
      <c r="T1272" s="832"/>
    </row>
    <row r="1273" spans="1:20" x14ac:dyDescent="0.2">
      <c r="A1273" s="832"/>
      <c r="B1273" s="832"/>
      <c r="C1273" s="832"/>
      <c r="D1273" s="832"/>
      <c r="E1273" s="832"/>
      <c r="F1273" s="832"/>
      <c r="G1273" s="832"/>
      <c r="H1273" s="832"/>
      <c r="I1273" s="832"/>
      <c r="J1273" s="832"/>
      <c r="K1273" s="832"/>
      <c r="L1273" s="832"/>
      <c r="M1273" s="832"/>
      <c r="N1273" s="832"/>
      <c r="O1273" s="832"/>
      <c r="P1273" s="832"/>
      <c r="Q1273" s="832"/>
      <c r="R1273" s="832"/>
      <c r="S1273" s="832"/>
      <c r="T1273" s="832"/>
    </row>
    <row r="1274" spans="1:20" x14ac:dyDescent="0.2">
      <c r="A1274" s="832"/>
      <c r="B1274" s="990" t="s">
        <v>1640</v>
      </c>
      <c r="C1274" s="832"/>
      <c r="D1274" s="832"/>
      <c r="E1274" s="832"/>
      <c r="F1274" s="832"/>
      <c r="G1274" s="994">
        <f>D65</f>
        <v>2.9</v>
      </c>
      <c r="H1274" s="994" t="str">
        <f>IF(G1274&lt;=9,"m  &lt;  9 m","m  &gt;  9 m")</f>
        <v>m  &lt;  9 m</v>
      </c>
      <c r="I1274" s="832"/>
      <c r="J1274" s="832"/>
      <c r="K1274" s="832"/>
      <c r="L1274" s="832"/>
      <c r="M1274" s="832"/>
      <c r="N1274" s="832"/>
      <c r="O1274" s="832"/>
      <c r="P1274" s="832"/>
      <c r="Q1274" s="832"/>
      <c r="R1274" s="832"/>
      <c r="S1274" s="832"/>
      <c r="T1274" s="832"/>
    </row>
    <row r="1275" spans="1:20" x14ac:dyDescent="0.2">
      <c r="A1275" s="832"/>
      <c r="B1275" s="990" t="s">
        <v>1170</v>
      </c>
      <c r="C1275" s="832"/>
      <c r="D1275" s="832"/>
      <c r="E1275" s="832"/>
      <c r="F1275" s="997">
        <f>G1235</f>
        <v>350</v>
      </c>
      <c r="G1275" s="994" t="str">
        <f>IF(F1275&lt;=380,"mm  &lt;  380 mm","mm  &gt;  380 mm")</f>
        <v>mm  &lt;  380 mm</v>
      </c>
      <c r="H1275" s="832"/>
      <c r="I1275" s="832"/>
      <c r="J1275" s="832"/>
      <c r="K1275" s="832"/>
      <c r="L1275" s="990" t="s">
        <v>66</v>
      </c>
      <c r="M1275" s="832"/>
      <c r="N1275" s="997">
        <v>12</v>
      </c>
      <c r="O1275" s="997">
        <v>16</v>
      </c>
      <c r="P1275" s="997">
        <v>20</v>
      </c>
      <c r="Q1275" s="997">
        <v>22</v>
      </c>
      <c r="R1275" s="997">
        <v>25</v>
      </c>
      <c r="S1275" s="832"/>
      <c r="T1275" s="832"/>
    </row>
    <row r="1276" spans="1:20" x14ac:dyDescent="0.2">
      <c r="A1276" s="832"/>
      <c r="B1276" s="990" t="s">
        <v>1174</v>
      </c>
      <c r="C1276" s="832"/>
      <c r="D1276" s="832"/>
      <c r="E1276" s="1015">
        <f>IF(G1274&lt;=9,$C$247,$C$248)</f>
        <v>2E-3</v>
      </c>
      <c r="F1276" s="832"/>
      <c r="G1276" s="832"/>
      <c r="H1276" s="832"/>
      <c r="I1276" s="832"/>
      <c r="J1276" s="832"/>
      <c r="K1276" s="832"/>
      <c r="L1276" s="990" t="s">
        <v>67</v>
      </c>
      <c r="M1276" s="832"/>
      <c r="N1276" s="997">
        <f>IF(H1280=0,100000000,TRUNC(785.4*N1275^2/H1280/25)*25)</f>
        <v>150</v>
      </c>
      <c r="O1276" s="997">
        <f>IF(H1280=0,100000000,TRUNC(785.4*O1275^2/H1280/25)*25)</f>
        <v>275</v>
      </c>
      <c r="P1276" s="997">
        <f>IF(H1280=0,100000000,TRUNC(785.4*P1275^2/H1280/25)*25)</f>
        <v>425</v>
      </c>
      <c r="Q1276" s="997">
        <f>IF(H1280=0,100000000,TRUNC(785.4*Q1275^2/H1280/25)*25)</f>
        <v>525</v>
      </c>
      <c r="R1276" s="997">
        <f>IF(H1280=0,100000000,TRUNC(785.4*R1275^2/H1280/25)*25)</f>
        <v>700</v>
      </c>
      <c r="S1276" s="832"/>
      <c r="T1276" s="832"/>
    </row>
    <row r="1277" spans="1:20" x14ac:dyDescent="0.2">
      <c r="A1277" s="832"/>
      <c r="B1277" s="832"/>
      <c r="C1277" s="832"/>
      <c r="D1277" s="832"/>
      <c r="E1277" s="832"/>
      <c r="F1277" s="832"/>
      <c r="G1277" s="832"/>
      <c r="H1277" s="832"/>
      <c r="I1277" s="832"/>
      <c r="J1277" s="832"/>
      <c r="K1277" s="832"/>
      <c r="L1277" s="990" t="s">
        <v>68</v>
      </c>
      <c r="M1277" s="832"/>
      <c r="N1277" s="997">
        <f>785.4*N1275^2/N1276</f>
        <v>753.98399999999992</v>
      </c>
      <c r="O1277" s="997">
        <f>785.4*O1275^2/O1276</f>
        <v>731.13599999999997</v>
      </c>
      <c r="P1277" s="997">
        <f>785.4*P1275^2/P1276</f>
        <v>739.2</v>
      </c>
      <c r="Q1277" s="997">
        <f>785.4*Q1275^2/Q1276</f>
        <v>724.06399999999996</v>
      </c>
      <c r="R1277" s="997">
        <f>785.4*R1275^2/R1276</f>
        <v>701.25</v>
      </c>
      <c r="S1277" s="832"/>
      <c r="T1277" s="832"/>
    </row>
    <row r="1278" spans="1:20" x14ac:dyDescent="0.2">
      <c r="A1278" s="832"/>
      <c r="B1278" s="990" t="s">
        <v>84</v>
      </c>
      <c r="C1278" s="1015">
        <f>E1276</f>
        <v>2E-3</v>
      </c>
      <c r="D1278" s="990" t="s">
        <v>1012</v>
      </c>
      <c r="E1278" s="997">
        <f>IF(F1275&lt;380,F1275,380)</f>
        <v>350</v>
      </c>
      <c r="F1278" s="990" t="s">
        <v>1175</v>
      </c>
      <c r="G1278" s="832"/>
      <c r="H1278" s="997">
        <f>C1278*E1278*1000</f>
        <v>700.00000000000011</v>
      </c>
      <c r="I1278" s="990" t="s">
        <v>78</v>
      </c>
      <c r="J1278" s="832"/>
      <c r="K1278" s="832"/>
      <c r="L1278" s="990" t="s">
        <v>69</v>
      </c>
      <c r="M1278" s="832"/>
      <c r="N1278" s="997">
        <f>IF(OR(N1276&gt;300,N1276&lt;100),100000000,N1277-H1280)</f>
        <v>53.98399999999981</v>
      </c>
      <c r="O1278" s="997">
        <f>IF(OR(O1276&gt;300,O1276&lt;100),100000001,O1277-H1280)</f>
        <v>31.135999999999854</v>
      </c>
      <c r="P1278" s="997">
        <f>IF(OR(P1276&gt;300,P1276&lt;100),100000001,P1277-H1280)</f>
        <v>100000001</v>
      </c>
      <c r="Q1278" s="997">
        <f>IF(OR(Q1276&gt;300,Q1276&lt;100),100000001,Q1277-H1280)</f>
        <v>100000001</v>
      </c>
      <c r="R1278" s="997">
        <f>IF(OR(R1276&gt;300,R1276&lt;100),100000001,R1277-H1280)</f>
        <v>100000001</v>
      </c>
      <c r="S1278" s="832"/>
      <c r="T1278" s="832"/>
    </row>
    <row r="1279" spans="1:20" x14ac:dyDescent="0.2">
      <c r="A1279" s="832"/>
      <c r="B1279" s="832"/>
      <c r="C1279" s="832"/>
      <c r="D1279" s="832"/>
      <c r="E1279" s="832"/>
      <c r="F1279" s="832"/>
      <c r="G1279" s="832"/>
      <c r="H1279" s="832"/>
      <c r="I1279" s="832"/>
      <c r="J1279" s="832"/>
      <c r="K1279" s="832"/>
      <c r="L1279" s="990" t="s">
        <v>70</v>
      </c>
      <c r="M1279" s="832"/>
      <c r="N1279" s="997">
        <f>IF(R1276&lt;100,25,IF(MIN(N1278:R1278)=N1278,12,IF(MIN(N1278:R1278)=O1278,16,IF(MIN(N1278:R1278)=P1278,20,IF(MIN(N1278:R1278)=Q1278,22,IF(MIN(N1278:R1278)=R1278,25,0))))))</f>
        <v>16</v>
      </c>
      <c r="O1279" s="990" t="s">
        <v>71</v>
      </c>
      <c r="P1279" s="997">
        <f>IF(N1279=12,N1276,IF(N1279=16,O1276,IF(N1279=20,P1276,IF(N1279=22,Q1276,IF(N1279=25,R1276,0)))))</f>
        <v>275</v>
      </c>
      <c r="Q1279" s="990" t="s">
        <v>72</v>
      </c>
      <c r="R1279" s="832"/>
      <c r="S1279" s="832"/>
      <c r="T1279" s="832"/>
    </row>
    <row r="1280" spans="1:20" x14ac:dyDescent="0.2">
      <c r="A1280" s="832"/>
      <c r="B1280" s="994" t="str">
        <f>IF(H1269&gt;H1278,"Ast(Moment)  &gt;  Ast(Shrinkage)","Ast(Moment)  &lt;  Ast(Shrinkage)")</f>
        <v>Ast(Moment)  &lt;  Ast(Shrinkage)</v>
      </c>
      <c r="C1280" s="832"/>
      <c r="D1280" s="832"/>
      <c r="E1280" s="832"/>
      <c r="F1280" s="990" t="s">
        <v>88</v>
      </c>
      <c r="G1280" s="832"/>
      <c r="H1280" s="997">
        <f>IF(H1269&gt;H1278,H1269,H1278)</f>
        <v>700.00000000000011</v>
      </c>
      <c r="I1280" s="990" t="s">
        <v>89</v>
      </c>
      <c r="J1280" s="832"/>
      <c r="K1280" s="832"/>
      <c r="L1280" s="832"/>
      <c r="M1280" s="832"/>
      <c r="N1280" s="832"/>
      <c r="O1280" s="832"/>
      <c r="P1280" s="832"/>
      <c r="Q1280" s="832"/>
      <c r="R1280" s="832"/>
      <c r="S1280" s="832"/>
      <c r="T1280" s="832"/>
    </row>
    <row r="1281" spans="1:20" x14ac:dyDescent="0.2">
      <c r="A1281" s="832"/>
      <c r="B1281" s="1045" t="s">
        <v>79</v>
      </c>
      <c r="C1281" s="1046">
        <v>16</v>
      </c>
      <c r="D1281" s="1045" t="s">
        <v>71</v>
      </c>
      <c r="E1281" s="1046">
        <v>200</v>
      </c>
      <c r="F1281" s="1045" t="s">
        <v>80</v>
      </c>
      <c r="G1281" s="1047"/>
      <c r="H1281" s="1046">
        <f>785.4*C1281^2/E1281</f>
        <v>1005.312</v>
      </c>
      <c r="I1281" s="1045" t="s">
        <v>81</v>
      </c>
      <c r="J1281" s="1047"/>
      <c r="K1281" s="832"/>
      <c r="L1281" s="832"/>
      <c r="M1281" s="832"/>
      <c r="N1281" s="832"/>
      <c r="O1281" s="832"/>
      <c r="P1281" s="832"/>
      <c r="Q1281" s="832"/>
      <c r="R1281" s="832"/>
      <c r="S1281" s="832"/>
      <c r="T1281" s="832"/>
    </row>
    <row r="1282" spans="1:20" x14ac:dyDescent="0.2">
      <c r="A1282" s="832"/>
      <c r="B1282" s="832"/>
      <c r="C1282" s="832"/>
      <c r="D1282" s="832"/>
      <c r="E1282" s="832"/>
      <c r="F1282" s="832"/>
      <c r="G1282" s="832"/>
      <c r="H1282" s="832"/>
      <c r="I1282" s="832"/>
      <c r="J1282" s="832"/>
      <c r="K1282" s="832"/>
      <c r="L1282" s="832"/>
      <c r="M1282" s="832"/>
      <c r="N1282" s="832"/>
      <c r="O1282" s="832"/>
      <c r="P1282" s="832"/>
      <c r="Q1282" s="832"/>
      <c r="R1282" s="832"/>
      <c r="S1282" s="832"/>
      <c r="T1282" s="832"/>
    </row>
    <row r="1283" spans="1:20" x14ac:dyDescent="0.2">
      <c r="A1283" s="990" t="s">
        <v>950</v>
      </c>
      <c r="B1283" s="832"/>
      <c r="C1283" s="832"/>
      <c r="D1283" s="832"/>
      <c r="E1283" s="832"/>
      <c r="F1283" s="832"/>
      <c r="G1283" s="832"/>
      <c r="H1283" s="832"/>
      <c r="I1283" s="832"/>
      <c r="J1283" s="832"/>
      <c r="K1283" s="832"/>
      <c r="L1283" s="832"/>
      <c r="M1283" s="832"/>
      <c r="N1283" s="832"/>
      <c r="O1283" s="832"/>
      <c r="P1283" s="832"/>
      <c r="Q1283" s="832"/>
      <c r="R1283" s="832"/>
      <c r="S1283" s="832"/>
      <c r="T1283" s="832"/>
    </row>
    <row r="1284" spans="1:20" x14ac:dyDescent="0.2">
      <c r="A1284" s="990" t="s">
        <v>126</v>
      </c>
      <c r="B1284" s="832"/>
      <c r="C1284" s="832"/>
      <c r="D1284" s="832"/>
      <c r="E1284" s="832"/>
      <c r="F1284" s="832"/>
      <c r="G1284" s="832"/>
      <c r="H1284" s="832"/>
      <c r="I1284" s="832"/>
      <c r="J1284" s="832"/>
      <c r="K1284" s="832"/>
      <c r="L1284" s="832"/>
      <c r="M1284" s="832"/>
      <c r="N1284" s="832"/>
      <c r="O1284" s="832"/>
      <c r="P1284" s="832"/>
      <c r="Q1284" s="832"/>
      <c r="R1284" s="832"/>
      <c r="S1284" s="832"/>
      <c r="T1284" s="832"/>
    </row>
    <row r="1285" spans="1:20" x14ac:dyDescent="0.2">
      <c r="A1285" s="832"/>
      <c r="B1285" s="832"/>
      <c r="C1285" s="832"/>
      <c r="D1285" s="832"/>
      <c r="E1285" s="832"/>
      <c r="F1285" s="832"/>
      <c r="G1285" s="832"/>
      <c r="H1285" s="832"/>
      <c r="I1285" s="832"/>
      <c r="J1285" s="832"/>
      <c r="K1285" s="832"/>
      <c r="L1285" s="832"/>
      <c r="M1285" s="832"/>
      <c r="N1285" s="832"/>
      <c r="O1285" s="832"/>
      <c r="P1285" s="832"/>
      <c r="Q1285" s="832"/>
      <c r="R1285" s="832"/>
      <c r="S1285" s="832"/>
      <c r="T1285" s="832"/>
    </row>
    <row r="1286" spans="1:20" x14ac:dyDescent="0.2">
      <c r="A1286" s="832"/>
      <c r="B1286" s="990" t="s">
        <v>1931</v>
      </c>
      <c r="C1286" s="832"/>
      <c r="D1286" s="832"/>
      <c r="E1286" s="832"/>
      <c r="F1286" s="832"/>
      <c r="G1286" s="832"/>
      <c r="H1286" s="874">
        <f>(E1209*1000000000)/(G54*F127*H1268)</f>
        <v>46.56932850955932</v>
      </c>
      <c r="I1286" s="990" t="s">
        <v>78</v>
      </c>
      <c r="J1286" s="832"/>
      <c r="K1286" s="832"/>
      <c r="L1286" s="832"/>
      <c r="M1286" s="832"/>
      <c r="N1286" s="832"/>
      <c r="O1286" s="832"/>
      <c r="P1286" s="832"/>
      <c r="Q1286" s="832"/>
      <c r="R1286" s="832"/>
      <c r="S1286" s="832"/>
      <c r="T1286" s="832"/>
    </row>
    <row r="1287" spans="1:20" x14ac:dyDescent="0.2">
      <c r="A1287" s="832"/>
      <c r="B1287" s="832"/>
      <c r="C1287" s="832"/>
      <c r="D1287" s="832"/>
      <c r="E1287" s="832"/>
      <c r="F1287" s="832"/>
      <c r="G1287" s="832"/>
      <c r="H1287" s="832"/>
      <c r="I1287" s="832"/>
      <c r="J1287" s="832"/>
      <c r="K1287" s="832"/>
      <c r="L1287" s="832"/>
      <c r="M1287" s="832"/>
      <c r="N1287" s="832"/>
      <c r="O1287" s="832"/>
      <c r="P1287" s="832"/>
      <c r="Q1287" s="832"/>
      <c r="R1287" s="832"/>
      <c r="S1287" s="832"/>
      <c r="T1287" s="832"/>
    </row>
    <row r="1288" spans="1:20" x14ac:dyDescent="0.2">
      <c r="A1288" s="832"/>
      <c r="B1288" s="990" t="s">
        <v>87</v>
      </c>
      <c r="C1288" s="832"/>
      <c r="D1288" s="832"/>
      <c r="E1288" s="832"/>
      <c r="F1288" s="832"/>
      <c r="G1288" s="832"/>
      <c r="H1288" s="832"/>
      <c r="I1288" s="832"/>
      <c r="J1288" s="832"/>
      <c r="K1288" s="832"/>
      <c r="L1288" s="832"/>
      <c r="M1288" s="832"/>
      <c r="N1288" s="832"/>
      <c r="O1288" s="832"/>
      <c r="P1288" s="832"/>
      <c r="Q1288" s="832"/>
      <c r="R1288" s="832"/>
      <c r="S1288" s="832"/>
      <c r="T1288" s="832"/>
    </row>
    <row r="1289" spans="1:20" x14ac:dyDescent="0.2">
      <c r="A1289" s="832"/>
      <c r="B1289" s="832"/>
      <c r="C1289" s="832"/>
      <c r="D1289" s="832"/>
      <c r="E1289" s="832"/>
      <c r="F1289" s="832"/>
      <c r="G1289" s="832"/>
      <c r="H1289" s="832"/>
      <c r="I1289" s="832"/>
      <c r="J1289" s="832"/>
      <c r="K1289" s="832"/>
      <c r="L1289" s="832"/>
      <c r="M1289" s="832"/>
      <c r="N1289" s="832"/>
      <c r="O1289" s="832"/>
      <c r="P1289" s="832"/>
      <c r="Q1289" s="832"/>
      <c r="R1289" s="832"/>
      <c r="S1289" s="832"/>
      <c r="T1289" s="832"/>
    </row>
    <row r="1290" spans="1:20" x14ac:dyDescent="0.2">
      <c r="A1290" s="832"/>
      <c r="B1290" s="990" t="s">
        <v>1640</v>
      </c>
      <c r="C1290" s="832"/>
      <c r="D1290" s="832"/>
      <c r="E1290" s="832"/>
      <c r="F1290" s="832"/>
      <c r="G1290" s="832"/>
      <c r="H1290" s="994">
        <f>D65</f>
        <v>2.9</v>
      </c>
      <c r="I1290" s="994" t="str">
        <f>IF(H1290&lt;=9,"m  &lt;  9 m","m  &gt;  9 m")</f>
        <v>m  &lt;  9 m</v>
      </c>
      <c r="J1290" s="832"/>
      <c r="K1290" s="832"/>
      <c r="L1290" s="832"/>
      <c r="M1290" s="832"/>
      <c r="N1290" s="832"/>
      <c r="O1290" s="832"/>
      <c r="P1290" s="832"/>
      <c r="Q1290" s="832"/>
      <c r="R1290" s="832"/>
      <c r="S1290" s="832"/>
      <c r="T1290" s="832"/>
    </row>
    <row r="1291" spans="1:20" x14ac:dyDescent="0.2">
      <c r="A1291" s="832"/>
      <c r="B1291" s="990" t="s">
        <v>1170</v>
      </c>
      <c r="C1291" s="832"/>
      <c r="D1291" s="832"/>
      <c r="E1291" s="832"/>
      <c r="F1291" s="997">
        <f>G1235</f>
        <v>350</v>
      </c>
      <c r="G1291" s="994" t="str">
        <f>IF(F1291&lt;=380,"mm  &lt;  380 mm","mm  &gt;  380 mm")</f>
        <v>mm  &lt;  380 mm</v>
      </c>
      <c r="H1291" s="832"/>
      <c r="I1291" s="832"/>
      <c r="J1291" s="832"/>
      <c r="K1291" s="832"/>
      <c r="L1291" s="990" t="s">
        <v>66</v>
      </c>
      <c r="M1291" s="832"/>
      <c r="N1291" s="997">
        <v>12</v>
      </c>
      <c r="O1291" s="997">
        <v>16</v>
      </c>
      <c r="P1291" s="997">
        <v>20</v>
      </c>
      <c r="Q1291" s="997">
        <v>22</v>
      </c>
      <c r="R1291" s="997">
        <v>25</v>
      </c>
      <c r="S1291" s="832"/>
      <c r="T1291" s="832"/>
    </row>
    <row r="1292" spans="1:20" x14ac:dyDescent="0.2">
      <c r="A1292" s="832"/>
      <c r="B1292" s="990" t="s">
        <v>1174</v>
      </c>
      <c r="C1292" s="832"/>
      <c r="D1292" s="832"/>
      <c r="E1292" s="1015">
        <f>IF(H1290&lt;=9,$C$247,$C$248)</f>
        <v>2E-3</v>
      </c>
      <c r="F1292" s="832"/>
      <c r="G1292" s="832"/>
      <c r="H1292" s="832"/>
      <c r="I1292" s="832"/>
      <c r="J1292" s="832"/>
      <c r="K1292" s="832"/>
      <c r="L1292" s="990" t="s">
        <v>67</v>
      </c>
      <c r="M1292" s="832"/>
      <c r="N1292" s="997">
        <f>IF(H1295=0,100000000,TRUNC(785.4*N1291^2/H1295/25)*25)</f>
        <v>150</v>
      </c>
      <c r="O1292" s="997">
        <f>IF(H1295=0,100000000,TRUNC(785.4*O1291^2/H1295/25)*25)</f>
        <v>275</v>
      </c>
      <c r="P1292" s="997">
        <f>IF(H1295=0,100000000,TRUNC(785.4*P1291^2/H1295/25)*25)</f>
        <v>425</v>
      </c>
      <c r="Q1292" s="997">
        <f>IF(H1295=0,100000000,TRUNC(785.4*Q1291^2/H1295/25)*25)</f>
        <v>525</v>
      </c>
      <c r="R1292" s="997">
        <f>IF(H1295=0,100000000,TRUNC(785.4*R1291^2/H1295/25)*25)</f>
        <v>700</v>
      </c>
      <c r="S1292" s="832"/>
      <c r="T1292" s="832"/>
    </row>
    <row r="1293" spans="1:20" x14ac:dyDescent="0.2">
      <c r="A1293" s="832"/>
      <c r="B1293" s="832"/>
      <c r="C1293" s="832"/>
      <c r="D1293" s="832"/>
      <c r="E1293" s="832"/>
      <c r="F1293" s="832"/>
      <c r="G1293" s="832"/>
      <c r="H1293" s="832"/>
      <c r="I1293" s="832"/>
      <c r="J1293" s="832"/>
      <c r="K1293" s="832"/>
      <c r="L1293" s="990" t="s">
        <v>68</v>
      </c>
      <c r="M1293" s="832"/>
      <c r="N1293" s="997">
        <f>785.4*N1291^2/N1292</f>
        <v>753.98399999999992</v>
      </c>
      <c r="O1293" s="997">
        <f>785.4*O1291^2/O1292</f>
        <v>731.13599999999997</v>
      </c>
      <c r="P1293" s="997">
        <f>785.4*P1291^2/P1292</f>
        <v>739.2</v>
      </c>
      <c r="Q1293" s="997">
        <f>785.4*Q1291^2/Q1292</f>
        <v>724.06399999999996</v>
      </c>
      <c r="R1293" s="997">
        <f>785.4*R1291^2/R1292</f>
        <v>701.25</v>
      </c>
      <c r="S1293" s="832"/>
      <c r="T1293" s="832"/>
    </row>
    <row r="1294" spans="1:20" x14ac:dyDescent="0.2">
      <c r="A1294" s="832"/>
      <c r="B1294" s="990" t="s">
        <v>84</v>
      </c>
      <c r="C1294" s="1015">
        <f>E1292</f>
        <v>2E-3</v>
      </c>
      <c r="D1294" s="990" t="s">
        <v>1012</v>
      </c>
      <c r="E1294" s="997">
        <f>IF(F1291&lt;380,F1291,380)</f>
        <v>350</v>
      </c>
      <c r="F1294" s="990" t="s">
        <v>1175</v>
      </c>
      <c r="G1294" s="832"/>
      <c r="H1294" s="997">
        <f>C1294*E1294*1000</f>
        <v>700.00000000000011</v>
      </c>
      <c r="I1294" s="990" t="s">
        <v>78</v>
      </c>
      <c r="J1294" s="832"/>
      <c r="K1294" s="832"/>
      <c r="L1294" s="990" t="s">
        <v>69</v>
      </c>
      <c r="M1294" s="832"/>
      <c r="N1294" s="997">
        <f>IF(OR(N1292&gt;300,N1292&lt;100),100000000,N1293-H1295)</f>
        <v>53.98399999999981</v>
      </c>
      <c r="O1294" s="997">
        <f>IF(OR(O1292&gt;300,O1292&lt;100),100000001,O1293-H1295)</f>
        <v>31.135999999999854</v>
      </c>
      <c r="P1294" s="997">
        <f>IF(OR(P1292&gt;300,P1292&lt;100),100000001,P1293-H1295)</f>
        <v>100000001</v>
      </c>
      <c r="Q1294" s="997">
        <f>IF(OR(Q1292&gt;300,Q1292&lt;100),100000001,Q1293-H1295)</f>
        <v>100000001</v>
      </c>
      <c r="R1294" s="997">
        <f>IF(OR(R1292&gt;300,R1292&lt;100),100000001,R1293-H1295)</f>
        <v>100000001</v>
      </c>
      <c r="S1294" s="832"/>
      <c r="T1294" s="832"/>
    </row>
    <row r="1295" spans="1:20" x14ac:dyDescent="0.2">
      <c r="A1295" s="832"/>
      <c r="B1295" s="994" t="str">
        <f>IF(H1286&gt;H1294,"Ast(Moment)  &gt;  Ast(Shrinkage)","Ast(Moment)  &lt;  Ast(Shrinkage)")</f>
        <v>Ast(Moment)  &lt;  Ast(Shrinkage)</v>
      </c>
      <c r="C1295" s="832"/>
      <c r="D1295" s="832"/>
      <c r="E1295" s="832"/>
      <c r="F1295" s="990" t="s">
        <v>88</v>
      </c>
      <c r="G1295" s="832"/>
      <c r="H1295" s="997">
        <f>IF(H1286&gt;H1294,H1286,H1294)</f>
        <v>700.00000000000011</v>
      </c>
      <c r="I1295" s="990" t="s">
        <v>89</v>
      </c>
      <c r="J1295" s="832"/>
      <c r="K1295" s="832"/>
      <c r="L1295" s="990" t="s">
        <v>70</v>
      </c>
      <c r="M1295" s="832"/>
      <c r="N1295" s="997">
        <f>IF(R1292&lt;100,25,IF(MIN(N1294:R1294)=N1294,12,IF(MIN(N1294:R1294)=O1294,16,IF(MIN(N1294:R1294)=P1294,20,IF(MIN(N1294:R1294)=Q1294,22,IF(MIN(N1294:R1294)=R1294,25,0))))))</f>
        <v>16</v>
      </c>
      <c r="O1295" s="990" t="s">
        <v>71</v>
      </c>
      <c r="P1295" s="997">
        <f>IF(N1295=12,N1292,IF(N1295=16,O1292,IF(N1295=20,P1292,IF(N1295=22,Q1292,IF(N1295=25,R1292,0)))))</f>
        <v>275</v>
      </c>
      <c r="Q1295" s="990" t="s">
        <v>72</v>
      </c>
      <c r="R1295" s="832"/>
      <c r="S1295" s="832"/>
      <c r="T1295" s="832"/>
    </row>
    <row r="1296" spans="1:20" x14ac:dyDescent="0.2">
      <c r="A1296" s="832"/>
      <c r="B1296" s="832"/>
      <c r="C1296" s="832"/>
      <c r="D1296" s="832"/>
      <c r="E1296" s="832"/>
      <c r="F1296" s="832"/>
      <c r="G1296" s="832"/>
      <c r="H1296" s="832"/>
      <c r="I1296" s="832"/>
      <c r="J1296" s="832"/>
      <c r="K1296" s="832"/>
      <c r="L1296" s="832"/>
      <c r="M1296" s="832"/>
      <c r="N1296" s="832"/>
      <c r="O1296" s="832"/>
      <c r="P1296" s="832"/>
      <c r="Q1296" s="832"/>
      <c r="R1296" s="832"/>
      <c r="S1296" s="832"/>
      <c r="T1296" s="832"/>
    </row>
    <row r="1297" spans="1:20" x14ac:dyDescent="0.2">
      <c r="A1297" s="832"/>
      <c r="B1297" s="1045" t="s">
        <v>79</v>
      </c>
      <c r="C1297" s="1046">
        <v>12</v>
      </c>
      <c r="D1297" s="1045" t="s">
        <v>71</v>
      </c>
      <c r="E1297" s="1046">
        <v>150</v>
      </c>
      <c r="F1297" s="1045" t="s">
        <v>80</v>
      </c>
      <c r="G1297" s="1047"/>
      <c r="H1297" s="1046">
        <f>785.4*C1297^2/E1297</f>
        <v>753.98399999999992</v>
      </c>
      <c r="I1297" s="1045" t="s">
        <v>81</v>
      </c>
      <c r="J1297" s="1047"/>
      <c r="K1297" s="832"/>
      <c r="L1297" s="832"/>
      <c r="M1297" s="832"/>
      <c r="N1297" s="832"/>
      <c r="O1297" s="832"/>
      <c r="P1297" s="832"/>
      <c r="Q1297" s="832"/>
      <c r="R1297" s="832"/>
      <c r="S1297" s="832"/>
      <c r="T1297" s="832"/>
    </row>
    <row r="1298" spans="1:20" x14ac:dyDescent="0.2">
      <c r="A1298" s="990" t="s">
        <v>986</v>
      </c>
      <c r="B1298" s="832"/>
      <c r="C1298" s="832"/>
      <c r="D1298" s="832"/>
      <c r="E1298" s="832"/>
      <c r="F1298" s="832"/>
      <c r="G1298" s="832"/>
      <c r="H1298" s="832"/>
      <c r="I1298" s="832"/>
      <c r="J1298" s="832"/>
      <c r="K1298" s="832"/>
      <c r="L1298" s="832"/>
      <c r="M1298" s="832"/>
      <c r="N1298" s="832"/>
      <c r="O1298" s="832"/>
      <c r="P1298" s="832"/>
      <c r="Q1298" s="832"/>
      <c r="R1298" s="832"/>
      <c r="S1298" s="832"/>
      <c r="T1298" s="832"/>
    </row>
    <row r="1299" spans="1:20" ht="13.5" thickBot="1" x14ac:dyDescent="0.25">
      <c r="A1299" s="990" t="s">
        <v>950</v>
      </c>
      <c r="B1299" s="832"/>
      <c r="C1299" s="832"/>
      <c r="D1299" s="832"/>
      <c r="E1299" s="832"/>
      <c r="F1299" s="832"/>
      <c r="G1299" s="832"/>
      <c r="H1299" s="832"/>
      <c r="I1299" s="832"/>
      <c r="J1299" s="832"/>
      <c r="K1299" s="832"/>
      <c r="L1299" s="832"/>
      <c r="M1299" s="832"/>
      <c r="N1299" s="832"/>
      <c r="O1299" s="832"/>
      <c r="P1299" s="832"/>
      <c r="Q1299" s="832"/>
      <c r="R1299" s="832"/>
      <c r="S1299" s="832"/>
      <c r="T1299" s="832"/>
    </row>
    <row r="1300" spans="1:20" x14ac:dyDescent="0.2">
      <c r="A1300" s="1048" t="str">
        <f>IF(E42=1,"4.6","4.7")</f>
        <v>4.6</v>
      </c>
      <c r="B1300" s="938" t="s">
        <v>1666</v>
      </c>
      <c r="C1300" s="890"/>
      <c r="D1300" s="890"/>
      <c r="E1300" s="890"/>
      <c r="F1300" s="890"/>
      <c r="G1300" s="890"/>
      <c r="H1300" s="890"/>
      <c r="I1300" s="890"/>
      <c r="J1300" s="892"/>
      <c r="K1300" s="832"/>
      <c r="L1300" s="832"/>
      <c r="M1300" s="832"/>
      <c r="N1300" s="832"/>
      <c r="O1300" s="832"/>
      <c r="P1300" s="832"/>
      <c r="Q1300" s="832"/>
      <c r="R1300" s="832"/>
      <c r="S1300" s="832"/>
      <c r="T1300" s="832"/>
    </row>
    <row r="1301" spans="1:20" x14ac:dyDescent="0.2">
      <c r="A1301" s="815"/>
      <c r="B1301" s="809"/>
      <c r="C1301" s="809"/>
      <c r="D1301" s="809"/>
      <c r="E1301" s="809"/>
      <c r="F1301" s="809"/>
      <c r="G1301" s="809"/>
      <c r="H1301" s="809"/>
      <c r="I1301" s="809"/>
      <c r="J1301" s="896"/>
      <c r="K1301" s="832"/>
      <c r="L1301" s="832"/>
      <c r="M1301" s="832"/>
      <c r="N1301" s="832"/>
      <c r="O1301" s="832"/>
      <c r="P1301" s="832"/>
      <c r="Q1301" s="832"/>
      <c r="R1301" s="832"/>
      <c r="S1301" s="832"/>
      <c r="T1301" s="832"/>
    </row>
    <row r="1302" spans="1:20" x14ac:dyDescent="0.2">
      <c r="A1302" s="815"/>
      <c r="B1302" s="1127" t="s">
        <v>1932</v>
      </c>
      <c r="C1302" s="809"/>
      <c r="D1302" s="809"/>
      <c r="E1302" s="809"/>
      <c r="F1302" s="809"/>
      <c r="G1302" s="809"/>
      <c r="H1302" s="809"/>
      <c r="I1302" s="809"/>
      <c r="J1302" s="896"/>
      <c r="K1302" s="832"/>
      <c r="L1302" s="832"/>
      <c r="M1302" s="832"/>
      <c r="N1302" s="832"/>
      <c r="O1302" s="832"/>
      <c r="P1302" s="832"/>
      <c r="Q1302" s="832"/>
      <c r="R1302" s="832"/>
      <c r="S1302" s="832"/>
      <c r="T1302" s="832"/>
    </row>
    <row r="1303" spans="1:20" x14ac:dyDescent="0.2">
      <c r="A1303" s="815"/>
      <c r="B1303" s="1127" t="s">
        <v>1933</v>
      </c>
      <c r="C1303" s="809"/>
      <c r="D1303" s="809"/>
      <c r="E1303" s="809"/>
      <c r="F1303" s="809"/>
      <c r="G1303" s="809"/>
      <c r="H1303" s="809"/>
      <c r="I1303" s="809"/>
      <c r="J1303" s="896"/>
      <c r="K1303" s="832"/>
      <c r="L1303" s="832"/>
      <c r="M1303" s="832"/>
      <c r="N1303" s="832"/>
      <c r="O1303" s="832"/>
      <c r="P1303" s="832"/>
      <c r="Q1303" s="832"/>
      <c r="R1303" s="832"/>
      <c r="S1303" s="832"/>
      <c r="T1303" s="832"/>
    </row>
    <row r="1304" spans="1:20" x14ac:dyDescent="0.2">
      <c r="A1304" s="815"/>
      <c r="B1304" s="809"/>
      <c r="C1304" s="809"/>
      <c r="D1304" s="809"/>
      <c r="E1304" s="809"/>
      <c r="F1304" s="809"/>
      <c r="G1304" s="809"/>
      <c r="H1304" s="809"/>
      <c r="I1304" s="809"/>
      <c r="J1304" s="896"/>
      <c r="K1304" s="832"/>
      <c r="L1304" s="832"/>
      <c r="M1304" s="832"/>
      <c r="N1304" s="832"/>
      <c r="O1304" s="832"/>
      <c r="P1304" s="832"/>
      <c r="Q1304" s="832"/>
      <c r="R1304" s="832"/>
      <c r="S1304" s="832"/>
      <c r="T1304" s="832"/>
    </row>
    <row r="1305" spans="1:20" x14ac:dyDescent="0.2">
      <c r="A1305" s="815"/>
      <c r="B1305" s="1127" t="s">
        <v>1667</v>
      </c>
      <c r="C1305" s="809"/>
      <c r="D1305" s="809"/>
      <c r="E1305" s="809"/>
      <c r="F1305" s="809"/>
      <c r="G1305" s="809"/>
      <c r="H1305" s="809"/>
      <c r="I1305" s="809"/>
      <c r="J1305" s="896"/>
      <c r="K1305" s="832"/>
      <c r="L1305" s="832"/>
      <c r="M1305" s="832"/>
      <c r="N1305" s="832"/>
      <c r="O1305" s="832"/>
      <c r="P1305" s="832"/>
      <c r="Q1305" s="832"/>
      <c r="R1305" s="832"/>
      <c r="S1305" s="832"/>
      <c r="T1305" s="832"/>
    </row>
    <row r="1306" spans="1:20" x14ac:dyDescent="0.2">
      <c r="A1306" s="815"/>
      <c r="B1306" s="809"/>
      <c r="C1306" s="809"/>
      <c r="D1306" s="809"/>
      <c r="E1306" s="809"/>
      <c r="F1306" s="809"/>
      <c r="G1306" s="809"/>
      <c r="H1306" s="809"/>
      <c r="I1306" s="809"/>
      <c r="J1306" s="896"/>
      <c r="K1306" s="832"/>
      <c r="L1306" s="832"/>
      <c r="M1306" s="832"/>
      <c r="N1306" s="832"/>
      <c r="O1306" s="832"/>
      <c r="P1306" s="832"/>
      <c r="Q1306" s="832"/>
      <c r="R1306" s="832"/>
      <c r="S1306" s="832"/>
      <c r="T1306" s="832"/>
    </row>
    <row r="1307" spans="1:20" x14ac:dyDescent="0.2">
      <c r="A1307" s="815"/>
      <c r="B1307" s="1127" t="s">
        <v>1668</v>
      </c>
      <c r="C1307" s="809"/>
      <c r="D1307" s="920">
        <v>175</v>
      </c>
      <c r="E1307" s="1127" t="s">
        <v>1669</v>
      </c>
      <c r="F1307" s="920">
        <v>200</v>
      </c>
      <c r="G1307" s="1127" t="s">
        <v>1670</v>
      </c>
      <c r="H1307" s="809"/>
      <c r="I1307" s="809"/>
      <c r="J1307" s="896"/>
      <c r="K1307" s="832"/>
      <c r="L1307" s="832"/>
      <c r="M1307" s="832"/>
      <c r="N1307" s="832"/>
      <c r="O1307" s="832"/>
      <c r="P1307" s="832"/>
      <c r="Q1307" s="832"/>
      <c r="R1307" s="832"/>
      <c r="S1307" s="832"/>
      <c r="T1307" s="832"/>
    </row>
    <row r="1308" spans="1:20" x14ac:dyDescent="0.2">
      <c r="A1308" s="815"/>
      <c r="B1308" s="1127" t="s">
        <v>1671</v>
      </c>
      <c r="C1308" s="809"/>
      <c r="D1308" s="920">
        <v>200</v>
      </c>
      <c r="E1308" s="1127" t="s">
        <v>1669</v>
      </c>
      <c r="F1308" s="920">
        <v>200</v>
      </c>
      <c r="G1308" s="1127" t="s">
        <v>1670</v>
      </c>
      <c r="H1308" s="809"/>
      <c r="I1308" s="809"/>
      <c r="J1308" s="896"/>
      <c r="K1308" s="832"/>
      <c r="L1308" s="832"/>
      <c r="M1308" s="832"/>
      <c r="N1308" s="832"/>
      <c r="O1308" s="832"/>
      <c r="P1308" s="832"/>
      <c r="Q1308" s="832"/>
      <c r="R1308" s="832"/>
      <c r="S1308" s="832"/>
      <c r="T1308" s="832"/>
    </row>
    <row r="1309" spans="1:20" x14ac:dyDescent="0.2">
      <c r="A1309" s="815"/>
      <c r="B1309" s="809"/>
      <c r="C1309" s="809"/>
      <c r="D1309" s="809"/>
      <c r="E1309" s="809"/>
      <c r="F1309" s="809"/>
      <c r="G1309" s="809"/>
      <c r="H1309" s="809"/>
      <c r="I1309" s="809"/>
      <c r="J1309" s="896"/>
      <c r="K1309" s="832"/>
      <c r="L1309" s="832"/>
      <c r="M1309" s="832"/>
      <c r="N1309" s="832"/>
      <c r="O1309" s="832"/>
      <c r="P1309" s="832"/>
      <c r="Q1309" s="832"/>
      <c r="R1309" s="832"/>
      <c r="S1309" s="832"/>
      <c r="T1309" s="832"/>
    </row>
    <row r="1310" spans="1:20" x14ac:dyDescent="0.2">
      <c r="A1310" s="815"/>
      <c r="B1310" s="1127" t="s">
        <v>1672</v>
      </c>
      <c r="C1310" s="809"/>
      <c r="D1310" s="809"/>
      <c r="E1310" s="920">
        <v>950</v>
      </c>
      <c r="F1310" s="1127" t="s">
        <v>43</v>
      </c>
      <c r="G1310" s="809"/>
      <c r="H1310" s="809"/>
      <c r="I1310" s="809"/>
      <c r="J1310" s="896"/>
      <c r="K1310" s="832"/>
      <c r="L1310" s="832"/>
      <c r="M1310" s="832"/>
      <c r="N1310" s="832"/>
      <c r="O1310" s="832"/>
      <c r="P1310" s="832"/>
      <c r="Q1310" s="832"/>
      <c r="R1310" s="832"/>
      <c r="S1310" s="832"/>
      <c r="T1310" s="832"/>
    </row>
    <row r="1311" spans="1:20" x14ac:dyDescent="0.2">
      <c r="A1311" s="815"/>
      <c r="B1311" s="1127" t="s">
        <v>1673</v>
      </c>
      <c r="C1311" s="809"/>
      <c r="D1311" s="809"/>
      <c r="E1311" s="920">
        <v>475</v>
      </c>
      <c r="F1311" s="1127" t="s">
        <v>43</v>
      </c>
      <c r="G1311" s="809"/>
      <c r="H1311" s="809"/>
      <c r="I1311" s="809"/>
      <c r="J1311" s="896"/>
      <c r="K1311" s="832"/>
      <c r="L1311" s="832"/>
      <c r="M1311" s="832"/>
      <c r="N1311" s="832"/>
      <c r="O1311" s="832"/>
      <c r="P1311" s="832"/>
      <c r="Q1311" s="832"/>
      <c r="R1311" s="832"/>
      <c r="S1311" s="832"/>
      <c r="T1311" s="832"/>
    </row>
    <row r="1312" spans="1:20" x14ac:dyDescent="0.2">
      <c r="A1312" s="815"/>
      <c r="B1312" s="1127" t="s">
        <v>1674</v>
      </c>
      <c r="C1312" s="809"/>
      <c r="D1312" s="809"/>
      <c r="E1312" s="920">
        <v>0</v>
      </c>
      <c r="F1312" s="1127" t="s">
        <v>43</v>
      </c>
      <c r="G1312" s="809"/>
      <c r="H1312" s="809"/>
      <c r="I1312" s="809">
        <v>100</v>
      </c>
      <c r="J1312" s="896"/>
      <c r="K1312" s="832"/>
      <c r="L1312" s="832"/>
      <c r="M1312" s="832"/>
      <c r="N1312" s="832"/>
      <c r="O1312" s="832"/>
      <c r="P1312" s="832"/>
      <c r="Q1312" s="832"/>
      <c r="R1312" s="832"/>
      <c r="S1312" s="832"/>
      <c r="T1312" s="832"/>
    </row>
    <row r="1313" spans="1:20" x14ac:dyDescent="0.2">
      <c r="A1313" s="815"/>
      <c r="B1313" s="809"/>
      <c r="C1313" s="809"/>
      <c r="D1313" s="809"/>
      <c r="E1313" s="809"/>
      <c r="F1313" s="809"/>
      <c r="G1313" s="809"/>
      <c r="H1313" s="809"/>
      <c r="I1313" s="809"/>
      <c r="J1313" s="896"/>
      <c r="K1313" s="832"/>
      <c r="L1313" s="832"/>
      <c r="M1313" s="832"/>
      <c r="N1313" s="832"/>
      <c r="O1313" s="832"/>
      <c r="P1313" s="832"/>
      <c r="Q1313" s="832"/>
      <c r="R1313" s="832"/>
      <c r="S1313" s="832"/>
      <c r="T1313" s="832"/>
    </row>
    <row r="1314" spans="1:20" x14ac:dyDescent="0.2">
      <c r="A1314" s="815"/>
      <c r="B1314" s="1127" t="s">
        <v>1675</v>
      </c>
      <c r="C1314" s="809"/>
      <c r="D1314" s="809"/>
      <c r="E1314" s="908">
        <f>E48</f>
        <v>0.9</v>
      </c>
      <c r="F1314" s="1127" t="s">
        <v>24</v>
      </c>
      <c r="G1314" s="809"/>
      <c r="H1314" s="809"/>
      <c r="I1314" s="809"/>
      <c r="J1314" s="896"/>
      <c r="K1314" s="832"/>
      <c r="L1314" s="832"/>
      <c r="M1314" s="832"/>
      <c r="N1314" s="832"/>
      <c r="O1314" s="832"/>
      <c r="P1314" s="832"/>
      <c r="Q1314" s="832"/>
      <c r="R1314" s="832"/>
      <c r="S1314" s="832"/>
      <c r="T1314" s="832"/>
    </row>
    <row r="1315" spans="1:20" x14ac:dyDescent="0.2">
      <c r="A1315" s="815"/>
      <c r="B1315" s="809"/>
      <c r="C1315" s="809"/>
      <c r="D1315" s="809"/>
      <c r="E1315" s="809"/>
      <c r="F1315" s="809"/>
      <c r="G1315" s="809"/>
      <c r="H1315" s="809"/>
      <c r="I1315" s="809"/>
      <c r="J1315" s="896"/>
      <c r="K1315" s="832"/>
      <c r="L1315" s="832"/>
      <c r="M1315" s="832"/>
      <c r="N1315" s="832"/>
      <c r="O1315" s="832"/>
      <c r="P1315" s="832"/>
      <c r="Q1315" s="832"/>
      <c r="R1315" s="832"/>
      <c r="S1315" s="832"/>
      <c r="T1315" s="832"/>
    </row>
    <row r="1316" spans="1:20" x14ac:dyDescent="0.2">
      <c r="A1316" s="815"/>
      <c r="B1316" s="809"/>
      <c r="C1316" s="809"/>
      <c r="D1316" s="809"/>
      <c r="E1316" s="809"/>
      <c r="F1316" s="809"/>
      <c r="G1316" s="809"/>
      <c r="H1316" s="809"/>
      <c r="I1316" s="809"/>
      <c r="J1316" s="896"/>
      <c r="K1316" s="832"/>
      <c r="L1316" s="832"/>
      <c r="M1316" s="832"/>
      <c r="N1316" s="832"/>
      <c r="O1316" s="832"/>
      <c r="P1316" s="832"/>
      <c r="Q1316" s="832"/>
      <c r="R1316" s="832"/>
      <c r="S1316" s="832"/>
      <c r="T1316" s="832"/>
    </row>
    <row r="1317" spans="1:20" x14ac:dyDescent="0.2">
      <c r="A1317" s="815"/>
      <c r="B1317" s="809"/>
      <c r="C1317" s="1127" t="s">
        <v>1676</v>
      </c>
      <c r="D1317" s="1127" t="s">
        <v>1453</v>
      </c>
      <c r="E1317" s="921" t="s">
        <v>10</v>
      </c>
      <c r="F1317" s="921" t="s">
        <v>10</v>
      </c>
      <c r="G1317" s="921" t="s">
        <v>10</v>
      </c>
      <c r="H1317" s="921" t="s">
        <v>10</v>
      </c>
      <c r="I1317" s="1127" t="s">
        <v>1676</v>
      </c>
      <c r="J1317" s="896"/>
      <c r="K1317" s="832"/>
      <c r="L1317" s="832"/>
      <c r="M1317" s="832"/>
      <c r="N1317" s="832"/>
      <c r="O1317" s="832"/>
      <c r="P1317" s="832"/>
      <c r="Q1317" s="832"/>
      <c r="R1317" s="832"/>
      <c r="S1317" s="832"/>
      <c r="T1317" s="832"/>
    </row>
    <row r="1318" spans="1:20" x14ac:dyDescent="0.2">
      <c r="A1318" s="815"/>
      <c r="B1318" s="809"/>
      <c r="C1318" s="1127" t="s">
        <v>1460</v>
      </c>
      <c r="D1318" s="1127" t="s">
        <v>1458</v>
      </c>
      <c r="E1318" s="809"/>
      <c r="F1318" s="809"/>
      <c r="G1318" s="809"/>
      <c r="H1318" s="1127" t="s">
        <v>1455</v>
      </c>
      <c r="I1318" s="920">
        <f>F1307</f>
        <v>200</v>
      </c>
      <c r="J1318" s="932" t="s">
        <v>43</v>
      </c>
      <c r="K1318" s="832"/>
      <c r="L1318" s="832" t="s">
        <v>1677</v>
      </c>
      <c r="M1318" s="832">
        <f>300*2+1500*3+600*2</f>
        <v>6300</v>
      </c>
      <c r="N1318" s="832"/>
      <c r="O1318" s="832"/>
      <c r="P1318" s="832"/>
      <c r="Q1318" s="832"/>
      <c r="R1318" s="832"/>
      <c r="S1318" s="832"/>
      <c r="T1318" s="832"/>
    </row>
    <row r="1319" spans="1:20" x14ac:dyDescent="0.2">
      <c r="A1319" s="815"/>
      <c r="B1319" s="809"/>
      <c r="C1319" s="1127" t="s">
        <v>1460</v>
      </c>
      <c r="D1319" s="1127" t="s">
        <v>1678</v>
      </c>
      <c r="E1319" s="921" t="s">
        <v>10</v>
      </c>
      <c r="F1319" s="921" t="s">
        <v>10</v>
      </c>
      <c r="G1319" s="1127" t="s">
        <v>1679</v>
      </c>
      <c r="H1319" s="1127" t="s">
        <v>1457</v>
      </c>
      <c r="I1319" s="1127" t="s">
        <v>1676</v>
      </c>
      <c r="J1319" s="896"/>
      <c r="K1319" s="832"/>
      <c r="L1319" s="990" t="s">
        <v>1680</v>
      </c>
      <c r="M1319" s="832">
        <f>300*2+1800*3+600*2</f>
        <v>7200</v>
      </c>
      <c r="N1319" s="832"/>
      <c r="O1319" s="832"/>
      <c r="P1319" s="832"/>
      <c r="Q1319" s="832"/>
      <c r="R1319" s="832"/>
      <c r="S1319" s="832"/>
      <c r="T1319" s="832"/>
    </row>
    <row r="1320" spans="1:20" x14ac:dyDescent="0.2">
      <c r="A1320" s="815"/>
      <c r="B1320" s="809"/>
      <c r="C1320" s="1127" t="s">
        <v>1460</v>
      </c>
      <c r="D1320" s="1127" t="s">
        <v>1681</v>
      </c>
      <c r="E1320" s="809"/>
      <c r="F1320" s="809"/>
      <c r="G1320" s="1127" t="s">
        <v>1682</v>
      </c>
      <c r="H1320" s="809"/>
      <c r="I1320" s="920">
        <f>E1310-F1307-E1311</f>
        <v>275</v>
      </c>
      <c r="J1320" s="932" t="s">
        <v>43</v>
      </c>
      <c r="K1320" s="832"/>
      <c r="L1320" s="832"/>
      <c r="M1320" s="832"/>
      <c r="N1320" s="832"/>
      <c r="O1320" s="832"/>
      <c r="P1320" s="832"/>
      <c r="Q1320" s="832"/>
      <c r="R1320" s="832"/>
      <c r="S1320" s="832"/>
      <c r="T1320" s="832"/>
    </row>
    <row r="1321" spans="1:20" x14ac:dyDescent="0.2">
      <c r="A1321" s="815"/>
      <c r="B1321" s="809"/>
      <c r="C1321" s="1127" t="s">
        <v>1460</v>
      </c>
      <c r="D1321" s="1127" t="s">
        <v>1681</v>
      </c>
      <c r="E1321" s="809"/>
      <c r="F1321" s="809"/>
      <c r="G1321" s="1127" t="s">
        <v>1682</v>
      </c>
      <c r="H1321" s="809"/>
      <c r="I1321" s="1127" t="s">
        <v>1460</v>
      </c>
      <c r="J1321" s="896"/>
      <c r="K1321" s="832" t="s">
        <v>1683</v>
      </c>
      <c r="L1321" s="832"/>
      <c r="M1321" s="832">
        <f>M1318/($E$48*1000)</f>
        <v>7</v>
      </c>
      <c r="N1321" s="832"/>
      <c r="O1321" s="832"/>
      <c r="P1321" s="832"/>
      <c r="Q1321" s="832"/>
      <c r="R1321" s="832"/>
      <c r="S1321" s="832"/>
      <c r="T1321" s="832"/>
    </row>
    <row r="1322" spans="1:20" x14ac:dyDescent="0.2">
      <c r="A1322" s="815"/>
      <c r="B1322" s="809"/>
      <c r="C1322" s="920">
        <f>E1310</f>
        <v>950</v>
      </c>
      <c r="D1322" s="1127" t="s">
        <v>1684</v>
      </c>
      <c r="E1322" s="921" t="s">
        <v>10</v>
      </c>
      <c r="F1322" s="921" t="s">
        <v>10</v>
      </c>
      <c r="G1322" s="1127" t="s">
        <v>1679</v>
      </c>
      <c r="H1322" s="1127" t="s">
        <v>1457</v>
      </c>
      <c r="I1322" s="1127" t="s">
        <v>1676</v>
      </c>
      <c r="J1322" s="896"/>
      <c r="K1322" s="832" t="s">
        <v>1685</v>
      </c>
      <c r="L1322" s="832"/>
      <c r="M1322" s="832">
        <f>M1319/($E$48*1000)</f>
        <v>8</v>
      </c>
      <c r="N1322" s="832"/>
      <c r="O1322" s="832"/>
      <c r="P1322" s="832"/>
      <c r="Q1322" s="832"/>
      <c r="R1322" s="832"/>
      <c r="S1322" s="832"/>
      <c r="T1322" s="832"/>
    </row>
    <row r="1323" spans="1:20" x14ac:dyDescent="0.2">
      <c r="A1323" s="815"/>
      <c r="B1323" s="809"/>
      <c r="C1323" s="1127" t="s">
        <v>1460</v>
      </c>
      <c r="D1323" s="1127" t="s">
        <v>1458</v>
      </c>
      <c r="E1323" s="809"/>
      <c r="F1323" s="809"/>
      <c r="G1323" s="809"/>
      <c r="H1323" s="1127" t="s">
        <v>1463</v>
      </c>
      <c r="I1323" s="920">
        <f>F1307</f>
        <v>200</v>
      </c>
      <c r="J1323" s="932" t="s">
        <v>43</v>
      </c>
      <c r="K1323" s="832"/>
      <c r="L1323" s="832"/>
      <c r="M1323" s="832"/>
      <c r="N1323" s="832"/>
      <c r="O1323" s="832"/>
      <c r="P1323" s="832"/>
      <c r="Q1323" s="832"/>
      <c r="R1323" s="832"/>
      <c r="S1323" s="832"/>
      <c r="T1323" s="832"/>
    </row>
    <row r="1324" spans="1:20" x14ac:dyDescent="0.2">
      <c r="A1324" s="815"/>
      <c r="B1324" s="809"/>
      <c r="C1324" s="1127" t="s">
        <v>1460</v>
      </c>
      <c r="D1324" s="1127" t="s">
        <v>1678</v>
      </c>
      <c r="E1324" s="921" t="s">
        <v>10</v>
      </c>
      <c r="F1324" s="921" t="s">
        <v>10</v>
      </c>
      <c r="G1324" s="1127" t="s">
        <v>1679</v>
      </c>
      <c r="H1324" s="921" t="s">
        <v>10</v>
      </c>
      <c r="I1324" s="1127" t="s">
        <v>1676</v>
      </c>
      <c r="J1324" s="896"/>
      <c r="K1324" s="832"/>
      <c r="L1324" s="832"/>
      <c r="M1324" s="832">
        <f>900-150</f>
        <v>750</v>
      </c>
      <c r="N1324" s="832"/>
      <c r="O1324" s="832"/>
      <c r="P1324" s="832"/>
      <c r="Q1324" s="832"/>
      <c r="R1324" s="832"/>
      <c r="S1324" s="832"/>
      <c r="T1324" s="832"/>
    </row>
    <row r="1325" spans="1:20" x14ac:dyDescent="0.2">
      <c r="A1325" s="815"/>
      <c r="B1325" s="809"/>
      <c r="C1325" s="1127" t="s">
        <v>1460</v>
      </c>
      <c r="D1325" s="1127" t="s">
        <v>1681</v>
      </c>
      <c r="E1325" s="809"/>
      <c r="F1325" s="809"/>
      <c r="G1325" s="1127" t="s">
        <v>1682</v>
      </c>
      <c r="H1325" s="809"/>
      <c r="I1325" s="920">
        <f>E1311-F1307-E1312</f>
        <v>275</v>
      </c>
      <c r="J1325" s="932" t="s">
        <v>43</v>
      </c>
      <c r="K1325" s="832"/>
      <c r="L1325" s="832"/>
      <c r="M1325" s="832"/>
      <c r="N1325" s="832"/>
      <c r="O1325" s="832"/>
      <c r="P1325" s="832"/>
      <c r="Q1325" s="832"/>
      <c r="R1325" s="832"/>
      <c r="S1325" s="832"/>
      <c r="T1325" s="832"/>
    </row>
    <row r="1326" spans="1:20" x14ac:dyDescent="0.2">
      <c r="A1326" s="815"/>
      <c r="B1326" s="809"/>
      <c r="C1326" s="1127" t="s">
        <v>1460</v>
      </c>
      <c r="D1326" s="1127" t="s">
        <v>1681</v>
      </c>
      <c r="E1326" s="809"/>
      <c r="F1326" s="809"/>
      <c r="G1326" s="1127" t="s">
        <v>1682</v>
      </c>
      <c r="H1326" s="809"/>
      <c r="I1326" s="1127" t="s">
        <v>1460</v>
      </c>
      <c r="J1326" s="896"/>
      <c r="K1326" s="832"/>
      <c r="L1326" s="832"/>
      <c r="M1326" s="832"/>
      <c r="N1326" s="832"/>
      <c r="O1326" s="832"/>
      <c r="P1326" s="832"/>
      <c r="Q1326" s="832"/>
      <c r="R1326" s="832"/>
      <c r="S1326" s="832"/>
      <c r="T1326" s="832"/>
    </row>
    <row r="1327" spans="1:20" x14ac:dyDescent="0.2">
      <c r="A1327" s="815"/>
      <c r="B1327" s="809"/>
      <c r="C1327" s="1127" t="s">
        <v>1460</v>
      </c>
      <c r="D1327" s="1127" t="s">
        <v>1678</v>
      </c>
      <c r="E1327" s="921" t="s">
        <v>10</v>
      </c>
      <c r="F1327" s="921" t="s">
        <v>10</v>
      </c>
      <c r="G1327" s="1127" t="s">
        <v>1686</v>
      </c>
      <c r="H1327" s="921" t="s">
        <v>10</v>
      </c>
      <c r="I1327" s="1127" t="s">
        <v>1676</v>
      </c>
      <c r="J1327" s="896"/>
      <c r="K1327" s="832"/>
      <c r="L1327" s="832"/>
      <c r="M1327" s="832"/>
      <c r="N1327" s="832"/>
      <c r="O1327" s="832"/>
      <c r="P1327" s="832"/>
      <c r="Q1327" s="832"/>
      <c r="R1327" s="832"/>
      <c r="S1327" s="832"/>
      <c r="T1327" s="832"/>
    </row>
    <row r="1328" spans="1:20" x14ac:dyDescent="0.2">
      <c r="A1328" s="815"/>
      <c r="B1328" s="809"/>
      <c r="C1328" s="1127" t="s">
        <v>1460</v>
      </c>
      <c r="D1328" s="1127" t="s">
        <v>1687</v>
      </c>
      <c r="E1328" s="809"/>
      <c r="F1328" s="809"/>
      <c r="G1328" s="809"/>
      <c r="H1328" s="1127" t="s">
        <v>1455</v>
      </c>
      <c r="I1328" s="920">
        <f>E1312</f>
        <v>0</v>
      </c>
      <c r="J1328" s="932" t="s">
        <v>43</v>
      </c>
      <c r="K1328" s="832"/>
      <c r="L1328" s="832"/>
      <c r="M1328" s="832"/>
      <c r="N1328" s="832"/>
      <c r="O1328" s="832"/>
      <c r="P1328" s="832"/>
      <c r="Q1328" s="832"/>
      <c r="R1328" s="832"/>
      <c r="S1328" s="832"/>
      <c r="T1328" s="832"/>
    </row>
    <row r="1329" spans="1:20" x14ac:dyDescent="0.2">
      <c r="A1329" s="815"/>
      <c r="B1329" s="809"/>
      <c r="C1329" s="1127" t="s">
        <v>1676</v>
      </c>
      <c r="D1329" s="1127" t="s">
        <v>1453</v>
      </c>
      <c r="E1329" s="921" t="s">
        <v>10</v>
      </c>
      <c r="F1329" s="921" t="s">
        <v>10</v>
      </c>
      <c r="G1329" s="921" t="s">
        <v>10</v>
      </c>
      <c r="H1329" s="1127" t="s">
        <v>1457</v>
      </c>
      <c r="I1329" s="1127" t="s">
        <v>1676</v>
      </c>
      <c r="J1329" s="896"/>
      <c r="K1329" s="832"/>
      <c r="L1329" s="832"/>
      <c r="M1329" s="832"/>
      <c r="N1329" s="832"/>
      <c r="O1329" s="832"/>
      <c r="P1329" s="832"/>
      <c r="Q1329" s="832"/>
      <c r="R1329" s="832"/>
      <c r="S1329" s="832"/>
      <c r="T1329" s="832"/>
    </row>
    <row r="1330" spans="1:20" x14ac:dyDescent="0.2">
      <c r="A1330" s="815"/>
      <c r="B1330" s="809"/>
      <c r="C1330" s="809"/>
      <c r="D1330" s="1127" t="s">
        <v>1681</v>
      </c>
      <c r="E1330" s="1127" t="s">
        <v>1688</v>
      </c>
      <c r="F1330" s="809"/>
      <c r="G1330" s="809"/>
      <c r="H1330" s="809"/>
      <c r="I1330" s="809"/>
      <c r="J1330" s="896"/>
      <c r="K1330" s="832"/>
      <c r="L1330" s="832"/>
      <c r="M1330" s="832"/>
      <c r="N1330" s="832"/>
      <c r="O1330" s="832"/>
      <c r="P1330" s="832"/>
      <c r="Q1330" s="832"/>
      <c r="R1330" s="832"/>
      <c r="S1330" s="832"/>
      <c r="T1330" s="832"/>
    </row>
    <row r="1331" spans="1:20" x14ac:dyDescent="0.2">
      <c r="A1331" s="815"/>
      <c r="B1331" s="809"/>
      <c r="C1331" s="809"/>
      <c r="D1331" s="920">
        <f>D1308</f>
        <v>200</v>
      </c>
      <c r="E1331" s="1127" t="s">
        <v>43</v>
      </c>
      <c r="F1331" s="809"/>
      <c r="G1331" s="1127" t="s">
        <v>1454</v>
      </c>
      <c r="H1331" s="809"/>
      <c r="I1331" s="809"/>
      <c r="J1331" s="896"/>
      <c r="K1331" s="832"/>
      <c r="L1331" s="832"/>
      <c r="M1331" s="832"/>
      <c r="N1331" s="832"/>
      <c r="O1331" s="832"/>
      <c r="P1331" s="832"/>
      <c r="Q1331" s="832"/>
      <c r="R1331" s="832"/>
      <c r="S1331" s="832"/>
      <c r="T1331" s="832"/>
    </row>
    <row r="1332" spans="1:20" x14ac:dyDescent="0.2">
      <c r="A1332" s="815"/>
      <c r="B1332" s="809"/>
      <c r="C1332" s="809"/>
      <c r="D1332" s="1127" t="s">
        <v>1681</v>
      </c>
      <c r="E1332" s="809"/>
      <c r="F1332" s="809"/>
      <c r="G1332" s="1127" t="s">
        <v>1454</v>
      </c>
      <c r="H1332" s="809"/>
      <c r="I1332" s="809"/>
      <c r="J1332" s="896"/>
      <c r="K1332" s="832"/>
      <c r="L1332" s="832"/>
      <c r="M1332" s="832"/>
      <c r="N1332" s="832"/>
      <c r="O1332" s="832"/>
      <c r="P1332" s="832"/>
      <c r="Q1332" s="832"/>
      <c r="R1332" s="832"/>
      <c r="S1332" s="832"/>
      <c r="T1332" s="832"/>
    </row>
    <row r="1333" spans="1:20" x14ac:dyDescent="0.2">
      <c r="A1333" s="815"/>
      <c r="B1333" s="809"/>
      <c r="C1333" s="809"/>
      <c r="D1333" s="1127" t="s">
        <v>1689</v>
      </c>
      <c r="E1333" s="921" t="s">
        <v>10</v>
      </c>
      <c r="F1333" s="921" t="s">
        <v>10</v>
      </c>
      <c r="G1333" s="1127" t="s">
        <v>1690</v>
      </c>
      <c r="H1333" s="809"/>
      <c r="I1333" s="809"/>
      <c r="J1333" s="896"/>
      <c r="K1333" s="832"/>
      <c r="L1333" s="832"/>
      <c r="M1333" s="832"/>
      <c r="N1333" s="832"/>
      <c r="O1333" s="832"/>
      <c r="P1333" s="832"/>
      <c r="Q1333" s="832"/>
      <c r="R1333" s="832"/>
      <c r="S1333" s="832"/>
      <c r="T1333" s="832"/>
    </row>
    <row r="1334" spans="1:20" x14ac:dyDescent="0.2">
      <c r="A1334" s="815"/>
      <c r="B1334" s="809"/>
      <c r="C1334" s="809"/>
      <c r="D1334" s="1127" t="s">
        <v>1460</v>
      </c>
      <c r="E1334" s="809"/>
      <c r="F1334" s="908">
        <f>E1314</f>
        <v>0.9</v>
      </c>
      <c r="G1334" s="1127" t="s">
        <v>1691</v>
      </c>
      <c r="H1334" s="809"/>
      <c r="I1334" s="809"/>
      <c r="J1334" s="896"/>
      <c r="K1334" s="832"/>
      <c r="L1334" s="832"/>
      <c r="M1334" s="832"/>
      <c r="N1334" s="832"/>
      <c r="O1334" s="832"/>
      <c r="P1334" s="832"/>
      <c r="Q1334" s="832"/>
      <c r="R1334" s="832"/>
      <c r="S1334" s="832"/>
      <c r="T1334" s="832"/>
    </row>
    <row r="1335" spans="1:20" x14ac:dyDescent="0.2">
      <c r="A1335" s="815"/>
      <c r="B1335" s="809"/>
      <c r="C1335" s="809"/>
      <c r="D1335" s="809"/>
      <c r="E1335" s="809"/>
      <c r="F1335" s="809"/>
      <c r="G1335" s="809"/>
      <c r="H1335" s="809"/>
      <c r="I1335" s="809"/>
      <c r="J1335" s="896"/>
      <c r="K1335" s="832"/>
      <c r="L1335" s="832"/>
      <c r="M1335" s="832"/>
      <c r="N1335" s="832"/>
      <c r="O1335" s="832"/>
      <c r="P1335" s="832"/>
      <c r="Q1335" s="832"/>
      <c r="R1335" s="832"/>
      <c r="S1335" s="832"/>
      <c r="T1335" s="832"/>
    </row>
    <row r="1336" spans="1:20" x14ac:dyDescent="0.2">
      <c r="A1336" s="815"/>
      <c r="B1336" s="1127" t="s">
        <v>185</v>
      </c>
      <c r="C1336" s="809"/>
      <c r="D1336" s="809"/>
      <c r="E1336" s="809"/>
      <c r="F1336" s="809"/>
      <c r="G1336" s="809"/>
      <c r="H1336" s="809"/>
      <c r="I1336" s="809"/>
      <c r="J1336" s="896"/>
      <c r="K1336" s="832"/>
      <c r="L1336" s="832"/>
      <c r="M1336" s="832"/>
      <c r="N1336" s="832"/>
      <c r="O1336" s="832"/>
      <c r="P1336" s="832"/>
      <c r="Q1336" s="832"/>
      <c r="R1336" s="832"/>
      <c r="S1336" s="832"/>
      <c r="T1336" s="832"/>
    </row>
    <row r="1337" spans="1:20" x14ac:dyDescent="0.2">
      <c r="A1337" s="815"/>
      <c r="B1337" s="809"/>
      <c r="C1337" s="809"/>
      <c r="D1337" s="809"/>
      <c r="E1337" s="809"/>
      <c r="F1337" s="809"/>
      <c r="G1337" s="809"/>
      <c r="H1337" s="809"/>
      <c r="I1337" s="809"/>
      <c r="J1337" s="896"/>
      <c r="K1337" s="832"/>
      <c r="L1337" s="832"/>
      <c r="M1337" s="832"/>
      <c r="N1337" s="832"/>
      <c r="O1337" s="832"/>
      <c r="P1337" s="832"/>
      <c r="Q1337" s="832"/>
      <c r="R1337" s="832"/>
      <c r="S1337" s="832"/>
      <c r="T1337" s="832"/>
    </row>
    <row r="1338" spans="1:20" x14ac:dyDescent="0.2">
      <c r="A1338" s="815"/>
      <c r="B1338" s="1127" t="s">
        <v>1692</v>
      </c>
      <c r="C1338" s="809"/>
      <c r="D1338" s="809"/>
      <c r="E1338" s="809"/>
      <c r="F1338" s="809"/>
      <c r="G1338" s="809"/>
      <c r="H1338" s="809"/>
      <c r="I1338" s="809"/>
      <c r="J1338" s="896"/>
      <c r="K1338" s="832"/>
      <c r="L1338" s="832"/>
      <c r="M1338" s="832"/>
      <c r="N1338" s="832"/>
      <c r="O1338" s="832"/>
      <c r="P1338" s="832"/>
      <c r="Q1338" s="832"/>
      <c r="R1338" s="832"/>
      <c r="S1338" s="832"/>
      <c r="T1338" s="832"/>
    </row>
    <row r="1339" spans="1:20" x14ac:dyDescent="0.2">
      <c r="A1339" s="815"/>
      <c r="B1339" s="1127" t="s">
        <v>1693</v>
      </c>
      <c r="C1339" s="809"/>
      <c r="D1339" s="809"/>
      <c r="E1339" s="920">
        <v>4</v>
      </c>
      <c r="F1339" s="1127" t="s">
        <v>1580</v>
      </c>
      <c r="G1339" s="920">
        <v>12</v>
      </c>
      <c r="H1339" s="1127" t="s">
        <v>1583</v>
      </c>
      <c r="I1339" s="809"/>
      <c r="J1339" s="1049">
        <f>E1339*PI()*G1339^2/4</f>
        <v>452.38934211693021</v>
      </c>
      <c r="K1339" s="990" t="s">
        <v>1655</v>
      </c>
      <c r="L1339" s="832"/>
      <c r="M1339" s="832"/>
      <c r="N1339" s="832"/>
      <c r="O1339" s="832"/>
      <c r="P1339" s="832"/>
      <c r="Q1339" s="832"/>
      <c r="R1339" s="832"/>
      <c r="S1339" s="832"/>
      <c r="T1339" s="832"/>
    </row>
    <row r="1340" spans="1:20" x14ac:dyDescent="0.2">
      <c r="A1340" s="815"/>
      <c r="B1340" s="1005" t="s">
        <v>1661</v>
      </c>
      <c r="C1340" s="1007">
        <v>6</v>
      </c>
      <c r="D1340" s="1005" t="s">
        <v>1652</v>
      </c>
      <c r="E1340" s="1007">
        <v>200</v>
      </c>
      <c r="F1340" s="1005" t="s">
        <v>1653</v>
      </c>
      <c r="G1340" s="1007">
        <v>150</v>
      </c>
      <c r="H1340" s="1005" t="s">
        <v>1654</v>
      </c>
      <c r="I1340" s="1006"/>
      <c r="J1340" s="1050">
        <f>PI()/4*C1340^2*E1340/G1340</f>
        <v>37.699111843077517</v>
      </c>
      <c r="K1340" s="990" t="s">
        <v>1655</v>
      </c>
      <c r="L1340" s="832"/>
      <c r="M1340" s="832"/>
      <c r="N1340" s="832"/>
      <c r="O1340" s="832"/>
      <c r="P1340" s="832"/>
      <c r="Q1340" s="832"/>
      <c r="R1340" s="832"/>
      <c r="S1340" s="832"/>
      <c r="T1340" s="832"/>
    </row>
    <row r="1341" spans="1:20" x14ac:dyDescent="0.2">
      <c r="A1341" s="815"/>
      <c r="B1341" s="1127" t="s">
        <v>475</v>
      </c>
      <c r="C1341" s="809"/>
      <c r="D1341" s="809"/>
      <c r="E1341" s="809"/>
      <c r="F1341" s="809"/>
      <c r="G1341" s="809"/>
      <c r="H1341" s="809"/>
      <c r="I1341" s="1127" t="s">
        <v>1695</v>
      </c>
      <c r="J1341" s="1049">
        <f>J1339+J1340</f>
        <v>490.08845396000771</v>
      </c>
      <c r="K1341" s="990" t="s">
        <v>1694</v>
      </c>
      <c r="L1341" s="832"/>
      <c r="M1341" s="832"/>
      <c r="N1341" s="832"/>
      <c r="O1341" s="832"/>
      <c r="P1341" s="832"/>
      <c r="Q1341" s="832"/>
      <c r="R1341" s="832"/>
      <c r="S1341" s="832"/>
      <c r="T1341" s="832"/>
    </row>
    <row r="1342" spans="1:20" x14ac:dyDescent="0.2">
      <c r="A1342" s="815"/>
      <c r="B1342" s="809"/>
      <c r="C1342" s="809"/>
      <c r="D1342" s="809"/>
      <c r="E1342" s="809"/>
      <c r="F1342" s="809"/>
      <c r="G1342" s="809"/>
      <c r="H1342" s="809"/>
      <c r="I1342" s="809"/>
      <c r="J1342" s="896"/>
      <c r="K1342" s="990" t="s">
        <v>1655</v>
      </c>
      <c r="L1342" s="832"/>
      <c r="M1342" s="832"/>
      <c r="N1342" s="832"/>
      <c r="O1342" s="832"/>
      <c r="P1342" s="832"/>
      <c r="Q1342" s="832"/>
      <c r="R1342" s="832"/>
      <c r="S1342" s="832"/>
      <c r="T1342" s="832"/>
    </row>
    <row r="1343" spans="1:20" x14ac:dyDescent="0.2">
      <c r="A1343" s="815"/>
      <c r="B1343" s="1127" t="s">
        <v>1696</v>
      </c>
      <c r="C1343" s="809"/>
      <c r="D1343" s="809"/>
      <c r="E1343" s="809"/>
      <c r="F1343" s="809"/>
      <c r="G1343" s="809"/>
      <c r="H1343" s="809"/>
      <c r="I1343" s="809"/>
      <c r="J1343" s="896"/>
      <c r="K1343" s="832"/>
      <c r="L1343" s="832"/>
      <c r="M1343" s="832"/>
      <c r="N1343" s="832"/>
      <c r="O1343" s="832"/>
      <c r="P1343" s="832"/>
      <c r="Q1343" s="832"/>
      <c r="R1343" s="832"/>
      <c r="S1343" s="832"/>
      <c r="T1343" s="832"/>
    </row>
    <row r="1344" spans="1:20" x14ac:dyDescent="0.2">
      <c r="A1344" s="815"/>
      <c r="B1344" s="1127" t="s">
        <v>1693</v>
      </c>
      <c r="C1344" s="809"/>
      <c r="D1344" s="809"/>
      <c r="E1344" s="920">
        <v>4</v>
      </c>
      <c r="F1344" s="1127" t="s">
        <v>1580</v>
      </c>
      <c r="G1344" s="920">
        <v>16</v>
      </c>
      <c r="H1344" s="1127" t="s">
        <v>1583</v>
      </c>
      <c r="I1344" s="809"/>
      <c r="J1344" s="1049">
        <f>E1344*PI()*G1344^2/4</f>
        <v>804.24771931898704</v>
      </c>
      <c r="K1344" s="990" t="s">
        <v>1655</v>
      </c>
      <c r="L1344" s="832"/>
      <c r="M1344" s="832"/>
      <c r="N1344" s="832"/>
      <c r="O1344" s="832"/>
      <c r="P1344" s="832"/>
      <c r="Q1344" s="832"/>
      <c r="R1344" s="832"/>
      <c r="S1344" s="832"/>
      <c r="T1344" s="832"/>
    </row>
    <row r="1345" spans="1:20" x14ac:dyDescent="0.2">
      <c r="A1345" s="815"/>
      <c r="B1345" s="1005" t="s">
        <v>1661</v>
      </c>
      <c r="C1345" s="1007">
        <v>6</v>
      </c>
      <c r="D1345" s="1005" t="s">
        <v>1652</v>
      </c>
      <c r="E1345" s="1007">
        <v>280</v>
      </c>
      <c r="F1345" s="1005" t="s">
        <v>1653</v>
      </c>
      <c r="G1345" s="1007">
        <v>150</v>
      </c>
      <c r="H1345" s="1005" t="s">
        <v>1654</v>
      </c>
      <c r="I1345" s="1006"/>
      <c r="J1345" s="1050">
        <f>PI()/4*C1345^2*E1345/G1345</f>
        <v>52.778756580308524</v>
      </c>
      <c r="K1345" s="990" t="s">
        <v>1655</v>
      </c>
      <c r="L1345" s="832"/>
      <c r="M1345" s="832"/>
      <c r="N1345" s="832"/>
      <c r="O1345" s="832"/>
      <c r="P1345" s="832"/>
      <c r="Q1345" s="832"/>
      <c r="R1345" s="832"/>
      <c r="S1345" s="832"/>
      <c r="T1345" s="832"/>
    </row>
    <row r="1346" spans="1:20" x14ac:dyDescent="0.2">
      <c r="A1346" s="815"/>
      <c r="B1346" s="1127" t="s">
        <v>475</v>
      </c>
      <c r="C1346" s="809"/>
      <c r="D1346" s="809"/>
      <c r="E1346" s="809"/>
      <c r="F1346" s="809"/>
      <c r="G1346" s="809"/>
      <c r="H1346" s="809"/>
      <c r="I1346" s="1127" t="s">
        <v>1695</v>
      </c>
      <c r="J1346" s="1049">
        <f>J1344+J1345</f>
        <v>857.02647589929552</v>
      </c>
      <c r="K1346" s="990" t="s">
        <v>1694</v>
      </c>
      <c r="L1346" s="832"/>
      <c r="M1346" s="832"/>
      <c r="N1346" s="832"/>
      <c r="O1346" s="832"/>
      <c r="P1346" s="832"/>
      <c r="Q1346" s="832"/>
      <c r="R1346" s="832"/>
      <c r="S1346" s="832"/>
      <c r="T1346" s="832"/>
    </row>
    <row r="1347" spans="1:20" x14ac:dyDescent="0.2">
      <c r="A1347" s="815"/>
      <c r="B1347" s="809"/>
      <c r="C1347" s="809"/>
      <c r="D1347" s="809"/>
      <c r="E1347" s="809"/>
      <c r="F1347" s="809"/>
      <c r="G1347" s="809"/>
      <c r="H1347" s="809"/>
      <c r="I1347" s="809"/>
      <c r="J1347" s="896"/>
      <c r="K1347" s="990" t="s">
        <v>1655</v>
      </c>
      <c r="L1347" s="832"/>
      <c r="M1347" s="832"/>
      <c r="N1347" s="832"/>
      <c r="O1347" s="832"/>
      <c r="P1347" s="832"/>
      <c r="Q1347" s="832"/>
      <c r="R1347" s="832"/>
      <c r="S1347" s="832"/>
      <c r="T1347" s="832"/>
    </row>
    <row r="1348" spans="1:20" x14ac:dyDescent="0.2">
      <c r="A1348" s="815"/>
      <c r="B1348" s="1127"/>
      <c r="C1348" s="809"/>
      <c r="D1348" s="809"/>
      <c r="E1348" s="809"/>
      <c r="F1348" s="809"/>
      <c r="G1348" s="809"/>
      <c r="H1348" s="809"/>
      <c r="I1348" s="1127"/>
      <c r="J1348" s="1049"/>
      <c r="K1348" s="990"/>
      <c r="L1348" s="832"/>
      <c r="M1348" s="832"/>
      <c r="N1348" s="832"/>
      <c r="O1348" s="832"/>
      <c r="P1348" s="832"/>
      <c r="Q1348" s="832"/>
      <c r="R1348" s="832"/>
      <c r="S1348" s="832"/>
      <c r="T1348" s="832"/>
    </row>
    <row r="1349" spans="1:20" x14ac:dyDescent="0.2">
      <c r="A1349" s="815"/>
      <c r="B1349" s="1127"/>
      <c r="C1349" s="809"/>
      <c r="D1349" s="809"/>
      <c r="E1349" s="809"/>
      <c r="F1349" s="809"/>
      <c r="G1349" s="809"/>
      <c r="H1349" s="809"/>
      <c r="I1349" s="1127"/>
      <c r="J1349" s="1049"/>
      <c r="K1349" s="990"/>
      <c r="L1349" s="832"/>
      <c r="M1349" s="832"/>
      <c r="N1349" s="832"/>
      <c r="O1349" s="832"/>
      <c r="P1349" s="832"/>
      <c r="Q1349" s="832"/>
      <c r="R1349" s="832"/>
      <c r="S1349" s="832"/>
      <c r="T1349" s="832"/>
    </row>
    <row r="1350" spans="1:20" ht="13.5" thickBot="1" x14ac:dyDescent="0.25">
      <c r="A1350" s="819"/>
      <c r="B1350" s="820"/>
      <c r="C1350" s="821"/>
      <c r="D1350" s="821"/>
      <c r="E1350" s="821"/>
      <c r="F1350" s="821"/>
      <c r="G1350" s="821"/>
      <c r="H1350" s="821"/>
      <c r="I1350" s="820"/>
      <c r="J1350" s="1051"/>
      <c r="K1350" s="990"/>
      <c r="L1350" s="832"/>
      <c r="M1350" s="832"/>
      <c r="N1350" s="832"/>
      <c r="O1350" s="832"/>
      <c r="P1350" s="832"/>
      <c r="Q1350" s="832"/>
      <c r="R1350" s="832"/>
      <c r="S1350" s="832"/>
      <c r="T1350" s="832"/>
    </row>
    <row r="1351" spans="1:20" x14ac:dyDescent="0.2">
      <c r="A1351" s="832"/>
      <c r="B1351" s="990"/>
      <c r="C1351" s="832"/>
      <c r="D1351" s="832"/>
      <c r="E1351" s="832"/>
      <c r="F1351" s="832"/>
      <c r="G1351" s="832"/>
      <c r="H1351" s="832"/>
      <c r="I1351" s="990"/>
      <c r="J1351" s="997"/>
      <c r="K1351" s="990"/>
      <c r="L1351" s="832"/>
      <c r="M1351" s="832"/>
      <c r="N1351" s="832"/>
      <c r="O1351" s="832"/>
      <c r="P1351" s="832"/>
      <c r="Q1351" s="832"/>
      <c r="R1351" s="832"/>
      <c r="S1351" s="832"/>
      <c r="T1351" s="832"/>
    </row>
    <row r="1352" spans="1:20" x14ac:dyDescent="0.2">
      <c r="A1352" s="832"/>
      <c r="B1352" s="990"/>
      <c r="C1352" s="832"/>
      <c r="D1352" s="832"/>
      <c r="E1352" s="832"/>
      <c r="F1352" s="832"/>
      <c r="G1352" s="832"/>
      <c r="H1352" s="832"/>
      <c r="I1352" s="990"/>
      <c r="J1352" s="997"/>
      <c r="K1352" s="990"/>
      <c r="L1352" s="832"/>
      <c r="M1352" s="832"/>
      <c r="N1352" s="832"/>
      <c r="O1352" s="832"/>
      <c r="P1352" s="832"/>
      <c r="Q1352" s="832"/>
      <c r="R1352" s="832"/>
      <c r="S1352" s="832"/>
      <c r="T1352" s="832"/>
    </row>
    <row r="1353" spans="1:20" x14ac:dyDescent="0.2">
      <c r="A1353" s="832"/>
      <c r="B1353" s="990"/>
      <c r="C1353" s="832"/>
      <c r="D1353" s="832"/>
      <c r="E1353" s="832"/>
      <c r="F1353" s="832"/>
      <c r="G1353" s="832"/>
      <c r="H1353" s="832"/>
      <c r="I1353" s="990"/>
      <c r="J1353" s="997"/>
      <c r="K1353" s="990"/>
      <c r="L1353" s="832"/>
      <c r="M1353" s="832"/>
      <c r="N1353" s="832"/>
      <c r="O1353" s="832"/>
      <c r="P1353" s="832"/>
      <c r="Q1353" s="832"/>
      <c r="R1353" s="832"/>
      <c r="S1353" s="832"/>
      <c r="T1353" s="832"/>
    </row>
    <row r="1354" spans="1:20" x14ac:dyDescent="0.2">
      <c r="A1354" s="832"/>
      <c r="B1354" s="990"/>
      <c r="C1354" s="832"/>
      <c r="D1354" s="832"/>
      <c r="E1354" s="832"/>
      <c r="F1354" s="832"/>
      <c r="G1354" s="832"/>
      <c r="H1354" s="832"/>
      <c r="I1354" s="990"/>
      <c r="J1354" s="997"/>
      <c r="K1354" s="990"/>
      <c r="L1354" s="832"/>
      <c r="M1354" s="832"/>
      <c r="N1354" s="832"/>
      <c r="O1354" s="832"/>
      <c r="P1354" s="832"/>
      <c r="Q1354" s="832"/>
      <c r="R1354" s="832"/>
      <c r="S1354" s="832"/>
      <c r="T1354" s="832"/>
    </row>
    <row r="1355" spans="1:20" x14ac:dyDescent="0.2">
      <c r="A1355" s="832"/>
      <c r="B1355" s="990"/>
      <c r="C1355" s="832"/>
      <c r="D1355" s="832"/>
      <c r="E1355" s="832"/>
      <c r="F1355" s="832"/>
      <c r="G1355" s="832"/>
      <c r="H1355" s="832"/>
      <c r="I1355" s="990"/>
      <c r="J1355" s="997"/>
      <c r="K1355" s="990"/>
      <c r="L1355" s="832"/>
      <c r="M1355" s="832"/>
      <c r="N1355" s="832"/>
      <c r="O1355" s="832"/>
      <c r="P1355" s="832"/>
      <c r="Q1355" s="832"/>
      <c r="R1355" s="832"/>
      <c r="S1355" s="832"/>
      <c r="T1355" s="832"/>
    </row>
    <row r="1356" spans="1:20" x14ac:dyDescent="0.2">
      <c r="A1356" s="832"/>
      <c r="B1356" s="990"/>
      <c r="C1356" s="832"/>
      <c r="D1356" s="832"/>
      <c r="E1356" s="832"/>
      <c r="F1356" s="832"/>
      <c r="G1356" s="832"/>
      <c r="H1356" s="832"/>
      <c r="I1356" s="990"/>
      <c r="J1356" s="997"/>
      <c r="K1356" s="990"/>
      <c r="L1356" s="832"/>
      <c r="M1356" s="832"/>
      <c r="N1356" s="832"/>
      <c r="O1356" s="832"/>
      <c r="P1356" s="832"/>
      <c r="Q1356" s="832"/>
      <c r="R1356" s="832"/>
      <c r="S1356" s="832"/>
      <c r="T1356" s="832"/>
    </row>
    <row r="1357" spans="1:20" x14ac:dyDescent="0.2">
      <c r="A1357" s="832"/>
      <c r="B1357" s="990"/>
      <c r="C1357" s="832"/>
      <c r="D1357" s="832"/>
      <c r="E1357" s="832"/>
      <c r="F1357" s="832"/>
      <c r="G1357" s="832"/>
      <c r="H1357" s="832"/>
      <c r="I1357" s="990"/>
      <c r="J1357" s="997"/>
      <c r="K1357" s="990"/>
      <c r="L1357" s="832"/>
      <c r="M1357" s="832"/>
      <c r="N1357" s="832"/>
      <c r="O1357" s="832"/>
      <c r="P1357" s="832"/>
      <c r="Q1357" s="832"/>
      <c r="R1357" s="832"/>
      <c r="S1357" s="832"/>
      <c r="T1357" s="832"/>
    </row>
    <row r="1358" spans="1:20" x14ac:dyDescent="0.2">
      <c r="A1358" s="832"/>
      <c r="B1358" s="990"/>
      <c r="C1358" s="832"/>
      <c r="D1358" s="832"/>
      <c r="E1358" s="832"/>
      <c r="F1358" s="832"/>
      <c r="G1358" s="832"/>
      <c r="H1358" s="832"/>
      <c r="I1358" s="990"/>
      <c r="J1358" s="997"/>
      <c r="K1358" s="990"/>
      <c r="L1358" s="832"/>
      <c r="M1358" s="832"/>
      <c r="N1358" s="832"/>
      <c r="O1358" s="832"/>
      <c r="P1358" s="832"/>
      <c r="Q1358" s="832"/>
      <c r="R1358" s="832"/>
      <c r="S1358" s="832"/>
      <c r="T1358" s="832"/>
    </row>
    <row r="1359" spans="1:20" x14ac:dyDescent="0.2">
      <c r="A1359" s="832"/>
      <c r="B1359" s="990"/>
      <c r="C1359" s="832"/>
      <c r="D1359" s="832"/>
      <c r="E1359" s="832"/>
      <c r="F1359" s="832"/>
      <c r="G1359" s="832"/>
      <c r="H1359" s="832"/>
      <c r="I1359" s="990"/>
      <c r="J1359" s="997"/>
      <c r="K1359" s="990"/>
      <c r="L1359" s="832"/>
      <c r="M1359" s="832"/>
      <c r="N1359" s="832"/>
      <c r="O1359" s="832"/>
      <c r="P1359" s="832"/>
      <c r="Q1359" s="832"/>
      <c r="R1359" s="832"/>
      <c r="S1359" s="832"/>
      <c r="T1359" s="832"/>
    </row>
    <row r="1360" spans="1:20" x14ac:dyDescent="0.2">
      <c r="A1360" s="832"/>
      <c r="B1360" s="990"/>
      <c r="C1360" s="832"/>
      <c r="D1360" s="832"/>
      <c r="E1360" s="832"/>
      <c r="F1360" s="832"/>
      <c r="G1360" s="832"/>
      <c r="H1360" s="832"/>
      <c r="I1360" s="990"/>
      <c r="J1360" s="997"/>
      <c r="K1360" s="990"/>
      <c r="L1360" s="832"/>
      <c r="M1360" s="832"/>
      <c r="N1360" s="832"/>
      <c r="O1360" s="832"/>
      <c r="P1360" s="832"/>
      <c r="Q1360" s="832"/>
      <c r="R1360" s="832"/>
      <c r="S1360" s="832"/>
      <c r="T1360" s="832"/>
    </row>
    <row r="1361" spans="1:20" x14ac:dyDescent="0.2">
      <c r="A1361" s="832"/>
      <c r="B1361" s="990"/>
      <c r="C1361" s="832"/>
      <c r="D1361" s="832"/>
      <c r="E1361" s="832"/>
      <c r="F1361" s="832"/>
      <c r="G1361" s="832"/>
      <c r="H1361" s="832"/>
      <c r="I1361" s="990"/>
      <c r="J1361" s="997"/>
      <c r="K1361" s="990"/>
      <c r="L1361" s="832"/>
      <c r="M1361" s="832"/>
      <c r="N1361" s="832"/>
      <c r="O1361" s="832"/>
      <c r="P1361" s="832"/>
      <c r="Q1361" s="832"/>
      <c r="R1361" s="832"/>
      <c r="S1361" s="832"/>
      <c r="T1361" s="832"/>
    </row>
    <row r="1362" spans="1:20" x14ac:dyDescent="0.2">
      <c r="A1362" s="832"/>
      <c r="B1362" s="990"/>
      <c r="C1362" s="832"/>
      <c r="D1362" s="832"/>
      <c r="E1362" s="832"/>
      <c r="F1362" s="832"/>
      <c r="G1362" s="832"/>
      <c r="H1362" s="832"/>
      <c r="I1362" s="990"/>
      <c r="J1362" s="997"/>
      <c r="K1362" s="990"/>
      <c r="L1362" s="832"/>
      <c r="M1362" s="832"/>
      <c r="N1362" s="832"/>
      <c r="O1362" s="832"/>
      <c r="P1362" s="832"/>
      <c r="Q1362" s="832"/>
      <c r="R1362" s="832"/>
      <c r="S1362" s="832"/>
      <c r="T1362" s="832"/>
    </row>
    <row r="1363" spans="1:20" x14ac:dyDescent="0.2">
      <c r="A1363" s="832"/>
      <c r="B1363" s="990"/>
      <c r="C1363" s="832"/>
      <c r="D1363" s="832"/>
      <c r="E1363" s="832"/>
      <c r="F1363" s="832"/>
      <c r="G1363" s="832"/>
      <c r="H1363" s="832"/>
      <c r="I1363" s="990"/>
      <c r="J1363" s="997"/>
      <c r="K1363" s="990"/>
      <c r="L1363" s="832"/>
      <c r="M1363" s="832"/>
      <c r="N1363" s="832"/>
      <c r="O1363" s="832"/>
      <c r="P1363" s="832"/>
      <c r="Q1363" s="832"/>
      <c r="R1363" s="832"/>
      <c r="S1363" s="832"/>
      <c r="T1363" s="832"/>
    </row>
    <row r="1364" spans="1:20" x14ac:dyDescent="0.2">
      <c r="A1364" s="832"/>
      <c r="B1364" s="990"/>
      <c r="C1364" s="832"/>
      <c r="D1364" s="832"/>
      <c r="E1364" s="832"/>
      <c r="F1364" s="832"/>
      <c r="G1364" s="832"/>
      <c r="H1364" s="832"/>
      <c r="I1364" s="990"/>
      <c r="J1364" s="997"/>
      <c r="K1364" s="990"/>
      <c r="L1364" s="832"/>
      <c r="M1364" s="832"/>
    </row>
    <row r="1365" spans="1:20" x14ac:dyDescent="0.2">
      <c r="A1365" s="832"/>
      <c r="B1365" s="990"/>
      <c r="C1365" s="832"/>
      <c r="D1365" s="832"/>
      <c r="E1365" s="832"/>
      <c r="F1365" s="832"/>
      <c r="G1365" s="832"/>
      <c r="H1365" s="832"/>
      <c r="I1365" s="990"/>
      <c r="J1365" s="997"/>
      <c r="K1365" s="990"/>
      <c r="L1365" s="832"/>
      <c r="M1365" s="832"/>
    </row>
    <row r="1366" spans="1:20" x14ac:dyDescent="0.2">
      <c r="A1366" s="832"/>
      <c r="B1366" s="990"/>
      <c r="C1366" s="832"/>
      <c r="D1366" s="832"/>
      <c r="E1366" s="832"/>
      <c r="F1366" s="832"/>
      <c r="G1366" s="832"/>
      <c r="H1366" s="832"/>
      <c r="I1366" s="990"/>
      <c r="J1366" s="997"/>
      <c r="K1366" s="990"/>
      <c r="L1366" s="832"/>
      <c r="M1366" s="832"/>
    </row>
    <row r="1367" spans="1:20" x14ac:dyDescent="0.2">
      <c r="A1367" s="832"/>
      <c r="B1367" s="990"/>
      <c r="C1367" s="832"/>
      <c r="D1367" s="832"/>
      <c r="E1367" s="832"/>
      <c r="F1367" s="832"/>
      <c r="G1367" s="832"/>
      <c r="H1367" s="832"/>
      <c r="I1367" s="990"/>
      <c r="J1367" s="997"/>
      <c r="K1367" s="990"/>
      <c r="L1367" s="832"/>
      <c r="M1367" s="832"/>
    </row>
    <row r="1368" spans="1:20" x14ac:dyDescent="0.2">
      <c r="A1368" s="832"/>
      <c r="B1368" s="990"/>
      <c r="C1368" s="832"/>
      <c r="D1368" s="832"/>
      <c r="E1368" s="832"/>
      <c r="F1368" s="832"/>
      <c r="G1368" s="832"/>
      <c r="H1368" s="832"/>
      <c r="I1368" s="990"/>
      <c r="J1368" s="997"/>
      <c r="K1368" s="990"/>
      <c r="L1368" s="832"/>
      <c r="M1368" s="832"/>
    </row>
    <row r="1369" spans="1:20" x14ac:dyDescent="0.2">
      <c r="A1369" s="832"/>
      <c r="B1369" s="990"/>
      <c r="C1369" s="832"/>
      <c r="D1369" s="832"/>
      <c r="E1369" s="832"/>
      <c r="F1369" s="832"/>
      <c r="G1369" s="832"/>
      <c r="H1369" s="832"/>
      <c r="I1369" s="990"/>
      <c r="J1369" s="997"/>
      <c r="K1369" s="990"/>
      <c r="L1369" s="832"/>
      <c r="M1369" s="832"/>
      <c r="O1369" s="832"/>
    </row>
    <row r="1370" spans="1:20" x14ac:dyDescent="0.2">
      <c r="A1370" s="832"/>
      <c r="B1370" s="990"/>
      <c r="C1370" s="832"/>
      <c r="D1370" s="832"/>
      <c r="E1370" s="832"/>
      <c r="F1370" s="832"/>
      <c r="G1370" s="832"/>
      <c r="H1370" s="832"/>
      <c r="I1370" s="990"/>
      <c r="J1370" s="997"/>
      <c r="K1370" s="990"/>
      <c r="L1370" s="832"/>
      <c r="M1370" s="832"/>
    </row>
    <row r="1371" spans="1:20" x14ac:dyDescent="0.2">
      <c r="A1371" s="832"/>
      <c r="B1371" s="990"/>
      <c r="C1371" s="832"/>
      <c r="D1371" s="832"/>
      <c r="E1371" s="832"/>
      <c r="F1371" s="832"/>
      <c r="G1371" s="832"/>
      <c r="H1371" s="832"/>
      <c r="I1371" s="990"/>
      <c r="J1371" s="997"/>
      <c r="K1371" s="990"/>
      <c r="L1371" s="832"/>
      <c r="M1371" s="832"/>
    </row>
    <row r="1372" spans="1:20" x14ac:dyDescent="0.2">
      <c r="A1372" s="832"/>
      <c r="B1372" s="990"/>
      <c r="C1372" s="832"/>
      <c r="D1372" s="832"/>
      <c r="E1372" s="832"/>
      <c r="F1372" s="832"/>
      <c r="G1372" s="832"/>
      <c r="H1372" s="832"/>
      <c r="I1372" s="990"/>
      <c r="J1372" s="997"/>
      <c r="K1372" s="990"/>
      <c r="L1372" s="832"/>
      <c r="M1372" s="832"/>
    </row>
    <row r="1373" spans="1:20" x14ac:dyDescent="0.2">
      <c r="A1373" s="832"/>
      <c r="B1373" s="990"/>
      <c r="C1373" s="832"/>
      <c r="D1373" s="832"/>
      <c r="E1373" s="832"/>
      <c r="F1373" s="832"/>
      <c r="G1373" s="832"/>
      <c r="H1373" s="832"/>
      <c r="I1373" s="990"/>
      <c r="J1373" s="997"/>
      <c r="K1373" s="990"/>
      <c r="L1373" s="832"/>
      <c r="M1373" s="832"/>
    </row>
    <row r="1374" spans="1:20" x14ac:dyDescent="0.2">
      <c r="A1374" s="832"/>
      <c r="B1374" s="990"/>
      <c r="C1374" s="832"/>
      <c r="D1374" s="832"/>
      <c r="E1374" s="832"/>
      <c r="F1374" s="832"/>
      <c r="G1374" s="832"/>
      <c r="H1374" s="832"/>
      <c r="I1374" s="990"/>
      <c r="J1374" s="997"/>
      <c r="K1374" s="990"/>
      <c r="L1374" s="832"/>
      <c r="M1374" s="832"/>
    </row>
    <row r="1375" spans="1:20" x14ac:dyDescent="0.2">
      <c r="A1375" s="832"/>
      <c r="B1375" s="990"/>
      <c r="C1375" s="832"/>
      <c r="D1375" s="832"/>
      <c r="E1375" s="832"/>
      <c r="F1375" s="832"/>
      <c r="G1375" s="832"/>
      <c r="H1375" s="832"/>
      <c r="I1375" s="990"/>
      <c r="J1375" s="997"/>
      <c r="K1375" s="990"/>
      <c r="L1375" s="832"/>
      <c r="M1375" s="832"/>
    </row>
    <row r="1376" spans="1:20" x14ac:dyDescent="0.2">
      <c r="A1376" s="832"/>
      <c r="B1376" s="990"/>
      <c r="C1376" s="832"/>
      <c r="D1376" s="832"/>
      <c r="E1376" s="832"/>
      <c r="F1376" s="832"/>
      <c r="G1376" s="832"/>
      <c r="H1376" s="832"/>
      <c r="I1376" s="990"/>
      <c r="J1376" s="997"/>
      <c r="K1376" s="990"/>
      <c r="L1376" s="832"/>
      <c r="M1376" s="832"/>
    </row>
    <row r="1377" spans="1:18" x14ac:dyDescent="0.2">
      <c r="A1377" s="832"/>
      <c r="B1377" s="990"/>
      <c r="C1377" s="832"/>
      <c r="D1377" s="832"/>
      <c r="E1377" s="832"/>
      <c r="F1377" s="832"/>
      <c r="G1377" s="832"/>
      <c r="H1377" s="832"/>
      <c r="I1377" s="990"/>
      <c r="J1377" s="997"/>
      <c r="K1377" s="990"/>
      <c r="L1377" s="832"/>
      <c r="M1377" s="832"/>
    </row>
    <row r="1378" spans="1:18" x14ac:dyDescent="0.2">
      <c r="A1378" s="832"/>
      <c r="B1378" s="990"/>
      <c r="C1378" s="832"/>
      <c r="D1378" s="832"/>
      <c r="E1378" s="832"/>
      <c r="F1378" s="832"/>
      <c r="G1378" s="832"/>
      <c r="H1378" s="832"/>
      <c r="I1378" s="990"/>
      <c r="J1378" s="997"/>
      <c r="K1378" s="990"/>
      <c r="L1378" s="832"/>
      <c r="M1378" s="832"/>
    </row>
    <row r="1379" spans="1:18" x14ac:dyDescent="0.2">
      <c r="A1379" s="832"/>
      <c r="B1379" s="990"/>
      <c r="C1379" s="832"/>
      <c r="D1379" s="832"/>
      <c r="E1379" s="832"/>
      <c r="F1379" s="832"/>
      <c r="G1379" s="832"/>
      <c r="H1379" s="832"/>
      <c r="I1379" s="990"/>
      <c r="J1379" s="997"/>
      <c r="K1379" s="990"/>
      <c r="L1379" s="832"/>
      <c r="M1379" s="832"/>
    </row>
    <row r="1380" spans="1:18" x14ac:dyDescent="0.2">
      <c r="A1380" s="832"/>
      <c r="B1380" s="832"/>
      <c r="C1380" s="832"/>
      <c r="D1380" s="832"/>
      <c r="E1380" s="832"/>
      <c r="F1380" s="832"/>
      <c r="G1380" s="832"/>
      <c r="H1380" s="832"/>
      <c r="I1380" s="832"/>
      <c r="J1380" s="832"/>
      <c r="K1380" s="832"/>
      <c r="L1380" s="832"/>
      <c r="M1380" s="832"/>
    </row>
    <row r="1381" spans="1:18" ht="13.5" thickBot="1" x14ac:dyDescent="0.25">
      <c r="A1381" s="990" t="s">
        <v>986</v>
      </c>
      <c r="B1381" s="832"/>
      <c r="C1381" s="832"/>
      <c r="D1381" s="832"/>
      <c r="E1381" s="832"/>
      <c r="F1381" s="832"/>
      <c r="G1381" s="832"/>
      <c r="H1381" s="832"/>
      <c r="I1381" s="832"/>
      <c r="J1381" s="832"/>
      <c r="K1381" s="832"/>
      <c r="L1381" s="832"/>
      <c r="M1381" s="832"/>
    </row>
    <row r="1382" spans="1:18" x14ac:dyDescent="0.2">
      <c r="A1382" s="929" t="s">
        <v>950</v>
      </c>
      <c r="B1382" s="890"/>
      <c r="C1382" s="890"/>
      <c r="D1382" s="890"/>
      <c r="E1382" s="890"/>
      <c r="F1382" s="890"/>
      <c r="G1382" s="890"/>
      <c r="H1382" s="890"/>
      <c r="I1382" s="890"/>
      <c r="J1382" s="892"/>
      <c r="K1382" s="832"/>
      <c r="L1382" s="832"/>
      <c r="M1382" s="832"/>
    </row>
    <row r="1383" spans="1:18" x14ac:dyDescent="0.2">
      <c r="A1383" s="1052" t="str">
        <f>IF(E7914=1,"4.7","4.8")</f>
        <v>4.8</v>
      </c>
      <c r="B1383" s="983" t="s">
        <v>1697</v>
      </c>
      <c r="C1383" s="809"/>
      <c r="D1383" s="809"/>
      <c r="E1383" s="809"/>
      <c r="F1383" s="809"/>
      <c r="G1383" s="809"/>
      <c r="H1383" s="809"/>
      <c r="I1383" s="809"/>
      <c r="J1383" s="896"/>
      <c r="K1383" s="832"/>
      <c r="L1383" s="832"/>
      <c r="M1383" s="832"/>
    </row>
    <row r="1384" spans="1:18" x14ac:dyDescent="0.2">
      <c r="A1384" s="815"/>
      <c r="B1384" s="809"/>
      <c r="C1384" s="809"/>
      <c r="D1384" s="809"/>
      <c r="E1384" s="809"/>
      <c r="F1384" s="809"/>
      <c r="G1384" s="809"/>
      <c r="H1384" s="809"/>
      <c r="I1384" s="809"/>
      <c r="J1384" s="896"/>
      <c r="K1384" s="832"/>
      <c r="L1384" s="832"/>
      <c r="M1384" s="832"/>
    </row>
    <row r="1385" spans="1:18" x14ac:dyDescent="0.2">
      <c r="A1385" s="898" t="s">
        <v>950</v>
      </c>
      <c r="B1385" s="809"/>
      <c r="C1385" s="983" t="s">
        <v>185</v>
      </c>
      <c r="D1385" s="809"/>
      <c r="E1385" s="809"/>
      <c r="F1385" s="809"/>
      <c r="G1385" s="809"/>
      <c r="H1385" s="809"/>
      <c r="I1385" s="809"/>
      <c r="J1385" s="896"/>
      <c r="K1385" s="832"/>
      <c r="L1385" s="832"/>
      <c r="M1385" s="832"/>
    </row>
    <row r="1386" spans="1:18" x14ac:dyDescent="0.2">
      <c r="A1386" s="815"/>
      <c r="B1386" s="921"/>
      <c r="C1386" s="921"/>
      <c r="D1386" s="921"/>
      <c r="E1386" s="921"/>
      <c r="F1386" s="921"/>
      <c r="G1386" s="921"/>
      <c r="H1386" s="921"/>
      <c r="I1386" s="921"/>
      <c r="J1386" s="1053"/>
      <c r="K1386" s="995" t="s">
        <v>10</v>
      </c>
      <c r="L1386" s="995"/>
      <c r="M1386" s="995"/>
      <c r="N1386" s="284"/>
      <c r="O1386" s="284"/>
      <c r="P1386" s="284"/>
      <c r="Q1386" s="284"/>
      <c r="R1386" s="284"/>
    </row>
    <row r="1387" spans="1:18" x14ac:dyDescent="0.2">
      <c r="A1387" s="815"/>
      <c r="B1387" s="1054" t="s">
        <v>186</v>
      </c>
      <c r="C1387" s="1055"/>
      <c r="D1387" s="1055"/>
      <c r="E1387" s="1441" t="s">
        <v>2488</v>
      </c>
      <c r="F1387" s="1442"/>
      <c r="G1387" s="1442"/>
      <c r="H1387" s="1442"/>
      <c r="I1387" s="1442"/>
      <c r="J1387" s="1443"/>
      <c r="K1387" s="990" t="s">
        <v>1699</v>
      </c>
      <c r="L1387" s="832"/>
      <c r="M1387" s="990"/>
    </row>
    <row r="1388" spans="1:18" x14ac:dyDescent="0.2">
      <c r="A1388" s="815"/>
      <c r="B1388" s="1055"/>
      <c r="C1388" s="1055"/>
      <c r="D1388" s="1054" t="s">
        <v>1701</v>
      </c>
      <c r="E1388" s="1055"/>
      <c r="F1388" s="1055"/>
      <c r="G1388" s="1054"/>
      <c r="H1388" s="1054" t="s">
        <v>1702</v>
      </c>
      <c r="I1388" s="1055"/>
      <c r="J1388" s="1056"/>
      <c r="K1388" s="990" t="s">
        <v>1699</v>
      </c>
      <c r="L1388" s="990"/>
      <c r="M1388" s="832"/>
      <c r="O1388" s="274"/>
      <c r="P1388" s="274"/>
    </row>
    <row r="1389" spans="1:18" x14ac:dyDescent="0.2">
      <c r="A1389" s="815"/>
      <c r="B1389" s="1055"/>
      <c r="C1389" s="1054" t="s">
        <v>299</v>
      </c>
      <c r="D1389" s="1055" t="s">
        <v>2502</v>
      </c>
      <c r="E1389" s="1055" t="s">
        <v>1934</v>
      </c>
      <c r="F1389" s="1055" t="s">
        <v>302</v>
      </c>
      <c r="G1389" s="1054" t="s">
        <v>299</v>
      </c>
      <c r="H1389" s="1055" t="s">
        <v>2502</v>
      </c>
      <c r="I1389" s="1055" t="s">
        <v>1934</v>
      </c>
      <c r="J1389" s="1056" t="s">
        <v>302</v>
      </c>
      <c r="K1389" s="990" t="s">
        <v>1705</v>
      </c>
      <c r="L1389" s="832"/>
      <c r="M1389" s="832"/>
      <c r="O1389" s="274"/>
    </row>
    <row r="1390" spans="1:18" x14ac:dyDescent="0.2">
      <c r="A1390" s="815"/>
      <c r="B1390" s="1055"/>
      <c r="C1390" s="1055" t="s">
        <v>1935</v>
      </c>
      <c r="D1390" s="1055" t="s">
        <v>1936</v>
      </c>
      <c r="E1390" s="1055" t="s">
        <v>1936</v>
      </c>
      <c r="F1390" s="1055" t="s">
        <v>1935</v>
      </c>
      <c r="G1390" s="1055" t="s">
        <v>1935</v>
      </c>
      <c r="H1390" s="1055" t="s">
        <v>1936</v>
      </c>
      <c r="I1390" s="1055" t="s">
        <v>1936</v>
      </c>
      <c r="J1390" s="1056" t="s">
        <v>1935</v>
      </c>
      <c r="K1390" s="990" t="s">
        <v>1706</v>
      </c>
      <c r="L1390" s="832"/>
      <c r="M1390" s="832"/>
      <c r="O1390" s="274"/>
    </row>
    <row r="1391" spans="1:18" x14ac:dyDescent="0.2">
      <c r="A1391" s="815"/>
      <c r="B1391" s="1057"/>
      <c r="C1391" s="1057"/>
      <c r="D1391" s="1057"/>
      <c r="E1391" s="1057"/>
      <c r="F1391" s="1057"/>
      <c r="G1391" s="1057"/>
      <c r="H1391" s="1057"/>
      <c r="I1391" s="1057"/>
      <c r="J1391" s="1058"/>
      <c r="K1391" s="995" t="s">
        <v>10</v>
      </c>
      <c r="L1391" s="995"/>
      <c r="M1391" s="995"/>
      <c r="N1391" s="284"/>
      <c r="O1391" s="284"/>
      <c r="P1391" s="284"/>
      <c r="Q1391" s="284"/>
      <c r="R1391" s="284"/>
    </row>
    <row r="1392" spans="1:18" x14ac:dyDescent="0.2">
      <c r="A1392" s="815"/>
      <c r="B1392" s="1054" t="s">
        <v>1707</v>
      </c>
      <c r="C1392" s="1059">
        <f>H277</f>
        <v>950.00000000000011</v>
      </c>
      <c r="D1392" s="1059">
        <f>C251</f>
        <v>16</v>
      </c>
      <c r="E1392" s="1059">
        <f>E251</f>
        <v>200</v>
      </c>
      <c r="F1392" s="1059">
        <f>H251</f>
        <v>1005.312</v>
      </c>
      <c r="G1392" s="1059">
        <f>$J$255</f>
        <v>0</v>
      </c>
      <c r="H1392" s="1059">
        <f>C254</f>
        <v>12</v>
      </c>
      <c r="I1392" s="1059">
        <f>E254</f>
        <v>175</v>
      </c>
      <c r="J1392" s="1060">
        <f>H254</f>
        <v>646.27199999999993</v>
      </c>
      <c r="K1392" s="997">
        <f>$H$277</f>
        <v>950.00000000000011</v>
      </c>
      <c r="L1392" s="997"/>
      <c r="M1392" s="997"/>
      <c r="N1392" s="283"/>
      <c r="O1392" s="283"/>
      <c r="P1392" s="283"/>
      <c r="Q1392" s="283"/>
      <c r="R1392" s="283"/>
    </row>
    <row r="1393" spans="1:18" x14ac:dyDescent="0.2">
      <c r="A1393" s="815"/>
      <c r="B1393" s="1054" t="s">
        <v>1708</v>
      </c>
      <c r="C1393" s="1059">
        <f>H427</f>
        <v>950.00000000000011</v>
      </c>
      <c r="D1393" s="1059">
        <f>C428</f>
        <v>16</v>
      </c>
      <c r="E1393" s="1059">
        <f>E428</f>
        <v>200</v>
      </c>
      <c r="F1393" s="1059">
        <f>H428</f>
        <v>1005.312</v>
      </c>
      <c r="G1393" s="1061">
        <f>$H$444</f>
        <v>1040.7718636630925</v>
      </c>
      <c r="H1393" s="1061">
        <f>C445</f>
        <v>16</v>
      </c>
      <c r="I1393" s="1061">
        <f>E445</f>
        <v>175</v>
      </c>
      <c r="J1393" s="1062">
        <f>H445</f>
        <v>1148.9279999999999</v>
      </c>
      <c r="K1393" s="997">
        <f>$H$463</f>
        <v>760</v>
      </c>
      <c r="L1393" s="997"/>
      <c r="M1393" s="997"/>
      <c r="N1393" s="283"/>
      <c r="O1393" s="283"/>
      <c r="P1393" s="283"/>
      <c r="Q1393" s="283"/>
      <c r="R1393" s="283"/>
    </row>
    <row r="1394" spans="1:18" x14ac:dyDescent="0.2">
      <c r="A1394" s="815"/>
      <c r="B1394" s="1054" t="s">
        <v>1709</v>
      </c>
      <c r="C1394" s="1059">
        <f>$H$665</f>
        <v>0</v>
      </c>
      <c r="D1394" s="1059">
        <f>C666</f>
        <v>12</v>
      </c>
      <c r="E1394" s="1059">
        <f>E666</f>
        <v>300</v>
      </c>
      <c r="F1394" s="1059">
        <f>H666</f>
        <v>376.99199999999996</v>
      </c>
      <c r="G1394" s="1054" t="s">
        <v>1510</v>
      </c>
      <c r="H1394" s="1054" t="s">
        <v>1510</v>
      </c>
      <c r="I1394" s="1054" t="s">
        <v>1510</v>
      </c>
      <c r="J1394" s="1063" t="s">
        <v>1510</v>
      </c>
      <c r="K1394" s="997">
        <f>$H$684</f>
        <v>0</v>
      </c>
      <c r="L1394" s="997"/>
      <c r="M1394" s="997"/>
      <c r="N1394" s="283"/>
      <c r="O1394" s="291"/>
      <c r="P1394" s="291"/>
      <c r="Q1394" s="291"/>
      <c r="R1394" s="291"/>
    </row>
    <row r="1395" spans="1:18" x14ac:dyDescent="0.2">
      <c r="A1395" s="815"/>
      <c r="B1395" s="1054" t="s">
        <v>1472</v>
      </c>
      <c r="C1395" s="1059">
        <f>$I$897</f>
        <v>700.00000000000011</v>
      </c>
      <c r="D1395" s="1059">
        <f>C898</f>
        <v>16</v>
      </c>
      <c r="E1395" s="1059">
        <f>E898</f>
        <v>250</v>
      </c>
      <c r="F1395" s="1059">
        <f>H898</f>
        <v>804.24959999999999</v>
      </c>
      <c r="G1395" s="1059">
        <f>$I$900</f>
        <v>350.00000000000006</v>
      </c>
      <c r="H1395" s="1059">
        <f>C901</f>
        <v>16</v>
      </c>
      <c r="I1395" s="1059">
        <f>E901</f>
        <v>250</v>
      </c>
      <c r="J1395" s="1060">
        <f>H901</f>
        <v>804.24959999999999</v>
      </c>
      <c r="K1395" s="997">
        <f>$H$934</f>
        <v>700.00000000000011</v>
      </c>
      <c r="L1395" s="997"/>
      <c r="M1395" s="997"/>
      <c r="N1395" s="283"/>
      <c r="O1395" s="283"/>
      <c r="P1395" s="283"/>
      <c r="Q1395" s="283"/>
      <c r="R1395" s="283"/>
    </row>
    <row r="1396" spans="1:18" x14ac:dyDescent="0.2">
      <c r="A1396" s="815"/>
      <c r="B1396" s="1054" t="s">
        <v>1710</v>
      </c>
      <c r="C1396" s="1059">
        <f>$H$1123</f>
        <v>210.00000000000003</v>
      </c>
      <c r="D1396" s="1059">
        <f>C1097</f>
        <v>16</v>
      </c>
      <c r="E1396" s="1059">
        <f>E1097</f>
        <v>200</v>
      </c>
      <c r="F1396" s="1059">
        <f>H1097</f>
        <v>1005.312</v>
      </c>
      <c r="G1396" s="1054" t="s">
        <v>1510</v>
      </c>
      <c r="H1396" s="1054" t="s">
        <v>1510</v>
      </c>
      <c r="I1396" s="1054" t="s">
        <v>1510</v>
      </c>
      <c r="J1396" s="1063" t="s">
        <v>1510</v>
      </c>
      <c r="K1396" s="1064" t="s">
        <v>1711</v>
      </c>
      <c r="L1396" s="997"/>
      <c r="M1396" s="997"/>
      <c r="N1396" s="283"/>
      <c r="O1396" s="283"/>
      <c r="P1396" s="283"/>
      <c r="Q1396" s="283"/>
      <c r="R1396" s="283"/>
    </row>
    <row r="1397" spans="1:18" x14ac:dyDescent="0.2">
      <c r="A1397" s="815"/>
      <c r="B1397" s="1054" t="s">
        <v>1712</v>
      </c>
      <c r="C1397" s="1059">
        <f>$I$1255</f>
        <v>700.00000000000011</v>
      </c>
      <c r="D1397" s="1059">
        <f>C1256</f>
        <v>16</v>
      </c>
      <c r="E1397" s="1059">
        <f>E1256</f>
        <v>200</v>
      </c>
      <c r="F1397" s="1059">
        <f>H1256</f>
        <v>1005.312</v>
      </c>
      <c r="G1397" s="1054" t="s">
        <v>1510</v>
      </c>
      <c r="H1397" s="1054" t="s">
        <v>1510</v>
      </c>
      <c r="I1397" s="1054" t="s">
        <v>1510</v>
      </c>
      <c r="J1397" s="1063" t="s">
        <v>1510</v>
      </c>
      <c r="K1397" s="997">
        <f>$H$1280</f>
        <v>700.00000000000011</v>
      </c>
      <c r="L1397" s="997"/>
      <c r="M1397" s="997"/>
      <c r="N1397" s="283"/>
      <c r="O1397" s="283"/>
      <c r="P1397" s="283"/>
      <c r="Q1397" s="283"/>
      <c r="R1397" s="283"/>
    </row>
    <row r="1398" spans="1:18" x14ac:dyDescent="0.2">
      <c r="A1398" s="815"/>
      <c r="B1398" s="983"/>
      <c r="C1398" s="920"/>
      <c r="D1398" s="920"/>
      <c r="E1398" s="920"/>
      <c r="F1398" s="920"/>
      <c r="G1398" s="983"/>
      <c r="H1398" s="983"/>
      <c r="I1398" s="983"/>
      <c r="J1398" s="932"/>
      <c r="K1398" s="997"/>
      <c r="L1398" s="997"/>
      <c r="M1398" s="997"/>
      <c r="N1398" s="283"/>
      <c r="O1398" s="283"/>
      <c r="P1398" s="283"/>
      <c r="Q1398" s="283"/>
      <c r="R1398" s="283"/>
    </row>
    <row r="1399" spans="1:18" x14ac:dyDescent="0.2">
      <c r="A1399" s="815"/>
      <c r="B1399" s="921"/>
      <c r="C1399" s="1440" t="s">
        <v>1937</v>
      </c>
      <c r="D1399" s="1440"/>
      <c r="E1399" s="1440"/>
      <c r="F1399" s="1440"/>
      <c r="G1399" s="1440"/>
      <c r="H1399" s="1440"/>
      <c r="I1399" s="1440"/>
      <c r="J1399" s="1053"/>
      <c r="K1399" s="995" t="s">
        <v>10</v>
      </c>
      <c r="L1399" s="995"/>
      <c r="M1399" s="995"/>
      <c r="N1399" s="284"/>
      <c r="O1399" s="284"/>
      <c r="P1399" s="284"/>
      <c r="Q1399" s="284"/>
      <c r="R1399" s="284"/>
    </row>
    <row r="1400" spans="1:18" x14ac:dyDescent="0.2">
      <c r="A1400" s="815"/>
      <c r="B1400" s="1057"/>
      <c r="C1400" s="1435" t="s">
        <v>611</v>
      </c>
      <c r="D1400" s="1435"/>
      <c r="E1400" s="1435"/>
      <c r="F1400" s="1435" t="s">
        <v>2489</v>
      </c>
      <c r="G1400" s="1435"/>
      <c r="H1400" s="1435"/>
      <c r="I1400" s="1435"/>
      <c r="J1400" s="1058"/>
      <c r="K1400" s="995"/>
      <c r="L1400" s="995"/>
      <c r="M1400" s="995"/>
      <c r="N1400" s="284"/>
      <c r="O1400" s="284"/>
      <c r="P1400" s="284"/>
      <c r="Q1400" s="284"/>
      <c r="R1400" s="284"/>
    </row>
    <row r="1401" spans="1:18" x14ac:dyDescent="0.2">
      <c r="A1401" s="815"/>
      <c r="B1401" s="1057"/>
      <c r="C1401" s="1055"/>
      <c r="D1401" s="1055"/>
      <c r="E1401" s="1055"/>
      <c r="F1401" s="1054" t="s">
        <v>299</v>
      </c>
      <c r="G1401" s="1055" t="s">
        <v>2502</v>
      </c>
      <c r="H1401" s="1055" t="s">
        <v>1934</v>
      </c>
      <c r="I1401" s="1055" t="s">
        <v>302</v>
      </c>
      <c r="J1401" s="1058"/>
      <c r="K1401" s="995"/>
      <c r="L1401" s="995"/>
      <c r="M1401" s="995"/>
      <c r="N1401" s="284"/>
      <c r="O1401" s="284"/>
      <c r="P1401" s="284"/>
      <c r="Q1401" s="284"/>
      <c r="R1401" s="284"/>
    </row>
    <row r="1402" spans="1:18" x14ac:dyDescent="0.2">
      <c r="A1402" s="815"/>
      <c r="B1402" s="1057"/>
      <c r="C1402" s="1055"/>
      <c r="D1402" s="1055"/>
      <c r="E1402" s="1055"/>
      <c r="F1402" s="1055" t="s">
        <v>1935</v>
      </c>
      <c r="G1402" s="1055" t="s">
        <v>1936</v>
      </c>
      <c r="H1402" s="1055" t="s">
        <v>1936</v>
      </c>
      <c r="I1402" s="1055" t="s">
        <v>1935</v>
      </c>
      <c r="J1402" s="1058"/>
      <c r="K1402" s="995"/>
      <c r="L1402" s="995"/>
      <c r="M1402" s="995"/>
      <c r="N1402" s="284"/>
      <c r="O1402" s="284"/>
      <c r="P1402" s="284"/>
      <c r="Q1402" s="284"/>
      <c r="R1402" s="284"/>
    </row>
    <row r="1403" spans="1:18" x14ac:dyDescent="0.2">
      <c r="A1403" s="815"/>
      <c r="B1403" s="1054" t="s">
        <v>1707</v>
      </c>
      <c r="C1403" s="1059">
        <f>C278</f>
        <v>16</v>
      </c>
      <c r="D1403" s="1059">
        <f>E278</f>
        <v>200</v>
      </c>
      <c r="E1403" s="1059">
        <f>H278</f>
        <v>1005.312</v>
      </c>
      <c r="F1403" s="1059">
        <f>$H$293</f>
        <v>570.00000000000011</v>
      </c>
      <c r="G1403" s="1059">
        <f>C294</f>
        <v>16</v>
      </c>
      <c r="H1403" s="1059">
        <f>E294</f>
        <v>200</v>
      </c>
      <c r="I1403" s="1059">
        <f>H294</f>
        <v>1005.312</v>
      </c>
      <c r="J1403" s="1058"/>
      <c r="K1403" s="995"/>
      <c r="L1403" s="995"/>
      <c r="M1403" s="995"/>
      <c r="N1403" s="284"/>
      <c r="O1403" s="284"/>
      <c r="P1403" s="284"/>
      <c r="Q1403" s="284"/>
      <c r="R1403" s="284"/>
    </row>
    <row r="1404" spans="1:18" x14ac:dyDescent="0.2">
      <c r="A1404" s="815"/>
      <c r="B1404" s="1054" t="s">
        <v>1708</v>
      </c>
      <c r="C1404" s="1059">
        <f>C464</f>
        <v>16</v>
      </c>
      <c r="D1404" s="1059">
        <f>E464</f>
        <v>200</v>
      </c>
      <c r="E1404" s="1059">
        <f>H464</f>
        <v>1005.312</v>
      </c>
      <c r="F1404" s="1061">
        <f>$H$484</f>
        <v>1575.3532866490589</v>
      </c>
      <c r="G1404" s="1061">
        <f>C485</f>
        <v>20</v>
      </c>
      <c r="H1404" s="1061">
        <f>E485</f>
        <v>125</v>
      </c>
      <c r="I1404" s="1061">
        <f>H485</f>
        <v>2513.2800000000002</v>
      </c>
      <c r="J1404" s="1065"/>
      <c r="K1404" s="995"/>
      <c r="L1404" s="995"/>
      <c r="M1404" s="995"/>
      <c r="N1404" s="284"/>
      <c r="O1404" s="284"/>
      <c r="P1404" s="284"/>
      <c r="Q1404" s="284"/>
      <c r="R1404" s="284"/>
    </row>
    <row r="1405" spans="1:18" x14ac:dyDescent="0.2">
      <c r="A1405" s="815"/>
      <c r="B1405" s="1054" t="s">
        <v>1709</v>
      </c>
      <c r="C1405" s="1059">
        <f>C685</f>
        <v>12</v>
      </c>
      <c r="D1405" s="1059">
        <f>E685</f>
        <v>200</v>
      </c>
      <c r="E1405" s="1059">
        <f>H685</f>
        <v>565.48799999999994</v>
      </c>
      <c r="F1405" s="1066" t="s">
        <v>1510</v>
      </c>
      <c r="G1405" s="1066" t="s">
        <v>1510</v>
      </c>
      <c r="H1405" s="1066" t="s">
        <v>1510</v>
      </c>
      <c r="I1405" s="1066" t="s">
        <v>1510</v>
      </c>
      <c r="J1405" s="1058"/>
      <c r="K1405" s="995"/>
      <c r="L1405" s="995"/>
      <c r="M1405" s="995"/>
      <c r="N1405" s="284"/>
      <c r="O1405" s="284"/>
      <c r="P1405" s="284"/>
      <c r="Q1405" s="284"/>
      <c r="R1405" s="284"/>
    </row>
    <row r="1406" spans="1:18" x14ac:dyDescent="0.2">
      <c r="A1406" s="815"/>
      <c r="B1406" s="1054" t="s">
        <v>1710</v>
      </c>
      <c r="C1406" s="1059">
        <f>C935</f>
        <v>16</v>
      </c>
      <c r="D1406" s="1059">
        <f>E935</f>
        <v>250</v>
      </c>
      <c r="E1406" s="1059">
        <f>H935</f>
        <v>804.24959999999999</v>
      </c>
      <c r="F1406" s="1059">
        <f>$H$966</f>
        <v>350.00000000000006</v>
      </c>
      <c r="G1406" s="1059">
        <f>C967</f>
        <v>12</v>
      </c>
      <c r="H1406" s="1059">
        <f>E967</f>
        <v>150</v>
      </c>
      <c r="I1406" s="1059">
        <f>H967</f>
        <v>753.98399999999992</v>
      </c>
      <c r="J1406" s="1058"/>
      <c r="K1406" s="995"/>
      <c r="L1406" s="995"/>
      <c r="M1406" s="995"/>
      <c r="N1406" s="284"/>
      <c r="O1406" s="284"/>
      <c r="P1406" s="284"/>
      <c r="Q1406" s="284"/>
      <c r="R1406" s="284"/>
    </row>
    <row r="1407" spans="1:18" x14ac:dyDescent="0.2">
      <c r="A1407" s="815"/>
      <c r="B1407" s="1057"/>
      <c r="C1407" s="1067"/>
      <c r="D1407" s="1067"/>
      <c r="E1407" s="1067"/>
      <c r="F1407" s="1067"/>
      <c r="G1407" s="1067"/>
      <c r="H1407" s="1067"/>
      <c r="I1407" s="1067"/>
      <c r="J1407" s="1068"/>
      <c r="K1407" s="995"/>
      <c r="L1407" s="995"/>
      <c r="M1407" s="995"/>
      <c r="N1407" s="284"/>
      <c r="O1407" s="284"/>
      <c r="P1407" s="284"/>
      <c r="Q1407" s="284"/>
      <c r="R1407" s="284"/>
    </row>
    <row r="1408" spans="1:18" x14ac:dyDescent="0.2">
      <c r="A1408" s="815"/>
      <c r="B1408" s="1054" t="s">
        <v>1712</v>
      </c>
      <c r="C1408" s="1059">
        <f>C1281</f>
        <v>16</v>
      </c>
      <c r="D1408" s="1059">
        <f>E1281</f>
        <v>200</v>
      </c>
      <c r="E1408" s="1059">
        <f>H1281</f>
        <v>1005.312</v>
      </c>
      <c r="F1408" s="1059">
        <f>$H$1295</f>
        <v>700.00000000000011</v>
      </c>
      <c r="G1408" s="1059">
        <f>C1297</f>
        <v>12</v>
      </c>
      <c r="H1408" s="1059">
        <f>E1297</f>
        <v>150</v>
      </c>
      <c r="I1408" s="1059">
        <f>H1297</f>
        <v>753.98399999999992</v>
      </c>
      <c r="J1408" s="1058"/>
      <c r="K1408" s="995"/>
      <c r="L1408" s="995"/>
      <c r="M1408" s="995"/>
      <c r="N1408" s="284"/>
      <c r="O1408" s="284"/>
      <c r="P1408" s="284"/>
      <c r="Q1408" s="284"/>
      <c r="R1408" s="284"/>
    </row>
    <row r="1409" spans="1:18" x14ac:dyDescent="0.2">
      <c r="A1409" s="815"/>
      <c r="B1409" s="921"/>
      <c r="C1409" s="921"/>
      <c r="D1409" s="921"/>
      <c r="E1409" s="921"/>
      <c r="F1409" s="921"/>
      <c r="G1409" s="921"/>
      <c r="H1409" s="921"/>
      <c r="I1409" s="921"/>
      <c r="J1409" s="1053"/>
      <c r="K1409" s="995"/>
      <c r="L1409" s="995"/>
      <c r="M1409" s="995"/>
      <c r="N1409" s="284"/>
      <c r="O1409" s="284"/>
      <c r="P1409" s="284"/>
      <c r="Q1409" s="284"/>
      <c r="R1409" s="284"/>
    </row>
    <row r="1410" spans="1:18" x14ac:dyDescent="0.2">
      <c r="A1410" s="898" t="s">
        <v>950</v>
      </c>
      <c r="B1410" s="809"/>
      <c r="C1410" s="809"/>
      <c r="D1410" s="809"/>
      <c r="E1410" s="809"/>
      <c r="F1410" s="809"/>
      <c r="G1410" s="809"/>
      <c r="H1410" s="809"/>
      <c r="I1410" s="809"/>
      <c r="J1410" s="896"/>
      <c r="K1410" s="832"/>
      <c r="L1410" s="1035"/>
      <c r="M1410" s="1035"/>
      <c r="N1410" s="434"/>
    </row>
    <row r="1411" spans="1:18" x14ac:dyDescent="0.2">
      <c r="A1411" s="815"/>
      <c r="B1411" s="983" t="s">
        <v>1570</v>
      </c>
      <c r="C1411" s="809"/>
      <c r="D1411" s="809"/>
      <c r="E1411" s="809"/>
      <c r="F1411" s="809"/>
      <c r="G1411" s="809"/>
      <c r="H1411" s="809"/>
      <c r="I1411" s="809"/>
      <c r="J1411" s="896"/>
      <c r="K1411" s="832"/>
      <c r="L1411" s="1035"/>
      <c r="M1411" s="1035"/>
      <c r="N1411" s="434"/>
    </row>
    <row r="1412" spans="1:18" x14ac:dyDescent="0.2">
      <c r="A1412" s="815"/>
      <c r="B1412" s="809"/>
      <c r="C1412" s="809"/>
      <c r="D1412" s="809"/>
      <c r="E1412" s="809"/>
      <c r="F1412" s="809"/>
      <c r="G1412" s="809"/>
      <c r="H1412" s="809"/>
      <c r="I1412" s="809"/>
      <c r="J1412" s="896"/>
      <c r="K1412" s="832"/>
      <c r="L1412" s="825"/>
      <c r="M1412" s="825"/>
      <c r="N1412" s="480"/>
    </row>
    <row r="1413" spans="1:18" x14ac:dyDescent="0.2">
      <c r="A1413" s="815"/>
      <c r="B1413" s="983"/>
      <c r="C1413" s="809"/>
      <c r="D1413" s="809"/>
      <c r="E1413" s="809"/>
      <c r="F1413" s="809"/>
      <c r="G1413" s="809"/>
      <c r="H1413" s="809"/>
      <c r="I1413" s="809"/>
      <c r="J1413" s="896"/>
      <c r="K1413" s="832"/>
      <c r="L1413" s="1438" t="s">
        <v>1942</v>
      </c>
      <c r="M1413" s="1438"/>
      <c r="N1413" s="480" t="s">
        <v>1945</v>
      </c>
    </row>
    <row r="1414" spans="1:18" x14ac:dyDescent="0.2">
      <c r="A1414" s="815"/>
      <c r="B1414" s="1054" t="s">
        <v>1950</v>
      </c>
      <c r="C1414" s="1055"/>
      <c r="D1414" s="1055"/>
      <c r="E1414" s="1055" t="s">
        <v>1939</v>
      </c>
      <c r="F1414" s="1055" t="s">
        <v>1940</v>
      </c>
      <c r="G1414" s="1055" t="s">
        <v>1941</v>
      </c>
      <c r="H1414" s="1055" t="s">
        <v>1947</v>
      </c>
      <c r="I1414" s="1055" t="s">
        <v>2502</v>
      </c>
      <c r="J1414" s="1056" t="s">
        <v>1949</v>
      </c>
      <c r="K1414" s="832"/>
      <c r="L1414" s="825" t="s">
        <v>1943</v>
      </c>
      <c r="M1414" s="825" t="s">
        <v>1944</v>
      </c>
      <c r="N1414" s="480" t="s">
        <v>1946</v>
      </c>
    </row>
    <row r="1415" spans="1:18" x14ac:dyDescent="0.2">
      <c r="A1415" s="815"/>
      <c r="B1415" s="1057"/>
      <c r="C1415" s="1057"/>
      <c r="D1415" s="1057"/>
      <c r="E1415" s="1069" t="s">
        <v>651</v>
      </c>
      <c r="F1415" s="1069" t="s">
        <v>651</v>
      </c>
      <c r="G1415" s="1069" t="s">
        <v>651</v>
      </c>
      <c r="H1415" s="1055" t="s">
        <v>1948</v>
      </c>
      <c r="I1415" s="1069" t="s">
        <v>43</v>
      </c>
      <c r="J1415" s="1070" t="s">
        <v>651</v>
      </c>
      <c r="K1415" s="1028" t="s">
        <v>10</v>
      </c>
      <c r="L1415" s="1071" t="s">
        <v>1938</v>
      </c>
      <c r="M1415" s="1071" t="s">
        <v>1938</v>
      </c>
      <c r="N1415" s="493"/>
    </row>
    <row r="1416" spans="1:18" x14ac:dyDescent="0.2">
      <c r="A1416" s="815"/>
      <c r="B1416" s="1054" t="s">
        <v>1716</v>
      </c>
      <c r="C1416" s="1055"/>
      <c r="D1416" s="1055"/>
      <c r="E1416" s="1059">
        <f>H556</f>
        <v>2.2919318105371445</v>
      </c>
      <c r="F1416" s="1059">
        <f>$H$563</f>
        <v>515.22119518872603</v>
      </c>
      <c r="G1416" s="1059">
        <f>E1416-F1416</f>
        <v>-512.92926337818892</v>
      </c>
      <c r="H1416" s="1059">
        <f>D571</f>
        <v>4</v>
      </c>
      <c r="I1416" s="1059">
        <f>F571</f>
        <v>12</v>
      </c>
      <c r="J1416" s="1060">
        <f>I571</f>
        <v>452.38934211693021</v>
      </c>
      <c r="K1416" s="990" t="s">
        <v>1460</v>
      </c>
      <c r="L1416" s="985">
        <f>$I$570</f>
        <v>532</v>
      </c>
      <c r="M1416" s="985">
        <f>H1416*I1416+(H1416+1)*25</f>
        <v>173</v>
      </c>
      <c r="N1416" s="492" t="str">
        <f>IF(L1416&gt;=M1416,"     OK","   Not OK")</f>
        <v xml:space="preserve">     OK</v>
      </c>
    </row>
    <row r="1417" spans="1:18" x14ac:dyDescent="0.2">
      <c r="A1417" s="815"/>
      <c r="B1417" s="1054" t="s">
        <v>1717</v>
      </c>
      <c r="C1417" s="1055"/>
      <c r="D1417" s="1055"/>
      <c r="E1417" s="1059">
        <f>$H$756</f>
        <v>2.3709639419349777</v>
      </c>
      <c r="F1417" s="1059">
        <f>$I$761</f>
        <v>226.1946710584651</v>
      </c>
      <c r="G1417" s="1059">
        <f>E1417-F1417</f>
        <v>-223.82370711653013</v>
      </c>
      <c r="H1417" s="1072">
        <f>D770</f>
        <v>4</v>
      </c>
      <c r="I1417" s="1072">
        <f>F770</f>
        <v>100000000</v>
      </c>
      <c r="J1417" s="1073">
        <f>I770</f>
        <v>3.1415926535897932E+16</v>
      </c>
      <c r="K1417" s="990" t="s">
        <v>1460</v>
      </c>
      <c r="L1417" s="985">
        <f>$I$769</f>
        <v>-162</v>
      </c>
      <c r="M1417" s="985">
        <f>H1417*I1417+(H1417+1)*25</f>
        <v>400000125</v>
      </c>
      <c r="N1417" s="492" t="str">
        <f>IF(L1417&gt;=M1417,"     OK","   Not OK")</f>
        <v xml:space="preserve">   Not OK</v>
      </c>
    </row>
    <row r="1418" spans="1:18" x14ac:dyDescent="0.2">
      <c r="A1418" s="815"/>
      <c r="B1418" s="1054" t="s">
        <v>1718</v>
      </c>
      <c r="C1418" s="1055"/>
      <c r="D1418" s="1055"/>
      <c r="E1418" s="1059">
        <f>$H$1122</f>
        <v>210.00000000000003</v>
      </c>
      <c r="F1418" s="1059">
        <v>0</v>
      </c>
      <c r="G1418" s="1059">
        <f>E1418-F1418</f>
        <v>210.00000000000003</v>
      </c>
      <c r="H1418" s="1059">
        <f>D1129</f>
        <v>2</v>
      </c>
      <c r="I1418" s="1059">
        <f>F1129</f>
        <v>12</v>
      </c>
      <c r="J1418" s="1060">
        <f>I1129</f>
        <v>226.1946710584651</v>
      </c>
      <c r="K1418" s="990" t="s">
        <v>1460</v>
      </c>
      <c r="L1418" s="985">
        <v>300</v>
      </c>
      <c r="M1418" s="985">
        <f>H1418*I1418+(H1418+1)*25</f>
        <v>99</v>
      </c>
      <c r="N1418" s="492" t="str">
        <f>IF(L1418&gt;=M1418,"     OK","   Not OK")</f>
        <v xml:space="preserve">     OK</v>
      </c>
    </row>
    <row r="1419" spans="1:18" x14ac:dyDescent="0.2">
      <c r="A1419" s="815"/>
      <c r="B1419" s="1054" t="s">
        <v>1719</v>
      </c>
      <c r="C1419" s="1055"/>
      <c r="D1419" s="1055"/>
      <c r="E1419" s="1059">
        <f>$H$1145</f>
        <v>210.00000000000003</v>
      </c>
      <c r="F1419" s="1059">
        <v>0</v>
      </c>
      <c r="G1419" s="1059">
        <f>E1419-F1419</f>
        <v>210.00000000000003</v>
      </c>
      <c r="H1419" s="1059">
        <f>D1151</f>
        <v>2</v>
      </c>
      <c r="I1419" s="1059">
        <f>F1151</f>
        <v>12</v>
      </c>
      <c r="J1419" s="1060">
        <f>I1151</f>
        <v>226.1946710584651</v>
      </c>
      <c r="K1419" s="990" t="s">
        <v>1460</v>
      </c>
      <c r="L1419" s="985">
        <v>300</v>
      </c>
      <c r="M1419" s="985">
        <f>H1419*I1419+(H1419+1)*25</f>
        <v>99</v>
      </c>
      <c r="N1419" s="492" t="str">
        <f>IF(L1419&gt;=M1419,"     OK","   Not OK")</f>
        <v xml:space="preserve">     OK</v>
      </c>
    </row>
    <row r="1420" spans="1:18" x14ac:dyDescent="0.2">
      <c r="A1420" s="815"/>
      <c r="B1420" s="921"/>
      <c r="C1420" s="921"/>
      <c r="D1420" s="921"/>
      <c r="E1420" s="921"/>
      <c r="F1420" s="921"/>
      <c r="G1420" s="921"/>
      <c r="H1420" s="921"/>
      <c r="I1420" s="921"/>
      <c r="J1420" s="1053"/>
      <c r="K1420" s="995" t="s">
        <v>10</v>
      </c>
      <c r="L1420" s="921"/>
      <c r="M1420" s="921"/>
      <c r="N1420" s="351"/>
    </row>
    <row r="1421" spans="1:18" x14ac:dyDescent="0.2">
      <c r="A1421" s="815"/>
      <c r="B1421" s="921"/>
      <c r="C1421" s="921"/>
      <c r="D1421" s="921"/>
      <c r="E1421" s="809"/>
      <c r="F1421" s="1074"/>
      <c r="G1421" s="809"/>
      <c r="H1421" s="1074"/>
      <c r="I1421" s="921"/>
      <c r="J1421" s="1053"/>
      <c r="K1421" s="995"/>
      <c r="L1421" s="995"/>
      <c r="M1421" s="995"/>
      <c r="N1421" s="284"/>
    </row>
    <row r="1422" spans="1:18" x14ac:dyDescent="0.2">
      <c r="A1422" s="815"/>
      <c r="B1422" s="921"/>
      <c r="C1422" s="921"/>
      <c r="D1422" s="921"/>
      <c r="E1422" s="809"/>
      <c r="F1422" s="809"/>
      <c r="G1422" s="809"/>
      <c r="H1422" s="1074"/>
      <c r="I1422" s="1074"/>
      <c r="J1422" s="1075"/>
      <c r="K1422" s="995"/>
      <c r="L1422" s="995"/>
      <c r="M1422" s="995"/>
      <c r="N1422" s="284"/>
    </row>
    <row r="1423" spans="1:18" x14ac:dyDescent="0.2">
      <c r="A1423" s="815"/>
      <c r="B1423" s="1057"/>
      <c r="C1423" s="1057"/>
      <c r="D1423" s="1057"/>
      <c r="E1423" s="1435" t="s">
        <v>1942</v>
      </c>
      <c r="F1423" s="1435"/>
      <c r="G1423" s="1069" t="s">
        <v>1945</v>
      </c>
      <c r="H1423" s="1069"/>
      <c r="I1423" s="1069"/>
      <c r="J1423" s="1075"/>
      <c r="K1423" s="995"/>
      <c r="L1423" s="995"/>
      <c r="M1423" s="995"/>
      <c r="N1423" s="284"/>
    </row>
    <row r="1424" spans="1:18" x14ac:dyDescent="0.2">
      <c r="A1424" s="815"/>
      <c r="B1424" s="1054" t="s">
        <v>1950</v>
      </c>
      <c r="C1424" s="1055"/>
      <c r="D1424" s="1055"/>
      <c r="E1424" s="1069" t="s">
        <v>1943</v>
      </c>
      <c r="F1424" s="1069" t="s">
        <v>2228</v>
      </c>
      <c r="G1424" s="1069" t="s">
        <v>2230</v>
      </c>
      <c r="H1424" s="1069"/>
      <c r="I1424" s="1069"/>
      <c r="J1424" s="1075"/>
      <c r="K1424" s="995"/>
      <c r="L1424" s="995"/>
      <c r="M1424" s="995"/>
      <c r="N1424" s="284"/>
    </row>
    <row r="1425" spans="1:14" x14ac:dyDescent="0.2">
      <c r="A1425" s="815"/>
      <c r="B1425" s="1057"/>
      <c r="C1425" s="1057"/>
      <c r="D1425" s="1057"/>
      <c r="E1425" s="1069" t="s">
        <v>215</v>
      </c>
      <c r="F1425" s="1069"/>
      <c r="G1425" s="1124" t="s">
        <v>2229</v>
      </c>
      <c r="H1425" s="1069"/>
      <c r="I1425" s="1069"/>
      <c r="J1425" s="1075"/>
      <c r="K1425" s="995"/>
      <c r="L1425" s="995"/>
      <c r="M1425" s="995"/>
      <c r="N1425" s="284"/>
    </row>
    <row r="1426" spans="1:14" x14ac:dyDescent="0.2">
      <c r="A1426" s="815"/>
      <c r="B1426" s="1054" t="s">
        <v>1716</v>
      </c>
      <c r="C1426" s="1055"/>
      <c r="D1426" s="1055"/>
      <c r="E1426" s="1076">
        <f>I570</f>
        <v>532</v>
      </c>
      <c r="F1426" s="1059">
        <f>H1416*I1416+(H1416+1)*25</f>
        <v>173</v>
      </c>
      <c r="G1426" s="1059" t="str">
        <f>IF(E1426&gt;=F1426,"     OK","   Not OK")</f>
        <v xml:space="preserve">     OK</v>
      </c>
      <c r="H1426" s="1069"/>
      <c r="I1426" s="1069"/>
      <c r="J1426" s="1075"/>
      <c r="K1426" s="995"/>
      <c r="L1426" s="995"/>
      <c r="M1426" s="995"/>
      <c r="N1426" s="284"/>
    </row>
    <row r="1427" spans="1:14" x14ac:dyDescent="0.2">
      <c r="A1427" s="815"/>
      <c r="B1427" s="1054" t="s">
        <v>1717</v>
      </c>
      <c r="C1427" s="1055"/>
      <c r="D1427" s="1055"/>
      <c r="E1427" s="1076">
        <f>I769</f>
        <v>-162</v>
      </c>
      <c r="F1427" s="1072">
        <f>H1417*I1417+(H1417+1)*25</f>
        <v>400000125</v>
      </c>
      <c r="G1427" s="1059" t="str">
        <f>IF(E1427&gt;=F1427,"     OK","   Not OK")</f>
        <v xml:space="preserve">   Not OK</v>
      </c>
      <c r="H1427" s="1069"/>
      <c r="I1427" s="1069"/>
      <c r="J1427" s="1075"/>
      <c r="K1427" s="995"/>
      <c r="L1427" s="995"/>
      <c r="M1427" s="995"/>
      <c r="N1427" s="284"/>
    </row>
    <row r="1428" spans="1:14" x14ac:dyDescent="0.2">
      <c r="A1428" s="815"/>
      <c r="B1428" s="1054" t="s">
        <v>1718</v>
      </c>
      <c r="C1428" s="1055"/>
      <c r="D1428" s="1055"/>
      <c r="E1428" s="1076">
        <v>300</v>
      </c>
      <c r="F1428" s="1059">
        <f>H1418*I1418+(H1418+1)*25</f>
        <v>99</v>
      </c>
      <c r="G1428" s="1059" t="str">
        <f>IF(E1428&gt;=F1428,"     OK","   Not OK")</f>
        <v xml:space="preserve">     OK</v>
      </c>
      <c r="H1428" s="1069"/>
      <c r="I1428" s="1069"/>
      <c r="J1428" s="1075"/>
      <c r="K1428" s="995"/>
      <c r="L1428" s="995"/>
      <c r="M1428" s="995"/>
      <c r="N1428" s="284"/>
    </row>
    <row r="1429" spans="1:14" x14ac:dyDescent="0.2">
      <c r="A1429" s="815"/>
      <c r="B1429" s="1054" t="s">
        <v>1719</v>
      </c>
      <c r="C1429" s="1055"/>
      <c r="D1429" s="1055"/>
      <c r="E1429" s="1077">
        <v>300</v>
      </c>
      <c r="F1429" s="1059">
        <f>H1419*I1419+(H1419+1)*25</f>
        <v>99</v>
      </c>
      <c r="G1429" s="1059" t="str">
        <f>IF(E1429&gt;=F1429,"     OK","   Not OK")</f>
        <v xml:space="preserve">     OK</v>
      </c>
      <c r="H1429" s="1055"/>
      <c r="I1429" s="1055"/>
      <c r="J1429" s="896"/>
      <c r="K1429" s="832"/>
      <c r="L1429" s="832"/>
      <c r="M1429" s="832"/>
    </row>
    <row r="1430" spans="1:14" ht="13.5" thickBot="1" x14ac:dyDescent="0.25">
      <c r="A1430" s="819"/>
      <c r="B1430" s="821"/>
      <c r="C1430" s="821"/>
      <c r="D1430" s="821"/>
      <c r="E1430" s="821"/>
      <c r="F1430" s="821"/>
      <c r="G1430" s="821"/>
      <c r="H1430" s="821"/>
      <c r="I1430" s="821"/>
      <c r="J1430" s="993" t="s">
        <v>2396</v>
      </c>
      <c r="K1430" s="832"/>
      <c r="L1430" s="832"/>
      <c r="M1430" s="832"/>
    </row>
    <row r="1431" spans="1:14" x14ac:dyDescent="0.2">
      <c r="A1431" s="983" t="s">
        <v>950</v>
      </c>
      <c r="B1431" s="809"/>
      <c r="C1431" s="809"/>
      <c r="D1431" s="809"/>
      <c r="E1431" s="809"/>
      <c r="F1431" s="809"/>
      <c r="G1431" s="809"/>
      <c r="H1431" s="809"/>
      <c r="I1431" s="809"/>
      <c r="J1431" s="809"/>
      <c r="K1431" s="832"/>
      <c r="L1431" s="832"/>
      <c r="M1431" s="832"/>
    </row>
    <row r="1432" spans="1:14" x14ac:dyDescent="0.2">
      <c r="A1432" s="809"/>
      <c r="B1432" s="983" t="s">
        <v>1720</v>
      </c>
      <c r="C1432" s="809"/>
      <c r="D1432" s="809"/>
      <c r="E1432" s="809"/>
      <c r="F1432" s="809"/>
      <c r="G1432" s="809"/>
      <c r="H1432" s="809"/>
      <c r="I1432" s="809"/>
      <c r="J1432" s="809"/>
      <c r="K1432" s="832"/>
      <c r="L1432" s="832"/>
      <c r="M1432" s="832"/>
    </row>
    <row r="1433" spans="1:14" x14ac:dyDescent="0.2">
      <c r="A1433" s="809"/>
      <c r="B1433" s="983" t="s">
        <v>2237</v>
      </c>
      <c r="C1433" s="809"/>
      <c r="D1433" s="809"/>
      <c r="E1433" s="809"/>
      <c r="F1433" s="809"/>
      <c r="G1433" s="809"/>
      <c r="H1433" s="809"/>
      <c r="I1433" s="809"/>
      <c r="J1433" s="809"/>
      <c r="K1433" s="832"/>
      <c r="L1433" s="832"/>
      <c r="M1433" s="832"/>
    </row>
    <row r="1434" spans="1:14" x14ac:dyDescent="0.2">
      <c r="A1434" s="809"/>
      <c r="B1434" s="983" t="s">
        <v>2236</v>
      </c>
      <c r="C1434" s="809"/>
      <c r="D1434" s="809"/>
      <c r="E1434" s="1436" t="s">
        <v>1945</v>
      </c>
      <c r="F1434" s="1436"/>
      <c r="G1434" s="809"/>
      <c r="H1434" s="1436" t="s">
        <v>626</v>
      </c>
      <c r="I1434" s="1436"/>
      <c r="J1434" s="809"/>
      <c r="K1434" s="832"/>
      <c r="L1434" s="832"/>
      <c r="M1434" s="832"/>
    </row>
    <row r="1435" spans="1:14" ht="13.5" x14ac:dyDescent="0.25">
      <c r="A1435" s="809"/>
      <c r="B1435" s="983" t="s">
        <v>1950</v>
      </c>
      <c r="C1435" s="809"/>
      <c r="D1435" s="809"/>
      <c r="E1435" s="809" t="s">
        <v>1492</v>
      </c>
      <c r="F1435" s="809" t="s">
        <v>1495</v>
      </c>
      <c r="G1435" s="809"/>
      <c r="H1435" s="809" t="s">
        <v>2234</v>
      </c>
      <c r="I1435" s="809" t="s">
        <v>2233</v>
      </c>
      <c r="J1435" s="1078" t="s">
        <v>2232</v>
      </c>
      <c r="K1435" s="832"/>
      <c r="L1435" s="832"/>
      <c r="M1435" s="832"/>
    </row>
    <row r="1436" spans="1:14" ht="13.5" x14ac:dyDescent="0.25">
      <c r="A1436" s="809"/>
      <c r="B1436" s="921"/>
      <c r="C1436" s="921"/>
      <c r="D1436" s="921"/>
      <c r="E1436" s="1074" t="s">
        <v>58</v>
      </c>
      <c r="F1436" s="1074" t="s">
        <v>57</v>
      </c>
      <c r="G1436" s="1074"/>
      <c r="H1436" s="1074" t="s">
        <v>43</v>
      </c>
      <c r="I1436" s="1074" t="s">
        <v>2235</v>
      </c>
      <c r="J1436" s="1079" t="s">
        <v>2231</v>
      </c>
      <c r="K1436" s="832"/>
      <c r="L1436" s="832"/>
      <c r="M1436" s="832"/>
    </row>
    <row r="1437" spans="1:14" ht="13.5" x14ac:dyDescent="0.25">
      <c r="A1437" s="809"/>
      <c r="B1437" s="983" t="s">
        <v>1721</v>
      </c>
      <c r="C1437" s="809"/>
      <c r="D1437" s="809"/>
      <c r="E1437" s="908">
        <f>E216</f>
        <v>18.432832446808515</v>
      </c>
      <c r="F1437" s="908">
        <f>F222</f>
        <v>98.922867464539024</v>
      </c>
      <c r="G1437" s="983"/>
      <c r="H1437" s="920">
        <f>G230</f>
        <v>305.77433785142472</v>
      </c>
      <c r="I1437" s="920">
        <f>G231</f>
        <v>750</v>
      </c>
      <c r="J1437" s="1080" t="str">
        <f>IF(I1437&gt;=H1437,IF(I1437&gt;1.5*H1437," &gt;50% Exc","    OK"),"  Not OK")</f>
        <v xml:space="preserve"> &gt;50% Exc</v>
      </c>
      <c r="K1437" s="832"/>
      <c r="L1437" s="832"/>
      <c r="M1437" s="832"/>
    </row>
    <row r="1438" spans="1:14" ht="13.5" x14ac:dyDescent="0.25">
      <c r="A1438" s="809"/>
      <c r="B1438" s="983" t="s">
        <v>1716</v>
      </c>
      <c r="C1438" s="809"/>
      <c r="D1438" s="809"/>
      <c r="E1438" s="809"/>
      <c r="F1438" s="809"/>
      <c r="G1438" s="983"/>
      <c r="H1438" s="809"/>
      <c r="I1438" s="809"/>
      <c r="J1438" s="1078"/>
      <c r="K1438" s="832"/>
      <c r="L1438" s="832"/>
      <c r="M1438" s="832"/>
    </row>
    <row r="1439" spans="1:14" ht="13.5" x14ac:dyDescent="0.25">
      <c r="A1439" s="809"/>
      <c r="B1439" s="983" t="s">
        <v>1722</v>
      </c>
      <c r="C1439" s="809"/>
      <c r="D1439" s="809"/>
      <c r="E1439" s="908">
        <f>E363</f>
        <v>108.31469586112729</v>
      </c>
      <c r="F1439" s="908">
        <f>E369</f>
        <v>114.41937291907719</v>
      </c>
      <c r="G1439" s="983"/>
      <c r="H1439" s="920">
        <f>G376</f>
        <v>369.01478668464307</v>
      </c>
      <c r="I1439" s="920">
        <f>G377</f>
        <v>700</v>
      </c>
      <c r="J1439" s="1080" t="str">
        <f>IF(I1439&gt;=H1439,IF(I1439&gt;1.5*H1439," &gt;50% Exc","    OK"),"  Not OK")</f>
        <v xml:space="preserve"> &gt;50% Exc</v>
      </c>
      <c r="K1439" s="832"/>
      <c r="L1439" s="832"/>
      <c r="M1439" s="832"/>
    </row>
    <row r="1440" spans="1:14" ht="13.5" x14ac:dyDescent="0.25">
      <c r="A1440" s="809"/>
      <c r="B1440" s="983" t="s">
        <v>1723</v>
      </c>
      <c r="C1440" s="809"/>
      <c r="D1440" s="809"/>
      <c r="E1440" s="908">
        <f>E388</f>
        <v>177.06534113825001</v>
      </c>
      <c r="F1440" s="908">
        <f>E394</f>
        <v>238.98845221998513</v>
      </c>
      <c r="G1440" s="983"/>
      <c r="H1440" s="920">
        <f>G400</f>
        <v>632.5293481557685</v>
      </c>
      <c r="I1440" s="920">
        <f>G401</f>
        <v>750</v>
      </c>
      <c r="J1440" s="1080" t="str">
        <f>IF(I1440&gt;=H1440,IF(I1440&gt;1.5*H1440," &gt;50% Exc","    OK"),"  Not OK")</f>
        <v xml:space="preserve">    OK</v>
      </c>
      <c r="K1440" s="832"/>
      <c r="L1440" s="832"/>
      <c r="M1440" s="832"/>
    </row>
    <row r="1441" spans="1:13" ht="13.5" x14ac:dyDescent="0.25">
      <c r="A1441" s="809"/>
      <c r="B1441" s="983" t="s">
        <v>1724</v>
      </c>
      <c r="C1441" s="809"/>
      <c r="D1441" s="809"/>
      <c r="E1441" s="908">
        <f>E523</f>
        <v>0.90639422673508296</v>
      </c>
      <c r="F1441" s="908">
        <f>E529</f>
        <v>7.4254603959451018</v>
      </c>
      <c r="G1441" s="983"/>
      <c r="H1441" s="920">
        <f>H535</f>
        <v>107.14659846916675</v>
      </c>
      <c r="I1441" s="920">
        <f>H538</f>
        <v>2450</v>
      </c>
      <c r="J1441" s="1080" t="str">
        <f>IF(I1441&gt;=H1441,"    OK","  Not OK")</f>
        <v xml:space="preserve">    OK</v>
      </c>
      <c r="K1441" s="832"/>
      <c r="L1441" s="832"/>
      <c r="M1441" s="832"/>
    </row>
    <row r="1442" spans="1:13" ht="13.5" x14ac:dyDescent="0.25">
      <c r="A1442" s="809"/>
      <c r="B1442" s="983" t="s">
        <v>1717</v>
      </c>
      <c r="C1442" s="809"/>
      <c r="D1442" s="809"/>
      <c r="E1442" s="908">
        <f>E625</f>
        <v>69.421026610728021</v>
      </c>
      <c r="F1442" s="908">
        <f>E631</f>
        <v>85.067247837600007</v>
      </c>
      <c r="G1442" s="983"/>
      <c r="H1442" s="920">
        <f>H637</f>
        <v>310.38077922774579</v>
      </c>
      <c r="I1442" s="920">
        <f>H638</f>
        <v>0</v>
      </c>
      <c r="J1442" s="1080" t="str">
        <f>IF(I1442&gt;=H1442,IF(I1442&gt;1.5*H1442," &gt;50% Exc","    OK"),"  Not OK")</f>
        <v xml:space="preserve">  Not OK</v>
      </c>
      <c r="K1442" s="832"/>
      <c r="L1442" s="832"/>
      <c r="M1442" s="832"/>
    </row>
    <row r="1443" spans="1:13" ht="13.5" x14ac:dyDescent="0.25">
      <c r="A1443" s="809"/>
      <c r="B1443" s="824" t="s">
        <v>1724</v>
      </c>
      <c r="C1443" s="825"/>
      <c r="D1443" s="825"/>
      <c r="E1443" s="958">
        <f>E725</f>
        <v>0.93764920007077546</v>
      </c>
      <c r="F1443" s="958">
        <f>E731</f>
        <v>7.6815107544259682</v>
      </c>
      <c r="G1443" s="824"/>
      <c r="H1443" s="985" t="e">
        <f>H737</f>
        <v>#DIV/0!</v>
      </c>
      <c r="I1443" s="985">
        <f>H739</f>
        <v>2450</v>
      </c>
      <c r="J1443" s="1081" t="e">
        <f>IF(I1443&gt;=H1443,"    OK","  Not OK")</f>
        <v>#DIV/0!</v>
      </c>
      <c r="K1443" s="832"/>
      <c r="L1443" s="832"/>
      <c r="M1443" s="832"/>
    </row>
    <row r="1444" spans="1:13" ht="13.5" x14ac:dyDescent="0.25">
      <c r="A1444" s="809"/>
      <c r="B1444" s="983" t="s">
        <v>1472</v>
      </c>
      <c r="C1444" s="809"/>
      <c r="D1444" s="809"/>
      <c r="E1444" s="809"/>
      <c r="F1444" s="809"/>
      <c r="G1444" s="983"/>
      <c r="H1444" s="920"/>
      <c r="I1444" s="920"/>
      <c r="J1444" s="1078"/>
      <c r="K1444" s="832"/>
      <c r="L1444" s="832"/>
      <c r="M1444" s="832"/>
    </row>
    <row r="1445" spans="1:13" ht="13.5" x14ac:dyDescent="0.25">
      <c r="A1445" s="809"/>
      <c r="B1445" s="983" t="s">
        <v>1722</v>
      </c>
      <c r="C1445" s="809"/>
      <c r="D1445" s="809"/>
      <c r="E1445" s="908">
        <f>E841</f>
        <v>3.0602396969342887</v>
      </c>
      <c r="F1445" s="908">
        <f>E847</f>
        <v>16.423286373547349</v>
      </c>
      <c r="G1445" s="983"/>
      <c r="H1445" s="920">
        <f>H852</f>
        <v>124.42005251594277</v>
      </c>
      <c r="I1445" s="920">
        <f>G853</f>
        <v>350</v>
      </c>
      <c r="J1445" s="1080" t="str">
        <f>IF(I1445&gt;=H1445,IF(I1445&gt;1.5*H1445," &gt;50% Exc","    OK"),"  Not OK")</f>
        <v xml:space="preserve"> &gt;50% Exc</v>
      </c>
      <c r="K1445" s="832"/>
      <c r="L1445" s="832"/>
      <c r="M1445" s="832"/>
    </row>
    <row r="1446" spans="1:13" ht="13.5" x14ac:dyDescent="0.25">
      <c r="A1446" s="809"/>
      <c r="B1446" s="983" t="s">
        <v>1723</v>
      </c>
      <c r="C1446" s="809"/>
      <c r="D1446" s="809"/>
      <c r="E1446" s="908">
        <f>E866</f>
        <v>3.5239123782879691</v>
      </c>
      <c r="F1446" s="908">
        <f>E872</f>
        <v>18.911663096812099</v>
      </c>
      <c r="G1446" s="983"/>
      <c r="H1446" s="920">
        <f>H877</f>
        <v>128.03200304384097</v>
      </c>
      <c r="I1446" s="920">
        <f>G879</f>
        <v>350</v>
      </c>
      <c r="J1446" s="1080" t="str">
        <f>IF(I1446&gt;=H1446,IF(I1446&gt;1.5*H1446," &gt;50% Exc","    OK"),"  Not OK")</f>
        <v xml:space="preserve"> &gt;50% Exc</v>
      </c>
      <c r="K1446" s="832"/>
      <c r="L1446" s="832"/>
      <c r="M1446" s="832"/>
    </row>
    <row r="1447" spans="1:13" ht="13.5" x14ac:dyDescent="0.25">
      <c r="A1447" s="809"/>
      <c r="B1447" s="983" t="s">
        <v>1725</v>
      </c>
      <c r="C1447" s="809"/>
      <c r="D1447" s="809"/>
      <c r="E1447" s="908">
        <f>E1061</f>
        <v>7.89825</v>
      </c>
      <c r="F1447" s="908">
        <f>E1067</f>
        <v>12.137274999999999</v>
      </c>
      <c r="G1447" s="983"/>
      <c r="H1447" s="920">
        <f>H1076</f>
        <v>174.95402899344228</v>
      </c>
      <c r="I1447" s="920">
        <f>G1078</f>
        <v>350</v>
      </c>
      <c r="J1447" s="1080" t="str">
        <f>IF(I1447&gt;=H1447,IF(I1447&gt;1.5*H1447," &gt;50% Exc","    OK"),"  Not OK")</f>
        <v xml:space="preserve"> &gt;50% Exc</v>
      </c>
      <c r="K1447" s="832"/>
      <c r="L1447" s="832"/>
      <c r="M1447" s="832"/>
    </row>
    <row r="1448" spans="1:13" ht="13.5" x14ac:dyDescent="0.25">
      <c r="A1448" s="809"/>
      <c r="B1448" s="983" t="s">
        <v>1726</v>
      </c>
      <c r="C1448" s="809"/>
      <c r="D1448" s="809"/>
      <c r="E1448" s="908">
        <f>E1220</f>
        <v>2.4814285714285713</v>
      </c>
      <c r="F1448" s="908">
        <f>E1226</f>
        <v>13.316999999999997</v>
      </c>
      <c r="G1448" s="983"/>
      <c r="H1448" s="920">
        <f>H1233</f>
        <v>74.501676213875527</v>
      </c>
      <c r="I1448" s="920">
        <f>G1235</f>
        <v>350</v>
      </c>
      <c r="J1448" s="1080" t="str">
        <f>IF(I1448&gt;=H1448,IF(I1448&gt;1.5*H1448," &gt;50% Exc","    OK"),"  Not OK")</f>
        <v xml:space="preserve"> &gt;50% Exc</v>
      </c>
      <c r="K1448" s="832"/>
      <c r="L1448" s="832"/>
      <c r="M1448" s="832"/>
    </row>
    <row r="1449" spans="1:13" x14ac:dyDescent="0.2">
      <c r="A1449" s="983" t="s">
        <v>986</v>
      </c>
      <c r="B1449" s="809"/>
      <c r="C1449" s="809"/>
      <c r="D1449" s="809"/>
      <c r="E1449" s="809"/>
      <c r="F1449" s="809"/>
      <c r="G1449" s="809"/>
      <c r="H1449" s="809"/>
      <c r="I1449" s="809"/>
      <c r="J1449" s="809"/>
      <c r="K1449" s="832"/>
      <c r="L1449" s="832"/>
      <c r="M1449" s="832"/>
    </row>
    <row r="1450" spans="1:13" x14ac:dyDescent="0.2">
      <c r="A1450" s="983" t="s">
        <v>950</v>
      </c>
      <c r="B1450" s="809"/>
      <c r="C1450" s="809"/>
      <c r="D1450" s="809"/>
      <c r="E1450" s="809"/>
      <c r="F1450" s="809"/>
      <c r="G1450" s="809"/>
      <c r="H1450" s="809"/>
      <c r="I1450" s="809"/>
      <c r="J1450" s="984"/>
      <c r="K1450" s="832"/>
      <c r="L1450" s="832"/>
      <c r="M1450" s="832"/>
    </row>
    <row r="1451" spans="1:13" x14ac:dyDescent="0.2">
      <c r="A1451" s="994" t="str">
        <f>IF(E42=1,"4.8","4.9")</f>
        <v>4.8</v>
      </c>
      <c r="B1451" s="990" t="s">
        <v>1727</v>
      </c>
      <c r="C1451" s="832"/>
      <c r="D1451" s="832"/>
      <c r="E1451" s="832"/>
      <c r="F1451" s="832"/>
      <c r="G1451" s="832"/>
      <c r="H1451" s="832"/>
      <c r="I1451" s="832"/>
      <c r="J1451" s="832"/>
      <c r="K1451" s="832"/>
      <c r="L1451" s="832"/>
      <c r="M1451" s="832"/>
    </row>
    <row r="1452" spans="1:13" x14ac:dyDescent="0.2">
      <c r="A1452" s="832"/>
      <c r="B1452" s="832"/>
      <c r="C1452" s="832"/>
      <c r="D1452" s="832"/>
      <c r="E1452" s="832"/>
      <c r="F1452" s="832"/>
      <c r="G1452" s="832"/>
      <c r="H1452" s="832"/>
      <c r="I1452" s="832"/>
      <c r="J1452" s="832"/>
      <c r="K1452" s="832"/>
      <c r="L1452" s="832"/>
      <c r="M1452" s="832"/>
    </row>
    <row r="1453" spans="1:13" x14ac:dyDescent="0.2">
      <c r="A1453" s="990" t="s">
        <v>950</v>
      </c>
      <c r="B1453" s="832"/>
      <c r="C1453" s="832"/>
      <c r="D1453" s="832"/>
      <c r="E1453" s="832"/>
      <c r="F1453" s="832"/>
      <c r="G1453" s="832"/>
      <c r="H1453" s="832"/>
      <c r="I1453" s="832"/>
      <c r="J1453" s="832"/>
      <c r="K1453" s="832"/>
      <c r="L1453" s="832"/>
      <c r="M1453" s="832"/>
    </row>
    <row r="1454" spans="1:13" x14ac:dyDescent="0.2">
      <c r="A1454" s="990" t="s">
        <v>1238</v>
      </c>
      <c r="B1454" s="832"/>
      <c r="C1454" s="832"/>
      <c r="D1454" s="832"/>
      <c r="E1454" s="832"/>
      <c r="F1454" s="832"/>
      <c r="G1454" s="832"/>
      <c r="H1454" s="832"/>
      <c r="I1454" s="832"/>
      <c r="J1454" s="832"/>
      <c r="K1454" s="832"/>
      <c r="L1454" s="832"/>
      <c r="M1454" s="832"/>
    </row>
    <row r="1455" spans="1:13" x14ac:dyDescent="0.2">
      <c r="A1455" s="832"/>
      <c r="B1455" s="832"/>
      <c r="C1455" s="832"/>
      <c r="D1455" s="832"/>
      <c r="E1455" s="832"/>
      <c r="F1455" s="832"/>
      <c r="G1455" s="832"/>
      <c r="H1455" s="832"/>
      <c r="I1455" s="832"/>
      <c r="J1455" s="832"/>
      <c r="K1455" s="832"/>
      <c r="L1455" s="832"/>
      <c r="M1455" s="832"/>
    </row>
    <row r="1456" spans="1:13" x14ac:dyDescent="0.2">
      <c r="A1456" s="832"/>
      <c r="B1456" s="990" t="s">
        <v>1728</v>
      </c>
      <c r="C1456" s="832"/>
      <c r="D1456" s="832"/>
      <c r="E1456" s="994">
        <f>E14</f>
        <v>9500</v>
      </c>
      <c r="F1456" s="990" t="s">
        <v>1417</v>
      </c>
      <c r="G1456" s="832"/>
      <c r="H1456" s="832"/>
      <c r="I1456" s="832"/>
      <c r="J1456" s="832"/>
      <c r="K1456" s="832"/>
      <c r="L1456" s="832"/>
      <c r="M1456" s="832"/>
    </row>
    <row r="1457" spans="1:13" x14ac:dyDescent="0.2">
      <c r="A1457" s="832"/>
      <c r="B1457" s="832"/>
      <c r="C1457" s="832"/>
      <c r="D1457" s="832"/>
      <c r="E1457" s="832"/>
      <c r="F1457" s="832"/>
      <c r="G1457" s="832"/>
      <c r="H1457" s="832"/>
      <c r="I1457" s="832"/>
      <c r="J1457" s="832"/>
      <c r="K1457" s="832"/>
      <c r="L1457" s="832"/>
      <c r="M1457" s="832"/>
    </row>
    <row r="1458" spans="1:13" x14ac:dyDescent="0.2">
      <c r="A1458" s="832"/>
      <c r="B1458" s="990" t="s">
        <v>196</v>
      </c>
      <c r="C1458" s="832"/>
      <c r="D1458" s="990" t="s">
        <v>1239</v>
      </c>
      <c r="E1458" s="990" t="s">
        <v>1240</v>
      </c>
      <c r="F1458" s="990" t="s">
        <v>1241</v>
      </c>
      <c r="G1458" s="990" t="s">
        <v>1242</v>
      </c>
      <c r="H1458" s="990" t="s">
        <v>1243</v>
      </c>
      <c r="I1458" s="990" t="s">
        <v>1729</v>
      </c>
      <c r="J1458" s="832"/>
      <c r="K1458" s="832"/>
      <c r="L1458" s="832"/>
      <c r="M1458" s="832"/>
    </row>
    <row r="1459" spans="1:13" x14ac:dyDescent="0.2">
      <c r="A1459" s="832"/>
      <c r="B1459" s="832"/>
      <c r="C1459" s="832"/>
      <c r="D1459" s="832"/>
      <c r="E1459" s="990" t="s">
        <v>1244</v>
      </c>
      <c r="F1459" s="990" t="s">
        <v>1245</v>
      </c>
      <c r="G1459" s="990" t="s">
        <v>1245</v>
      </c>
      <c r="H1459" s="990" t="s">
        <v>1246</v>
      </c>
      <c r="I1459" s="990" t="s">
        <v>1730</v>
      </c>
      <c r="J1459" s="832"/>
      <c r="K1459" s="832"/>
      <c r="L1459" s="832"/>
      <c r="M1459" s="832"/>
    </row>
    <row r="1460" spans="1:13" x14ac:dyDescent="0.2">
      <c r="A1460" s="832"/>
      <c r="B1460" s="832"/>
      <c r="C1460" s="832"/>
      <c r="D1460" s="832"/>
      <c r="E1460" s="832"/>
      <c r="F1460" s="832"/>
      <c r="G1460" s="832"/>
      <c r="H1460" s="832"/>
      <c r="I1460" s="832"/>
      <c r="J1460" s="832"/>
      <c r="K1460" s="832"/>
      <c r="L1460" s="832"/>
      <c r="M1460" s="832"/>
    </row>
    <row r="1461" spans="1:13" x14ac:dyDescent="0.2">
      <c r="A1461" s="832"/>
      <c r="B1461" s="990" t="s">
        <v>1731</v>
      </c>
      <c r="C1461" s="832"/>
      <c r="D1461" s="997">
        <v>2</v>
      </c>
      <c r="E1461" s="997">
        <f>E34</f>
        <v>750</v>
      </c>
      <c r="F1461" s="994">
        <f>$E$47</f>
        <v>2.1</v>
      </c>
      <c r="G1461" s="994">
        <f>$D$67</f>
        <v>3</v>
      </c>
      <c r="H1461" s="994">
        <f t="shared" ref="H1461:H1467" si="5">D1461*E1461*F1461*G1461/1000</f>
        <v>9.4499999999999993</v>
      </c>
      <c r="I1461" s="1082">
        <f t="shared" ref="I1461:I1467" si="6">ROUND($E$1456*H1461,-2)</f>
        <v>89800</v>
      </c>
      <c r="J1461" s="832"/>
      <c r="K1461" s="832"/>
      <c r="L1461" s="832"/>
      <c r="M1461" s="832"/>
    </row>
    <row r="1462" spans="1:13" x14ac:dyDescent="0.2">
      <c r="A1462" s="832"/>
      <c r="B1462" s="990" t="s">
        <v>1716</v>
      </c>
      <c r="C1462" s="832"/>
      <c r="D1462" s="997">
        <v>4</v>
      </c>
      <c r="E1462" s="997">
        <f>(E35+E37)/2</f>
        <v>725</v>
      </c>
      <c r="F1462" s="994">
        <f>$E$47</f>
        <v>2.1</v>
      </c>
      <c r="G1462" s="994">
        <f>$E$25-$E$27</f>
        <v>6.55</v>
      </c>
      <c r="H1462" s="994">
        <f t="shared" si="5"/>
        <v>39.889499999999998</v>
      </c>
      <c r="I1462" s="1082">
        <f t="shared" si="6"/>
        <v>379000</v>
      </c>
      <c r="J1462" s="832"/>
      <c r="K1462" s="832"/>
      <c r="L1462" s="832"/>
      <c r="M1462" s="832"/>
    </row>
    <row r="1463" spans="1:13" x14ac:dyDescent="0.2">
      <c r="A1463" s="832"/>
      <c r="B1463" s="990" t="s">
        <v>1717</v>
      </c>
      <c r="C1463" s="832"/>
      <c r="D1463" s="997">
        <f>($E$42-1)*2</f>
        <v>0</v>
      </c>
      <c r="E1463" s="997">
        <f>E39</f>
        <v>0</v>
      </c>
      <c r="F1463" s="994">
        <f>$E$47</f>
        <v>2.1</v>
      </c>
      <c r="G1463" s="994">
        <f>$E$25-$E$27</f>
        <v>6.55</v>
      </c>
      <c r="H1463" s="994">
        <f t="shared" si="5"/>
        <v>0</v>
      </c>
      <c r="I1463" s="1082">
        <f t="shared" si="6"/>
        <v>0</v>
      </c>
      <c r="J1463" s="832"/>
      <c r="K1463" s="832"/>
      <c r="L1463" s="832"/>
      <c r="M1463" s="832"/>
    </row>
    <row r="1464" spans="1:13" x14ac:dyDescent="0.2">
      <c r="A1464" s="832"/>
      <c r="B1464" s="990" t="s">
        <v>1472</v>
      </c>
      <c r="C1464" s="832"/>
      <c r="D1464" s="997">
        <v>2</v>
      </c>
      <c r="E1464" s="997">
        <f>(E31+E32)/2</f>
        <v>350</v>
      </c>
      <c r="F1464" s="994">
        <f>($D$65+$D$66)/2</f>
        <v>2.9</v>
      </c>
      <c r="G1464" s="994">
        <f>$E$25-$E$26</f>
        <v>0.25</v>
      </c>
      <c r="H1464" s="994">
        <f t="shared" si="5"/>
        <v>0.50749999999999995</v>
      </c>
      <c r="I1464" s="1082">
        <f t="shared" si="6"/>
        <v>4800</v>
      </c>
      <c r="J1464" s="832"/>
      <c r="K1464" s="832"/>
      <c r="L1464" s="832"/>
      <c r="M1464" s="832"/>
    </row>
    <row r="1465" spans="1:13" x14ac:dyDescent="0.2">
      <c r="A1465" s="832"/>
      <c r="B1465" s="990" t="s">
        <v>1732</v>
      </c>
      <c r="C1465" s="832"/>
      <c r="D1465" s="997">
        <v>1</v>
      </c>
      <c r="E1465" s="997">
        <f>E40</f>
        <v>350</v>
      </c>
      <c r="F1465" s="994">
        <f>$E$47</f>
        <v>2.1</v>
      </c>
      <c r="G1465" s="994">
        <f>E42*E44</f>
        <v>1.5</v>
      </c>
      <c r="H1465" s="994">
        <f t="shared" si="5"/>
        <v>1.1025</v>
      </c>
      <c r="I1465" s="1082">
        <f t="shared" si="6"/>
        <v>10500</v>
      </c>
      <c r="J1465" s="832"/>
      <c r="K1465" s="832"/>
      <c r="L1465" s="832"/>
      <c r="M1465" s="832"/>
    </row>
    <row r="1466" spans="1:13" x14ac:dyDescent="0.2">
      <c r="A1466" s="832"/>
      <c r="B1466" s="990" t="s">
        <v>1692</v>
      </c>
      <c r="C1466" s="832"/>
      <c r="D1466" s="997">
        <v>4</v>
      </c>
      <c r="E1466" s="997">
        <f>D1307</f>
        <v>175</v>
      </c>
      <c r="F1466" s="994">
        <f>$D$65</f>
        <v>2.9</v>
      </c>
      <c r="G1466" s="994">
        <f>F1307/1000</f>
        <v>0.2</v>
      </c>
      <c r="H1466" s="994">
        <f t="shared" si="5"/>
        <v>0.40600000000000003</v>
      </c>
      <c r="I1466" s="1082">
        <f t="shared" si="6"/>
        <v>3900</v>
      </c>
      <c r="J1466" s="832"/>
      <c r="K1466" s="832"/>
      <c r="L1466" s="832"/>
      <c r="M1466" s="832"/>
    </row>
    <row r="1467" spans="1:13" x14ac:dyDescent="0.2">
      <c r="A1467" s="832"/>
      <c r="B1467" s="1005" t="s">
        <v>1696</v>
      </c>
      <c r="C1467" s="1006"/>
      <c r="D1467" s="1007">
        <f>IF(TRUNC($D$65/$E$48)=$D$65/$E$48,($D$65/$E$48+1)*2,(TRUNC($D$65/$E$48)+2)*2)</f>
        <v>10</v>
      </c>
      <c r="E1467" s="1007">
        <f>D1308</f>
        <v>200</v>
      </c>
      <c r="F1467" s="1008">
        <f>$E$1310/1000</f>
        <v>0.95</v>
      </c>
      <c r="G1467" s="1008">
        <f>F1308/1000</f>
        <v>0.2</v>
      </c>
      <c r="H1467" s="1008">
        <f t="shared" si="5"/>
        <v>0.38</v>
      </c>
      <c r="I1467" s="1083">
        <f t="shared" si="6"/>
        <v>3600</v>
      </c>
      <c r="J1467" s="832"/>
      <c r="K1467" s="832"/>
      <c r="L1467" s="832"/>
      <c r="M1467" s="832"/>
    </row>
    <row r="1468" spans="1:13" x14ac:dyDescent="0.2">
      <c r="A1468" s="832"/>
      <c r="B1468" s="990" t="s">
        <v>475</v>
      </c>
      <c r="C1468" s="832"/>
      <c r="D1468" s="832"/>
      <c r="E1468" s="832"/>
      <c r="F1468" s="832"/>
      <c r="G1468" s="832"/>
      <c r="H1468" s="994">
        <f>SUM(H1461:H1467)</f>
        <v>51.735500000000002</v>
      </c>
      <c r="I1468" s="1082">
        <f>ROUND($E$1456*H1468,-2)</f>
        <v>491500</v>
      </c>
      <c r="J1468" s="832"/>
      <c r="K1468" s="832"/>
      <c r="L1468" s="832"/>
      <c r="M1468" s="832"/>
    </row>
    <row r="1469" spans="1:13" x14ac:dyDescent="0.2">
      <c r="A1469" s="832"/>
      <c r="B1469" s="832"/>
      <c r="C1469" s="832"/>
      <c r="D1469" s="832"/>
      <c r="E1469" s="832"/>
      <c r="F1469" s="832"/>
      <c r="G1469" s="832"/>
      <c r="H1469" s="832"/>
      <c r="I1469" s="832"/>
      <c r="J1469" s="832"/>
      <c r="K1469" s="832"/>
      <c r="L1469" s="832"/>
      <c r="M1469" s="832"/>
    </row>
    <row r="1470" spans="1:13" x14ac:dyDescent="0.2">
      <c r="A1470" s="990" t="s">
        <v>950</v>
      </c>
      <c r="B1470" s="832"/>
      <c r="C1470" s="832"/>
      <c r="D1470" s="832"/>
      <c r="E1470" s="832"/>
      <c r="F1470" s="832"/>
      <c r="G1470" s="832"/>
      <c r="H1470" s="832"/>
      <c r="I1470" s="832"/>
      <c r="J1470" s="832"/>
      <c r="K1470" s="832"/>
      <c r="L1470" s="832"/>
      <c r="M1470" s="832"/>
    </row>
    <row r="1471" spans="1:13" x14ac:dyDescent="0.2">
      <c r="A1471" s="990" t="s">
        <v>1250</v>
      </c>
      <c r="B1471" s="832"/>
      <c r="C1471" s="832"/>
      <c r="D1471" s="832"/>
      <c r="E1471" s="832"/>
      <c r="F1471" s="832"/>
      <c r="G1471" s="832"/>
      <c r="H1471" s="832"/>
      <c r="I1471" s="832"/>
      <c r="J1471" s="832"/>
      <c r="K1471" s="832"/>
      <c r="L1471" s="832"/>
      <c r="M1471" s="832"/>
    </row>
    <row r="1472" spans="1:13" x14ac:dyDescent="0.2">
      <c r="A1472" s="832"/>
      <c r="B1472" s="832"/>
      <c r="C1472" s="832"/>
      <c r="D1472" s="832"/>
      <c r="E1472" s="832"/>
      <c r="F1472" s="832"/>
      <c r="G1472" s="832"/>
      <c r="H1472" s="832"/>
      <c r="I1472" s="832"/>
      <c r="J1472" s="832"/>
      <c r="K1472" s="832"/>
      <c r="L1472" s="832"/>
      <c r="M1472" s="832"/>
    </row>
    <row r="1473" spans="1:13" x14ac:dyDescent="0.2">
      <c r="A1473" s="832"/>
      <c r="B1473" s="990" t="s">
        <v>1733</v>
      </c>
      <c r="C1473" s="832"/>
      <c r="D1473" s="832"/>
      <c r="E1473" s="994">
        <f>E13</f>
        <v>70</v>
      </c>
      <c r="F1473" s="990" t="s">
        <v>1414</v>
      </c>
      <c r="G1473" s="832"/>
      <c r="H1473" s="832"/>
      <c r="I1473" s="832"/>
      <c r="J1473" s="832"/>
      <c r="K1473" s="832"/>
      <c r="L1473" s="832"/>
      <c r="M1473" s="832"/>
    </row>
    <row r="1474" spans="1:13" x14ac:dyDescent="0.2">
      <c r="A1474" s="832"/>
      <c r="B1474" s="832"/>
      <c r="C1474" s="832"/>
      <c r="D1474" s="832"/>
      <c r="E1474" s="832"/>
      <c r="F1474" s="832"/>
      <c r="G1474" s="832"/>
      <c r="H1474" s="832"/>
      <c r="I1474" s="832"/>
      <c r="J1474" s="832"/>
      <c r="K1474" s="832"/>
      <c r="L1474" s="832"/>
      <c r="M1474" s="832"/>
    </row>
    <row r="1475" spans="1:13" x14ac:dyDescent="0.2">
      <c r="A1475" s="832"/>
      <c r="B1475" s="990" t="s">
        <v>196</v>
      </c>
      <c r="C1475" s="832"/>
      <c r="D1475" s="990" t="s">
        <v>1239</v>
      </c>
      <c r="E1475" s="990" t="s">
        <v>1241</v>
      </c>
      <c r="F1475" s="990" t="s">
        <v>1242</v>
      </c>
      <c r="G1475" s="990" t="s">
        <v>1251</v>
      </c>
      <c r="H1475" s="832"/>
      <c r="I1475" s="990" t="s">
        <v>1252</v>
      </c>
      <c r="J1475" s="832"/>
      <c r="K1475" s="990" t="s">
        <v>1253</v>
      </c>
      <c r="L1475" s="990" t="s">
        <v>1729</v>
      </c>
      <c r="M1475" s="832"/>
    </row>
    <row r="1476" spans="1:13" x14ac:dyDescent="0.2">
      <c r="A1476" s="832"/>
      <c r="B1476" s="832"/>
      <c r="C1476" s="832"/>
      <c r="D1476" s="832"/>
      <c r="E1476" s="990" t="s">
        <v>1245</v>
      </c>
      <c r="F1476" s="990" t="s">
        <v>1245</v>
      </c>
      <c r="G1476" s="990" t="s">
        <v>1254</v>
      </c>
      <c r="H1476" s="832"/>
      <c r="I1476" s="832"/>
      <c r="J1476" s="832"/>
      <c r="K1476" s="990" t="s">
        <v>1255</v>
      </c>
      <c r="L1476" s="990" t="s">
        <v>1734</v>
      </c>
      <c r="M1476" s="832"/>
    </row>
    <row r="1477" spans="1:13" x14ac:dyDescent="0.2">
      <c r="A1477" s="832"/>
      <c r="B1477" s="832"/>
      <c r="C1477" s="832"/>
      <c r="D1477" s="832"/>
      <c r="E1477" s="832"/>
      <c r="F1477" s="832"/>
      <c r="G1477" s="990" t="s">
        <v>1256</v>
      </c>
      <c r="H1477" s="832"/>
      <c r="I1477" s="832"/>
      <c r="J1477" s="832"/>
      <c r="K1477" s="832"/>
      <c r="L1477" s="832"/>
      <c r="M1477" s="832"/>
    </row>
    <row r="1478" spans="1:13" x14ac:dyDescent="0.2">
      <c r="A1478" s="832"/>
      <c r="B1478" s="990" t="s">
        <v>1735</v>
      </c>
      <c r="C1478" s="832"/>
      <c r="D1478" s="832"/>
      <c r="E1478" s="832"/>
      <c r="F1478" s="832"/>
      <c r="G1478" s="832"/>
      <c r="H1478" s="832"/>
      <c r="I1478" s="832"/>
      <c r="J1478" s="832"/>
      <c r="K1478" s="832"/>
      <c r="L1478" s="832"/>
      <c r="M1478" s="832"/>
    </row>
    <row r="1479" spans="1:13" x14ac:dyDescent="0.2">
      <c r="A1479" s="832"/>
      <c r="B1479" s="990" t="s">
        <v>1731</v>
      </c>
      <c r="C1479" s="832"/>
      <c r="D1479" s="997">
        <v>2</v>
      </c>
      <c r="E1479" s="994">
        <f>$E$47</f>
        <v>2.1</v>
      </c>
      <c r="F1479" s="994">
        <f>$D$67</f>
        <v>3</v>
      </c>
      <c r="G1479" s="997">
        <f>H278</f>
        <v>1005.312</v>
      </c>
      <c r="H1479" s="997">
        <f>H294</f>
        <v>1005.312</v>
      </c>
      <c r="I1479" s="997">
        <f>H251</f>
        <v>1005.312</v>
      </c>
      <c r="J1479" s="997">
        <f>H254</f>
        <v>646.27199999999993</v>
      </c>
      <c r="K1479" s="997">
        <f>D1479*E1479*F1479*(G1479+H1479+I1479+J1479)*$E$9/9810</f>
        <v>362.18901137614688</v>
      </c>
      <c r="L1479" s="1082">
        <f>ROUND($E$1473*K1479,-2)</f>
        <v>25400</v>
      </c>
      <c r="M1479" s="997"/>
    </row>
    <row r="1480" spans="1:13" x14ac:dyDescent="0.2">
      <c r="A1480" s="832"/>
      <c r="B1480" s="990" t="s">
        <v>1716</v>
      </c>
      <c r="C1480" s="832"/>
      <c r="D1480" s="997">
        <v>4</v>
      </c>
      <c r="E1480" s="994">
        <f>$E$47+($E$31+$E$32)/2000</f>
        <v>2.4500000000000002</v>
      </c>
      <c r="F1480" s="994">
        <f>$E$25-$E$27+$E$34/1000</f>
        <v>7.3</v>
      </c>
      <c r="G1480" s="997">
        <f>H464</f>
        <v>1005.312</v>
      </c>
      <c r="H1480" s="997">
        <f>H485</f>
        <v>2513.2800000000002</v>
      </c>
      <c r="I1480" s="997">
        <f>H428</f>
        <v>1005.312</v>
      </c>
      <c r="J1480" s="997">
        <f>H445</f>
        <v>1148.9279999999999</v>
      </c>
      <c r="K1480" s="997">
        <f>D1480*E1480*F1480*(G1480+H1480+I1480+J1480)*$E$9/9810</f>
        <v>3185.4484096391438</v>
      </c>
      <c r="L1480" s="1082">
        <f>ROUND($E$1473*K1480,-2)</f>
        <v>223000</v>
      </c>
      <c r="M1480" s="997"/>
    </row>
    <row r="1481" spans="1:13" x14ac:dyDescent="0.2">
      <c r="A1481" s="832"/>
      <c r="B1481" s="990" t="s">
        <v>1717</v>
      </c>
      <c r="C1481" s="832"/>
      <c r="D1481" s="997">
        <f>($E$42-1)*2</f>
        <v>0</v>
      </c>
      <c r="E1481" s="994">
        <f>$E$47+($E$31+$E$32)/2000</f>
        <v>2.4500000000000002</v>
      </c>
      <c r="F1481" s="994">
        <f>$E$25-$E$27+$E$34/1000</f>
        <v>7.3</v>
      </c>
      <c r="G1481" s="997">
        <f>H685</f>
        <v>565.48799999999994</v>
      </c>
      <c r="H1481" s="1064" t="s">
        <v>1736</v>
      </c>
      <c r="I1481" s="997">
        <f>H666</f>
        <v>376.99199999999996</v>
      </c>
      <c r="J1481" s="1064" t="s">
        <v>1736</v>
      </c>
      <c r="K1481" s="997">
        <f>2*D1481*E1481*F1481*(G1481+I1481)*$E$9/9810</f>
        <v>0</v>
      </c>
      <c r="L1481" s="1082">
        <f>ROUND($E$1473*K1481,-2)</f>
        <v>0</v>
      </c>
      <c r="M1481" s="997"/>
    </row>
    <row r="1482" spans="1:13" x14ac:dyDescent="0.2">
      <c r="A1482" s="832"/>
      <c r="B1482" s="990" t="s">
        <v>1472</v>
      </c>
      <c r="C1482" s="832"/>
      <c r="D1482" s="997">
        <v>2</v>
      </c>
      <c r="E1482" s="994">
        <f>($D$65+$D$66)/2</f>
        <v>2.9</v>
      </c>
      <c r="F1482" s="994">
        <f>$E$25-$E$26+$E$33/1000</f>
        <v>0.8</v>
      </c>
      <c r="G1482" s="997">
        <f>H935</f>
        <v>804.24959999999999</v>
      </c>
      <c r="H1482" s="997">
        <f>H967</f>
        <v>753.98399999999992</v>
      </c>
      <c r="I1482" s="997">
        <f>H898</f>
        <v>804.24959999999999</v>
      </c>
      <c r="J1482" s="997">
        <f>H901</f>
        <v>804.24959999999999</v>
      </c>
      <c r="K1482" s="997">
        <f>D1482*E1482*F1482*(G1482+H1482+I1482+J1482)*$E$9/9810</f>
        <v>115.33234401467891</v>
      </c>
      <c r="L1482" s="1082">
        <f>ROUND($E$1473*K1482,-2)</f>
        <v>8100</v>
      </c>
      <c r="M1482" s="832"/>
    </row>
    <row r="1483" spans="1:13" x14ac:dyDescent="0.2">
      <c r="A1483" s="832"/>
      <c r="B1483" s="990" t="s">
        <v>1737</v>
      </c>
      <c r="C1483" s="832"/>
      <c r="D1483" s="997">
        <v>1</v>
      </c>
      <c r="E1483" s="994">
        <f>$E$47+$E$31/1000-0.3</f>
        <v>2.1500000000000004</v>
      </c>
      <c r="F1483" s="994">
        <f>$D$65</f>
        <v>2.9</v>
      </c>
      <c r="G1483" s="997">
        <f>H1281</f>
        <v>1005.312</v>
      </c>
      <c r="H1483" s="997">
        <f>H1297</f>
        <v>753.98399999999992</v>
      </c>
      <c r="I1483" s="997">
        <f>H1256</f>
        <v>1005.312</v>
      </c>
      <c r="J1483" s="1064" t="s">
        <v>1736</v>
      </c>
      <c r="K1483" s="997">
        <f>D1483*E1483*F1483*(G1483+H1483+2*I1483)*$E$9/9810</f>
        <v>184.49742532110096</v>
      </c>
      <c r="L1483" s="1082">
        <f>ROUND($E$1473*K1483,-2)</f>
        <v>12900</v>
      </c>
      <c r="M1483" s="832"/>
    </row>
    <row r="1484" spans="1:13" x14ac:dyDescent="0.2">
      <c r="A1484" s="832"/>
      <c r="B1484" s="832"/>
      <c r="C1484" s="832"/>
      <c r="D1484" s="832"/>
      <c r="E1484" s="832"/>
      <c r="F1484" s="832"/>
      <c r="G1484" s="832"/>
      <c r="H1484" s="832"/>
      <c r="I1484" s="832"/>
      <c r="J1484" s="832"/>
      <c r="K1484" s="832"/>
      <c r="L1484" s="1082"/>
      <c r="M1484" s="832"/>
    </row>
    <row r="1485" spans="1:13" x14ac:dyDescent="0.2">
      <c r="A1485" s="832"/>
      <c r="B1485" s="990" t="s">
        <v>1738</v>
      </c>
      <c r="C1485" s="832"/>
      <c r="D1485" s="832"/>
      <c r="E1485" s="832"/>
      <c r="F1485" s="832"/>
      <c r="G1485" s="832"/>
      <c r="H1485" s="832"/>
      <c r="I1485" s="832"/>
      <c r="J1485" s="832"/>
      <c r="K1485" s="832"/>
      <c r="L1485" s="1082"/>
      <c r="M1485" s="832"/>
    </row>
    <row r="1486" spans="1:13" x14ac:dyDescent="0.2">
      <c r="A1486" s="832"/>
      <c r="B1486" s="990" t="s">
        <v>1716</v>
      </c>
      <c r="C1486" s="832"/>
      <c r="D1486" s="997">
        <v>4</v>
      </c>
      <c r="E1486" s="994">
        <f>$E$25-$E$27+$E$34/1000</f>
        <v>7.3</v>
      </c>
      <c r="F1486" s="1064" t="s">
        <v>1736</v>
      </c>
      <c r="G1486" s="997">
        <f>I571</f>
        <v>452.38934211693021</v>
      </c>
      <c r="H1486" s="1064" t="s">
        <v>1736</v>
      </c>
      <c r="I1486" s="1064" t="s">
        <v>1736</v>
      </c>
      <c r="J1486" s="1064" t="s">
        <v>1736</v>
      </c>
      <c r="K1486" s="997">
        <f>D1486*E1486*G1486*$E$9/9810</f>
        <v>103.68523922688134</v>
      </c>
      <c r="L1486" s="1082">
        <f t="shared" ref="L1486:L1491" si="7">ROUND($E$1473*K1486,-2)</f>
        <v>7300</v>
      </c>
      <c r="M1486" s="832"/>
    </row>
    <row r="1487" spans="1:13" x14ac:dyDescent="0.2">
      <c r="A1487" s="832"/>
      <c r="B1487" s="990" t="s">
        <v>1717</v>
      </c>
      <c r="C1487" s="832"/>
      <c r="D1487" s="997">
        <f>($E$42-1)*2</f>
        <v>0</v>
      </c>
      <c r="E1487" s="994">
        <f>$E$25-$E$27+$E$34/1000</f>
        <v>7.3</v>
      </c>
      <c r="F1487" s="1064" t="s">
        <v>1736</v>
      </c>
      <c r="G1487" s="1084">
        <f>I770</f>
        <v>3.1415926535897932E+16</v>
      </c>
      <c r="H1487" s="1064" t="s">
        <v>1736</v>
      </c>
      <c r="I1487" s="1064" t="s">
        <v>1736</v>
      </c>
      <c r="J1487" s="1064" t="s">
        <v>1736</v>
      </c>
      <c r="K1487" s="997">
        <f>D1487*E1487*G1487*$E$9/9810</f>
        <v>0</v>
      </c>
      <c r="L1487" s="1082">
        <f t="shared" si="7"/>
        <v>0</v>
      </c>
      <c r="M1487" s="832"/>
    </row>
    <row r="1488" spans="1:13" x14ac:dyDescent="0.2">
      <c r="A1488" s="832"/>
      <c r="B1488" s="990" t="s">
        <v>1739</v>
      </c>
      <c r="C1488" s="832"/>
      <c r="D1488" s="997">
        <v>1</v>
      </c>
      <c r="E1488" s="994">
        <f>$D$65</f>
        <v>2.9</v>
      </c>
      <c r="F1488" s="1064" t="s">
        <v>1736</v>
      </c>
      <c r="G1488" s="997">
        <f>E1176</f>
        <v>822.39914353972813</v>
      </c>
      <c r="H1488" s="1064" t="s">
        <v>1736</v>
      </c>
      <c r="I1488" s="1064" t="s">
        <v>1736</v>
      </c>
      <c r="J1488" s="1064" t="s">
        <v>1736</v>
      </c>
      <c r="K1488" s="997">
        <f>D1488*E1488*G1488*$E$9/9810</f>
        <v>18.719850025731017</v>
      </c>
      <c r="L1488" s="1082">
        <f t="shared" si="7"/>
        <v>1300</v>
      </c>
      <c r="M1488" s="832"/>
    </row>
    <row r="1489" spans="1:18" x14ac:dyDescent="0.2">
      <c r="A1489" s="832"/>
      <c r="B1489" s="990" t="s">
        <v>1692</v>
      </c>
      <c r="C1489" s="832"/>
      <c r="D1489" s="997">
        <v>4</v>
      </c>
      <c r="E1489" s="994">
        <f>$D$65</f>
        <v>2.9</v>
      </c>
      <c r="F1489" s="1064" t="s">
        <v>1736</v>
      </c>
      <c r="G1489" s="997">
        <f>J1341</f>
        <v>490.08845396000771</v>
      </c>
      <c r="H1489" s="1064" t="s">
        <v>1736</v>
      </c>
      <c r="I1489" s="1064" t="s">
        <v>1736</v>
      </c>
      <c r="J1489" s="1064" t="s">
        <v>1736</v>
      </c>
      <c r="K1489" s="997">
        <f>D1489*E1489*G1489*$E$9/9810</f>
        <v>44.622528754034541</v>
      </c>
      <c r="L1489" s="1082">
        <f t="shared" si="7"/>
        <v>3100</v>
      </c>
      <c r="M1489" s="832"/>
    </row>
    <row r="1490" spans="1:18" x14ac:dyDescent="0.2">
      <c r="A1490" s="832"/>
      <c r="B1490" s="1005" t="s">
        <v>1696</v>
      </c>
      <c r="C1490" s="1006"/>
      <c r="D1490" s="1007">
        <f>IF(TRUNC($D$65/$E$48)=$D$65/$E$48,($D$65/$E$48+1)*2,(TRUNC($D$65/$E$48)+2)*2)</f>
        <v>10</v>
      </c>
      <c r="E1490" s="1008">
        <f>$E$1310/1000+$E$40/1000</f>
        <v>1.2999999999999998</v>
      </c>
      <c r="F1490" s="1085" t="s">
        <v>1736</v>
      </c>
      <c r="G1490" s="1007">
        <f>J1346</f>
        <v>857.02647589929552</v>
      </c>
      <c r="H1490" s="1085" t="s">
        <v>1736</v>
      </c>
      <c r="I1490" s="1085" t="s">
        <v>1736</v>
      </c>
      <c r="J1490" s="1085" t="s">
        <v>1736</v>
      </c>
      <c r="K1490" s="1007">
        <f>D1490*E1490*G1490*$E$9/9810</f>
        <v>87.449898305320559</v>
      </c>
      <c r="L1490" s="1083">
        <f t="shared" si="7"/>
        <v>6100</v>
      </c>
      <c r="M1490" s="832"/>
    </row>
    <row r="1491" spans="1:18" x14ac:dyDescent="0.2">
      <c r="A1491" s="832"/>
      <c r="B1491" s="990" t="s">
        <v>475</v>
      </c>
      <c r="C1491" s="832"/>
      <c r="D1491" s="832"/>
      <c r="E1491" s="832"/>
      <c r="F1491" s="832"/>
      <c r="G1491" s="832"/>
      <c r="H1491" s="832"/>
      <c r="I1491" s="832"/>
      <c r="J1491" s="997"/>
      <c r="K1491" s="997">
        <f>SUM(K1479:K1490)</f>
        <v>4101.9447066630382</v>
      </c>
      <c r="L1491" s="1082">
        <f t="shared" si="7"/>
        <v>287100</v>
      </c>
      <c r="M1491" s="832"/>
    </row>
    <row r="1492" spans="1:18" x14ac:dyDescent="0.2">
      <c r="A1492" s="832"/>
      <c r="B1492" s="832"/>
      <c r="C1492" s="832"/>
      <c r="D1492" s="832"/>
      <c r="E1492" s="832"/>
      <c r="F1492" s="832"/>
      <c r="G1492" s="832"/>
      <c r="H1492" s="832"/>
      <c r="I1492" s="832"/>
      <c r="J1492" s="832"/>
      <c r="K1492" s="832"/>
      <c r="L1492" s="832"/>
      <c r="M1492" s="832"/>
    </row>
    <row r="1493" spans="1:18" x14ac:dyDescent="0.2">
      <c r="A1493" s="832"/>
      <c r="B1493" s="832"/>
      <c r="C1493" s="832"/>
      <c r="D1493" s="832"/>
      <c r="E1493" s="832"/>
      <c r="F1493" s="832"/>
      <c r="G1493" s="832"/>
      <c r="H1493" s="832"/>
      <c r="I1493" s="832"/>
      <c r="J1493" s="832"/>
      <c r="K1493" s="832"/>
      <c r="L1493" s="832"/>
      <c r="M1493" s="832"/>
    </row>
    <row r="1494" spans="1:18" x14ac:dyDescent="0.2">
      <c r="A1494" s="832"/>
      <c r="B1494" s="832"/>
      <c r="C1494" s="832"/>
      <c r="D1494" s="832"/>
      <c r="E1494" s="832"/>
      <c r="F1494" s="832"/>
      <c r="G1494" s="832"/>
      <c r="H1494" s="832"/>
      <c r="I1494" s="832"/>
      <c r="J1494" s="832"/>
      <c r="K1494" s="832"/>
      <c r="L1494" s="832"/>
      <c r="M1494" s="832"/>
    </row>
    <row r="1495" spans="1:18" x14ac:dyDescent="0.2">
      <c r="A1495" s="990" t="s">
        <v>950</v>
      </c>
      <c r="B1495" s="832"/>
      <c r="C1495" s="832"/>
      <c r="D1495" s="832"/>
      <c r="E1495" s="832"/>
      <c r="F1495" s="832"/>
      <c r="G1495" s="832"/>
      <c r="H1495" s="832"/>
      <c r="I1495" s="832"/>
      <c r="J1495" s="832"/>
      <c r="K1495" s="832"/>
      <c r="L1495" s="832"/>
      <c r="M1495" s="832"/>
    </row>
    <row r="1496" spans="1:18" x14ac:dyDescent="0.2">
      <c r="A1496" s="990" t="s">
        <v>1740</v>
      </c>
      <c r="B1496" s="832"/>
      <c r="C1496" s="832"/>
      <c r="D1496" s="832"/>
      <c r="E1496" s="832"/>
      <c r="F1496" s="832"/>
      <c r="G1496" s="832"/>
      <c r="H1496" s="832"/>
      <c r="I1496" s="832"/>
      <c r="J1496" s="832"/>
      <c r="K1496" s="832"/>
      <c r="L1496" s="832"/>
      <c r="M1496" s="832"/>
    </row>
    <row r="1497" spans="1:18" x14ac:dyDescent="0.2">
      <c r="A1497" s="832"/>
      <c r="B1497" s="832"/>
      <c r="C1497" s="832"/>
      <c r="D1497" s="832"/>
      <c r="E1497" s="832"/>
      <c r="F1497" s="832"/>
      <c r="G1497" s="832"/>
      <c r="H1497" s="832"/>
      <c r="I1497" s="832"/>
      <c r="J1497" s="832"/>
      <c r="K1497" s="832"/>
      <c r="L1497" s="832"/>
      <c r="M1497" s="832"/>
    </row>
    <row r="1498" spans="1:18" x14ac:dyDescent="0.2">
      <c r="A1498" s="832"/>
      <c r="B1498" s="990" t="s">
        <v>1741</v>
      </c>
      <c r="C1498" s="832"/>
      <c r="D1498" s="832"/>
      <c r="E1498" s="832"/>
      <c r="F1498" s="1082">
        <f>I1468+L1491</f>
        <v>778600</v>
      </c>
      <c r="G1498" s="832"/>
      <c r="H1498" s="832"/>
      <c r="I1498" s="832"/>
      <c r="J1498" s="832"/>
      <c r="K1498" s="832"/>
      <c r="L1498" s="832"/>
      <c r="M1498" s="832"/>
    </row>
    <row r="1499" spans="1:18" x14ac:dyDescent="0.2">
      <c r="A1499" s="832"/>
      <c r="B1499" s="832"/>
      <c r="C1499" s="832"/>
      <c r="D1499" s="832"/>
      <c r="E1499" s="832"/>
      <c r="F1499" s="832"/>
      <c r="G1499" s="832"/>
      <c r="H1499" s="832"/>
      <c r="I1499" s="832"/>
      <c r="J1499" s="832"/>
      <c r="K1499" s="832"/>
      <c r="L1499" s="832"/>
      <c r="M1499" s="832"/>
    </row>
    <row r="1500" spans="1:18" x14ac:dyDescent="0.2">
      <c r="A1500" s="832"/>
      <c r="B1500" s="832"/>
      <c r="C1500" s="832"/>
      <c r="D1500" s="832"/>
      <c r="E1500" s="832"/>
      <c r="F1500" s="832"/>
      <c r="G1500" s="832"/>
      <c r="H1500" s="832"/>
      <c r="I1500" s="832"/>
      <c r="J1500" s="832"/>
      <c r="K1500" s="832"/>
      <c r="L1500" s="832"/>
      <c r="M1500" s="832"/>
    </row>
    <row r="1501" spans="1:18" x14ac:dyDescent="0.2">
      <c r="A1501" s="832"/>
      <c r="B1501" s="990" t="s">
        <v>197</v>
      </c>
      <c r="C1501" s="832"/>
      <c r="D1501" s="832"/>
      <c r="E1501" s="832"/>
      <c r="F1501" s="832"/>
      <c r="G1501" s="832"/>
      <c r="H1501" s="832"/>
      <c r="I1501" s="832"/>
      <c r="J1501" s="832"/>
      <c r="K1501" s="832"/>
      <c r="L1501" s="832"/>
      <c r="M1501" s="832"/>
    </row>
    <row r="1502" spans="1:18" x14ac:dyDescent="0.2">
      <c r="A1502" s="832"/>
      <c r="B1502" s="832"/>
      <c r="C1502" s="832"/>
      <c r="D1502" s="832"/>
      <c r="E1502" s="832"/>
      <c r="F1502" s="832"/>
      <c r="G1502" s="832"/>
      <c r="H1502" s="832"/>
      <c r="I1502" s="832"/>
      <c r="J1502" s="832"/>
      <c r="K1502" s="832"/>
      <c r="L1502" s="832"/>
      <c r="M1502" s="832"/>
    </row>
    <row r="1503" spans="1:18" x14ac:dyDescent="0.2">
      <c r="A1503" s="832"/>
      <c r="B1503" s="867"/>
      <c r="C1503" s="1086"/>
      <c r="D1503" s="1086"/>
      <c r="E1503" s="1087" t="s">
        <v>1698</v>
      </c>
      <c r="F1503" s="1086"/>
      <c r="G1503" s="1087"/>
      <c r="H1503" s="1086"/>
      <c r="I1503" s="1086"/>
      <c r="J1503" s="868"/>
      <c r="K1503" s="990" t="s">
        <v>1699</v>
      </c>
      <c r="L1503" s="867"/>
      <c r="M1503" s="1087" t="s">
        <v>1700</v>
      </c>
      <c r="N1503" s="345"/>
      <c r="O1503" s="344"/>
      <c r="P1503" s="345"/>
      <c r="Q1503" s="345"/>
      <c r="R1503" s="346"/>
    </row>
    <row r="1504" spans="1:18" x14ac:dyDescent="0.2">
      <c r="A1504" s="832"/>
      <c r="B1504" s="1088" t="s">
        <v>186</v>
      </c>
      <c r="C1504" s="1089"/>
      <c r="D1504" s="1087" t="s">
        <v>1701</v>
      </c>
      <c r="E1504" s="1086"/>
      <c r="F1504" s="868"/>
      <c r="G1504" s="1089"/>
      <c r="H1504" s="1087" t="s">
        <v>1702</v>
      </c>
      <c r="I1504" s="1086"/>
      <c r="J1504" s="868"/>
      <c r="K1504" s="990" t="s">
        <v>1705</v>
      </c>
      <c r="L1504" s="867"/>
      <c r="M1504" s="1087" t="s">
        <v>1703</v>
      </c>
      <c r="N1504" s="346"/>
      <c r="O1504" s="347"/>
      <c r="P1504" s="344" t="s">
        <v>1704</v>
      </c>
      <c r="Q1504" s="345"/>
      <c r="R1504" s="346"/>
    </row>
    <row r="1505" spans="1:18" x14ac:dyDescent="0.2">
      <c r="A1505" s="832"/>
      <c r="B1505" s="1090"/>
      <c r="C1505" s="1001" t="s">
        <v>299</v>
      </c>
      <c r="D1505" s="1091" t="s">
        <v>2273</v>
      </c>
      <c r="E1505" s="1091" t="s">
        <v>1934</v>
      </c>
      <c r="F1505" s="863" t="s">
        <v>2272</v>
      </c>
      <c r="G1505" s="1001" t="s">
        <v>299</v>
      </c>
      <c r="H1505" s="1091" t="s">
        <v>2273</v>
      </c>
      <c r="I1505" s="1091" t="s">
        <v>1934</v>
      </c>
      <c r="J1505" s="863" t="s">
        <v>2272</v>
      </c>
      <c r="K1505" s="990" t="s">
        <v>1706</v>
      </c>
      <c r="L1505" s="832"/>
      <c r="M1505" s="809"/>
      <c r="N1505" s="352"/>
      <c r="O1505" s="353" t="s">
        <v>299</v>
      </c>
      <c r="P1505" s="416" t="s">
        <v>2273</v>
      </c>
      <c r="Q1505" s="393" t="s">
        <v>1934</v>
      </c>
      <c r="R1505" s="410" t="s">
        <v>2272</v>
      </c>
    </row>
    <row r="1506" spans="1:18" x14ac:dyDescent="0.2">
      <c r="A1506" s="832"/>
      <c r="B1506" s="1092"/>
      <c r="C1506" s="1093" t="s">
        <v>651</v>
      </c>
      <c r="D1506" s="1094" t="s">
        <v>215</v>
      </c>
      <c r="E1506" s="1094" t="s">
        <v>215</v>
      </c>
      <c r="F1506" s="1095" t="s">
        <v>651</v>
      </c>
      <c r="G1506" s="1093" t="s">
        <v>651</v>
      </c>
      <c r="H1506" s="1094" t="s">
        <v>215</v>
      </c>
      <c r="I1506" s="1094" t="s">
        <v>215</v>
      </c>
      <c r="J1506" s="1095" t="s">
        <v>651</v>
      </c>
      <c r="K1506" s="995" t="s">
        <v>10</v>
      </c>
      <c r="L1506" s="1096"/>
      <c r="M1506" s="1097"/>
      <c r="N1506" s="354"/>
      <c r="O1506" s="417" t="s">
        <v>651</v>
      </c>
      <c r="P1506" s="405" t="s">
        <v>215</v>
      </c>
      <c r="Q1506" s="405" t="s">
        <v>215</v>
      </c>
      <c r="R1506" s="418" t="s">
        <v>651</v>
      </c>
    </row>
    <row r="1507" spans="1:18" x14ac:dyDescent="0.2">
      <c r="A1507" s="832"/>
      <c r="B1507" s="1001" t="s">
        <v>1707</v>
      </c>
      <c r="C1507" s="1098">
        <f>$J$250</f>
        <v>0</v>
      </c>
      <c r="D1507" s="1099">
        <v>0</v>
      </c>
      <c r="E1507" s="1099">
        <v>0</v>
      </c>
      <c r="F1507" s="1098">
        <f t="shared" ref="F1507:F1512" si="8">IF(E1507=0,0,785.4*D1507^2/E1507)</f>
        <v>0</v>
      </c>
      <c r="G1507" s="1098">
        <f>$J$255</f>
        <v>0</v>
      </c>
      <c r="H1507" s="1099">
        <v>0</v>
      </c>
      <c r="I1507" s="1099">
        <v>0</v>
      </c>
      <c r="J1507" s="1100">
        <f>IF(I1507=0,0,785.4*H1507^2/I1507)</f>
        <v>0</v>
      </c>
      <c r="K1507" s="997">
        <f>$H$277</f>
        <v>950.00000000000011</v>
      </c>
      <c r="L1507" s="1101">
        <v>0</v>
      </c>
      <c r="M1507" s="1099">
        <v>0</v>
      </c>
      <c r="N1507" s="301">
        <f>IF(M1507=0,0,785.4*L1507^2/M1507)</f>
        <v>0</v>
      </c>
      <c r="O1507" s="301">
        <f>$H$293</f>
        <v>570.00000000000011</v>
      </c>
      <c r="P1507" s="413">
        <v>0</v>
      </c>
      <c r="Q1507" s="413">
        <v>0</v>
      </c>
      <c r="R1507" s="303">
        <f>IF(Q1507=0,0,785.4*P1507^2/Q1507)</f>
        <v>0</v>
      </c>
    </row>
    <row r="1508" spans="1:18" x14ac:dyDescent="0.2">
      <c r="A1508" s="832"/>
      <c r="B1508" s="1102" t="s">
        <v>1708</v>
      </c>
      <c r="C1508" s="920">
        <f>H556</f>
        <v>2.2919318105371445</v>
      </c>
      <c r="D1508" s="915">
        <v>0</v>
      </c>
      <c r="E1508" s="915">
        <v>0</v>
      </c>
      <c r="F1508" s="920">
        <f t="shared" si="8"/>
        <v>0</v>
      </c>
      <c r="G1508" s="920">
        <f>$H$444</f>
        <v>1040.7718636630925</v>
      </c>
      <c r="H1508" s="915">
        <v>0</v>
      </c>
      <c r="I1508" s="915">
        <v>0</v>
      </c>
      <c r="J1508" s="1103">
        <f>IF(I1508=0,0,785.4*H1508^2/I1508)</f>
        <v>0</v>
      </c>
      <c r="K1508" s="997">
        <f>$H$463</f>
        <v>760</v>
      </c>
      <c r="L1508" s="1104">
        <v>0</v>
      </c>
      <c r="M1508" s="915">
        <v>0</v>
      </c>
      <c r="N1508" s="305">
        <f>IF(M1508=0,0,785.4*L1508^2/M1508)</f>
        <v>0</v>
      </c>
      <c r="O1508" s="305">
        <f>$H$484</f>
        <v>1575.3532866490589</v>
      </c>
      <c r="P1508" s="414">
        <v>0</v>
      </c>
      <c r="Q1508" s="414">
        <v>0</v>
      </c>
      <c r="R1508" s="307">
        <f>IF(Q1508=0,0,785.4*P1508^2/Q1508)</f>
        <v>0</v>
      </c>
    </row>
    <row r="1509" spans="1:18" x14ac:dyDescent="0.2">
      <c r="A1509" s="832"/>
      <c r="B1509" s="1102" t="s">
        <v>1709</v>
      </c>
      <c r="C1509" s="920">
        <f>$H$665</f>
        <v>0</v>
      </c>
      <c r="D1509" s="915">
        <v>0</v>
      </c>
      <c r="E1509" s="915">
        <v>0</v>
      </c>
      <c r="F1509" s="920">
        <f t="shared" si="8"/>
        <v>0</v>
      </c>
      <c r="G1509" s="983" t="s">
        <v>1510</v>
      </c>
      <c r="H1509" s="983" t="s">
        <v>1742</v>
      </c>
      <c r="I1509" s="983" t="s">
        <v>1742</v>
      </c>
      <c r="J1509" s="1105" t="s">
        <v>1742</v>
      </c>
      <c r="K1509" s="997">
        <f>$H$684</f>
        <v>0</v>
      </c>
      <c r="L1509" s="1104">
        <v>0</v>
      </c>
      <c r="M1509" s="915">
        <v>0</v>
      </c>
      <c r="N1509" s="305">
        <f>IF(M1509=0,0,785.4*L1509^2/M1509)</f>
        <v>0</v>
      </c>
      <c r="O1509" s="348" t="s">
        <v>1510</v>
      </c>
      <c r="P1509" s="348" t="s">
        <v>1742</v>
      </c>
      <c r="Q1509" s="348" t="s">
        <v>1742</v>
      </c>
      <c r="R1509" s="349" t="s">
        <v>1742</v>
      </c>
    </row>
    <row r="1510" spans="1:18" x14ac:dyDescent="0.2">
      <c r="A1510" s="832"/>
      <c r="B1510" s="1102" t="s">
        <v>1472</v>
      </c>
      <c r="C1510" s="920">
        <f>$I$897</f>
        <v>700.00000000000011</v>
      </c>
      <c r="D1510" s="915">
        <v>0</v>
      </c>
      <c r="E1510" s="915">
        <v>0</v>
      </c>
      <c r="F1510" s="920">
        <f t="shared" si="8"/>
        <v>0</v>
      </c>
      <c r="G1510" s="920">
        <f>$I$900</f>
        <v>350.00000000000006</v>
      </c>
      <c r="H1510" s="915">
        <v>0</v>
      </c>
      <c r="I1510" s="915">
        <v>0</v>
      </c>
      <c r="J1510" s="1103">
        <f>IF(I1510=0,0,785.4*H1510^2/I1510)</f>
        <v>0</v>
      </c>
      <c r="K1510" s="997">
        <f>$H$934</f>
        <v>700.00000000000011</v>
      </c>
      <c r="L1510" s="1104">
        <v>0</v>
      </c>
      <c r="M1510" s="915">
        <v>0</v>
      </c>
      <c r="N1510" s="305">
        <f>IF(M1510=0,0,785.4*L1510^2/M1510)</f>
        <v>0</v>
      </c>
      <c r="O1510" s="305">
        <f>$H$966</f>
        <v>350.00000000000006</v>
      </c>
      <c r="P1510" s="414">
        <v>0</v>
      </c>
      <c r="Q1510" s="414">
        <v>0</v>
      </c>
      <c r="R1510" s="307">
        <f>IF(Q1510=0,0,785.4*P1510^2/Q1510)</f>
        <v>0</v>
      </c>
    </row>
    <row r="1511" spans="1:18" x14ac:dyDescent="0.2">
      <c r="A1511" s="832"/>
      <c r="B1511" s="1102" t="s">
        <v>1710</v>
      </c>
      <c r="C1511" s="920" t="str">
        <f>$I$1096</f>
        <v>mm²   &lt;-----</v>
      </c>
      <c r="D1511" s="915">
        <v>0</v>
      </c>
      <c r="E1511" s="915">
        <v>0</v>
      </c>
      <c r="F1511" s="920">
        <f t="shared" si="8"/>
        <v>0</v>
      </c>
      <c r="G1511" s="983" t="s">
        <v>1510</v>
      </c>
      <c r="H1511" s="983" t="s">
        <v>1742</v>
      </c>
      <c r="I1511" s="983" t="s">
        <v>1742</v>
      </c>
      <c r="J1511" s="1105" t="s">
        <v>1742</v>
      </c>
      <c r="K1511" s="1064" t="s">
        <v>1711</v>
      </c>
      <c r="L1511" s="1106"/>
      <c r="M1511" s="920"/>
      <c r="N1511" s="305"/>
      <c r="O1511" s="305"/>
      <c r="P1511" s="305"/>
      <c r="Q1511" s="305"/>
      <c r="R1511" s="307"/>
    </row>
    <row r="1512" spans="1:18" x14ac:dyDescent="0.2">
      <c r="A1512" s="832"/>
      <c r="B1512" s="1107" t="s">
        <v>1712</v>
      </c>
      <c r="C1512" s="1007">
        <f>$I$1255</f>
        <v>700.00000000000011</v>
      </c>
      <c r="D1512" s="1108">
        <v>0</v>
      </c>
      <c r="E1512" s="1108">
        <v>0</v>
      </c>
      <c r="F1512" s="1007">
        <f t="shared" si="8"/>
        <v>0</v>
      </c>
      <c r="G1512" s="1005" t="s">
        <v>1510</v>
      </c>
      <c r="H1512" s="1005" t="s">
        <v>1742</v>
      </c>
      <c r="I1512" s="1005" t="s">
        <v>1742</v>
      </c>
      <c r="J1512" s="1109" t="s">
        <v>1742</v>
      </c>
      <c r="K1512" s="997">
        <f>$H$1280</f>
        <v>700.00000000000011</v>
      </c>
      <c r="L1512" s="1110">
        <v>0</v>
      </c>
      <c r="M1512" s="1108">
        <v>0</v>
      </c>
      <c r="N1512" s="309">
        <f>IF(M1512=0,0,785.4*L1512^2/M1512)</f>
        <v>0</v>
      </c>
      <c r="O1512" s="309">
        <f>$H$1295</f>
        <v>700.00000000000011</v>
      </c>
      <c r="P1512" s="415">
        <v>0</v>
      </c>
      <c r="Q1512" s="415">
        <v>0</v>
      </c>
      <c r="R1512" s="311">
        <f>IF(Q1512=0,0,785.4*P1512^2/Q1512)</f>
        <v>0</v>
      </c>
    </row>
    <row r="1513" spans="1:18" x14ac:dyDescent="0.2">
      <c r="A1513" s="832"/>
      <c r="B1513" s="995"/>
      <c r="C1513" s="995"/>
      <c r="D1513" s="995"/>
      <c r="E1513" s="995"/>
      <c r="F1513" s="995"/>
      <c r="G1513" s="995"/>
      <c r="H1513" s="995"/>
      <c r="I1513" s="995"/>
      <c r="J1513" s="995"/>
      <c r="K1513" s="995" t="s">
        <v>10</v>
      </c>
      <c r="L1513" s="995"/>
      <c r="M1513" s="995"/>
      <c r="N1513" s="284"/>
      <c r="O1513" s="284"/>
      <c r="P1513" s="284"/>
      <c r="Q1513" s="284"/>
      <c r="R1513" s="284"/>
    </row>
    <row r="1514" spans="1:18" x14ac:dyDescent="0.2">
      <c r="A1514" s="832"/>
      <c r="B1514" s="832"/>
      <c r="C1514" s="832"/>
      <c r="D1514" s="832"/>
      <c r="E1514" s="832"/>
      <c r="F1514" s="832"/>
      <c r="G1514" s="832"/>
      <c r="H1514" s="832"/>
      <c r="I1514" s="832"/>
      <c r="J1514" s="832"/>
      <c r="K1514" s="832"/>
      <c r="L1514" s="832"/>
      <c r="M1514" s="832"/>
    </row>
    <row r="1515" spans="1:18" x14ac:dyDescent="0.2">
      <c r="A1515" s="832"/>
      <c r="B1515" s="832"/>
      <c r="C1515" s="832"/>
      <c r="D1515" s="832"/>
      <c r="E1515" s="832"/>
      <c r="F1515" s="832"/>
      <c r="G1515" s="832"/>
      <c r="H1515" s="832"/>
      <c r="I1515" s="832"/>
      <c r="J1515" s="832"/>
      <c r="K1515" s="832"/>
      <c r="L1515" s="832"/>
      <c r="M1515" s="832"/>
    </row>
    <row r="1516" spans="1:18" x14ac:dyDescent="0.2">
      <c r="A1516" s="832"/>
      <c r="B1516" s="990" t="s">
        <v>1743</v>
      </c>
      <c r="C1516" s="832"/>
      <c r="D1516" s="832"/>
      <c r="E1516" s="832"/>
      <c r="F1516" s="832"/>
      <c r="G1516" s="832"/>
      <c r="H1516" s="832"/>
      <c r="I1516" s="832"/>
      <c r="J1516" s="832"/>
      <c r="K1516" s="832"/>
      <c r="L1516" s="832"/>
      <c r="M1516" s="832"/>
    </row>
    <row r="1517" spans="1:18" x14ac:dyDescent="0.2">
      <c r="A1517" s="832"/>
      <c r="B1517" s="832"/>
      <c r="C1517" s="832"/>
      <c r="D1517" s="832"/>
      <c r="E1517" s="832"/>
      <c r="F1517" s="832"/>
      <c r="G1517" s="832"/>
      <c r="H1517" s="832"/>
      <c r="I1517" s="832"/>
      <c r="J1517" s="832"/>
      <c r="K1517" s="832"/>
      <c r="L1517" s="832"/>
      <c r="M1517" s="832"/>
    </row>
    <row r="1518" spans="1:18" x14ac:dyDescent="0.2">
      <c r="A1518" s="832"/>
      <c r="B1518" s="995" t="s">
        <v>10</v>
      </c>
      <c r="C1518" s="995" t="s">
        <v>10</v>
      </c>
      <c r="D1518" s="995" t="s">
        <v>10</v>
      </c>
      <c r="E1518" s="995" t="s">
        <v>10</v>
      </c>
      <c r="F1518" s="995" t="s">
        <v>10</v>
      </c>
      <c r="G1518" s="995" t="s">
        <v>10</v>
      </c>
      <c r="H1518" s="995" t="s">
        <v>10</v>
      </c>
      <c r="I1518" s="995" t="s">
        <v>10</v>
      </c>
      <c r="J1518" s="995" t="s">
        <v>10</v>
      </c>
      <c r="K1518" s="995" t="s">
        <v>10</v>
      </c>
      <c r="L1518" s="995" t="s">
        <v>10</v>
      </c>
      <c r="M1518" s="995" t="s">
        <v>10</v>
      </c>
      <c r="N1518" s="284" t="s">
        <v>10</v>
      </c>
    </row>
    <row r="1519" spans="1:18" x14ac:dyDescent="0.2">
      <c r="A1519" s="832"/>
      <c r="B1519" s="990" t="s">
        <v>1713</v>
      </c>
      <c r="C1519" s="832"/>
      <c r="D1519" s="832"/>
      <c r="E1519" s="832"/>
      <c r="F1519" s="832"/>
      <c r="G1519" s="832"/>
      <c r="H1519" s="832"/>
      <c r="I1519" s="832"/>
      <c r="J1519" s="832"/>
      <c r="K1519" s="832"/>
      <c r="L1519" s="832"/>
      <c r="M1519" s="832"/>
    </row>
    <row r="1520" spans="1:18" x14ac:dyDescent="0.2">
      <c r="A1520" s="832"/>
      <c r="B1520" s="990" t="s">
        <v>1714</v>
      </c>
      <c r="C1520" s="832"/>
      <c r="D1520" s="832"/>
      <c r="E1520" s="832"/>
      <c r="F1520" s="832"/>
      <c r="G1520" s="832"/>
      <c r="H1520" s="832"/>
      <c r="I1520" s="832"/>
      <c r="J1520" s="832"/>
      <c r="K1520" s="832"/>
      <c r="L1520" s="832"/>
      <c r="M1520" s="832"/>
    </row>
    <row r="1521" spans="1:14" x14ac:dyDescent="0.2">
      <c r="A1521" s="832"/>
      <c r="B1521" s="990" t="s">
        <v>1715</v>
      </c>
      <c r="C1521" s="832"/>
      <c r="D1521" s="832"/>
      <c r="E1521" s="832"/>
      <c r="F1521" s="832"/>
      <c r="G1521" s="832"/>
      <c r="H1521" s="832"/>
      <c r="I1521" s="832"/>
      <c r="J1521" s="832"/>
      <c r="K1521" s="832"/>
      <c r="L1521" s="832"/>
      <c r="M1521" s="832"/>
    </row>
    <row r="1522" spans="1:14" x14ac:dyDescent="0.2">
      <c r="A1522" s="832"/>
      <c r="B1522" s="995" t="s">
        <v>10</v>
      </c>
      <c r="C1522" s="995" t="s">
        <v>10</v>
      </c>
      <c r="D1522" s="995" t="s">
        <v>10</v>
      </c>
      <c r="E1522" s="995" t="s">
        <v>10</v>
      </c>
      <c r="F1522" s="995" t="s">
        <v>10</v>
      </c>
      <c r="G1522" s="995" t="s">
        <v>10</v>
      </c>
      <c r="H1522" s="995" t="s">
        <v>10</v>
      </c>
      <c r="I1522" s="995" t="s">
        <v>10</v>
      </c>
      <c r="J1522" s="995" t="s">
        <v>10</v>
      </c>
      <c r="K1522" s="995" t="s">
        <v>10</v>
      </c>
      <c r="L1522" s="995" t="s">
        <v>10</v>
      </c>
      <c r="M1522" s="995" t="s">
        <v>10</v>
      </c>
      <c r="N1522" s="284" t="s">
        <v>10</v>
      </c>
    </row>
    <row r="1523" spans="1:14" x14ac:dyDescent="0.2">
      <c r="A1523" s="832"/>
      <c r="B1523" s="990" t="s">
        <v>1716</v>
      </c>
      <c r="C1523" s="832"/>
      <c r="D1523" s="832"/>
      <c r="E1523" s="997">
        <f>H556</f>
        <v>2.2919318105371445</v>
      </c>
      <c r="F1523" s="997">
        <f>$H$563</f>
        <v>515.22119518872603</v>
      </c>
      <c r="G1523" s="997">
        <f>E1523-F1523</f>
        <v>-512.92926337818892</v>
      </c>
      <c r="H1523" s="1111">
        <v>0</v>
      </c>
      <c r="I1523" s="1111">
        <v>0</v>
      </c>
      <c r="J1523" s="997">
        <f>H1523*PI()*I1523^2/4</f>
        <v>0</v>
      </c>
      <c r="K1523" s="990" t="s">
        <v>1460</v>
      </c>
      <c r="L1523" s="997">
        <f>$I$570</f>
        <v>532</v>
      </c>
      <c r="M1523" s="997">
        <f>H1523*I1523+(H1523+1)*25</f>
        <v>25</v>
      </c>
      <c r="N1523" s="283" t="str">
        <f>IF(L1523&gt;=M1523,"     OK","   Not OK")</f>
        <v xml:space="preserve">     OK</v>
      </c>
    </row>
    <row r="1524" spans="1:14" x14ac:dyDescent="0.2">
      <c r="A1524" s="832"/>
      <c r="B1524" s="990" t="s">
        <v>1717</v>
      </c>
      <c r="C1524" s="832"/>
      <c r="D1524" s="832"/>
      <c r="E1524" s="997">
        <f>$H$756</f>
        <v>2.3709639419349777</v>
      </c>
      <c r="F1524" s="997">
        <f>$I$761</f>
        <v>226.1946710584651</v>
      </c>
      <c r="G1524" s="997">
        <f>E1524-F1524</f>
        <v>-223.82370711653013</v>
      </c>
      <c r="H1524" s="1111">
        <v>0</v>
      </c>
      <c r="I1524" s="1111">
        <v>0</v>
      </c>
      <c r="J1524" s="997">
        <f>H1524*PI()*I1524^2/4</f>
        <v>0</v>
      </c>
      <c r="K1524" s="990" t="s">
        <v>1460</v>
      </c>
      <c r="L1524" s="997">
        <f>$I$769</f>
        <v>-162</v>
      </c>
      <c r="M1524" s="997">
        <f>H1524*I1524+(H1524+1)*25</f>
        <v>25</v>
      </c>
      <c r="N1524" s="283" t="str">
        <f>IF(L1524&gt;=M1524,"     OK","   Not OK")</f>
        <v xml:space="preserve">   Not OK</v>
      </c>
    </row>
    <row r="1525" spans="1:14" x14ac:dyDescent="0.2">
      <c r="A1525" s="832"/>
      <c r="B1525" s="990" t="s">
        <v>1718</v>
      </c>
      <c r="C1525" s="832"/>
      <c r="D1525" s="832"/>
      <c r="E1525" s="997">
        <f>$H$1122</f>
        <v>210.00000000000003</v>
      </c>
      <c r="F1525" s="997">
        <v>0</v>
      </c>
      <c r="G1525" s="997">
        <f>E1525-F1525</f>
        <v>210.00000000000003</v>
      </c>
      <c r="H1525" s="1111">
        <v>0</v>
      </c>
      <c r="I1525" s="1111">
        <v>0</v>
      </c>
      <c r="J1525" s="997">
        <f>H1525*PI()*I1525^2/4</f>
        <v>0</v>
      </c>
      <c r="K1525" s="990" t="s">
        <v>1460</v>
      </c>
      <c r="L1525" s="997">
        <v>300</v>
      </c>
      <c r="M1525" s="997">
        <f>H1525*I1525+(H1525+1)*25</f>
        <v>25</v>
      </c>
      <c r="N1525" s="283" t="str">
        <f>IF(L1525&gt;=M1525,"     OK","   Not OK")</f>
        <v xml:space="preserve">     OK</v>
      </c>
    </row>
    <row r="1526" spans="1:14" x14ac:dyDescent="0.2">
      <c r="A1526" s="832"/>
      <c r="B1526" s="990" t="s">
        <v>1719</v>
      </c>
      <c r="C1526" s="832"/>
      <c r="D1526" s="832"/>
      <c r="E1526" s="997">
        <f>$H$1145</f>
        <v>210.00000000000003</v>
      </c>
      <c r="F1526" s="997">
        <v>0</v>
      </c>
      <c r="G1526" s="997">
        <f>E1526-F1526</f>
        <v>210.00000000000003</v>
      </c>
      <c r="H1526" s="1111">
        <v>0</v>
      </c>
      <c r="I1526" s="1111">
        <v>0</v>
      </c>
      <c r="J1526" s="997">
        <f>H1526*PI()*I1526^2/4</f>
        <v>0</v>
      </c>
      <c r="K1526" s="990" t="s">
        <v>1460</v>
      </c>
      <c r="L1526" s="997">
        <v>300</v>
      </c>
      <c r="M1526" s="997">
        <f>H1526*I1526+(H1526+1)*25</f>
        <v>25</v>
      </c>
      <c r="N1526" s="283" t="str">
        <f>IF(L1526&gt;=M1526,"     OK","   Not OK")</f>
        <v xml:space="preserve">     OK</v>
      </c>
    </row>
    <row r="1527" spans="1:14" x14ac:dyDescent="0.2">
      <c r="A1527" s="832"/>
      <c r="B1527" s="995" t="s">
        <v>10</v>
      </c>
      <c r="C1527" s="995" t="s">
        <v>10</v>
      </c>
      <c r="D1527" s="995" t="s">
        <v>10</v>
      </c>
      <c r="E1527" s="995" t="s">
        <v>10</v>
      </c>
      <c r="F1527" s="995" t="s">
        <v>10</v>
      </c>
      <c r="G1527" s="995" t="s">
        <v>10</v>
      </c>
      <c r="H1527" s="995" t="s">
        <v>10</v>
      </c>
      <c r="I1527" s="995" t="s">
        <v>10</v>
      </c>
      <c r="J1527" s="995" t="s">
        <v>10</v>
      </c>
      <c r="K1527" s="995" t="s">
        <v>10</v>
      </c>
      <c r="L1527" s="995" t="s">
        <v>10</v>
      </c>
      <c r="M1527" s="995" t="s">
        <v>10</v>
      </c>
      <c r="N1527" s="284" t="s">
        <v>10</v>
      </c>
    </row>
    <row r="1528" spans="1:14" x14ac:dyDescent="0.2">
      <c r="A1528" s="832"/>
      <c r="B1528" s="832"/>
      <c r="C1528" s="832"/>
      <c r="D1528" s="832"/>
      <c r="E1528" s="832"/>
      <c r="F1528" s="832"/>
      <c r="G1528" s="832"/>
      <c r="H1528" s="832"/>
      <c r="I1528" s="832"/>
      <c r="J1528" s="832"/>
      <c r="K1528" s="832"/>
      <c r="L1528" s="832"/>
      <c r="M1528" s="832"/>
    </row>
    <row r="1529" spans="1:14" x14ac:dyDescent="0.2">
      <c r="A1529" s="832"/>
      <c r="B1529" s="832"/>
      <c r="C1529" s="832"/>
      <c r="D1529" s="832"/>
      <c r="E1529" s="832"/>
      <c r="F1529" s="832"/>
      <c r="G1529" s="832"/>
      <c r="H1529" s="832"/>
      <c r="I1529" s="832"/>
      <c r="J1529" s="832"/>
      <c r="K1529" s="832"/>
      <c r="L1529" s="832"/>
      <c r="M1529" s="832"/>
    </row>
    <row r="1530" spans="1:14" x14ac:dyDescent="0.2">
      <c r="A1530" s="832"/>
      <c r="B1530" s="832"/>
      <c r="C1530" s="832"/>
      <c r="D1530" s="832"/>
      <c r="E1530" s="832"/>
      <c r="F1530" s="832"/>
      <c r="G1530" s="832"/>
      <c r="H1530" s="832"/>
      <c r="I1530" s="832"/>
      <c r="J1530" s="832"/>
      <c r="K1530" s="832"/>
      <c r="L1530" s="832"/>
      <c r="M1530" s="832"/>
    </row>
    <row r="1531" spans="1:14" x14ac:dyDescent="0.2">
      <c r="A1531" s="832"/>
      <c r="B1531" s="832"/>
      <c r="C1531" s="832"/>
      <c r="D1531" s="832"/>
      <c r="E1531" s="832"/>
      <c r="F1531" s="832"/>
      <c r="G1531" s="832"/>
      <c r="H1531" s="832"/>
      <c r="I1531" s="832"/>
      <c r="J1531" s="832"/>
      <c r="K1531" s="832"/>
      <c r="L1531" s="832"/>
      <c r="M1531" s="832"/>
    </row>
    <row r="1532" spans="1:14" x14ac:dyDescent="0.2">
      <c r="A1532" s="832"/>
      <c r="B1532" s="832"/>
      <c r="C1532" s="832"/>
      <c r="D1532" s="832"/>
      <c r="E1532" s="832"/>
      <c r="F1532" s="832"/>
      <c r="G1532" s="832"/>
      <c r="H1532" s="832"/>
      <c r="I1532" s="832"/>
      <c r="J1532" s="832"/>
      <c r="K1532" s="832"/>
      <c r="L1532" s="832"/>
      <c r="M1532" s="832"/>
    </row>
    <row r="1533" spans="1:14" x14ac:dyDescent="0.2">
      <c r="A1533" s="832"/>
      <c r="B1533" s="832"/>
      <c r="C1533" s="832"/>
      <c r="D1533" s="832"/>
      <c r="E1533" s="832"/>
      <c r="F1533" s="832"/>
      <c r="G1533" s="832"/>
      <c r="H1533" s="832"/>
      <c r="I1533" s="832"/>
      <c r="J1533" s="832"/>
      <c r="K1533" s="832"/>
      <c r="L1533" s="832"/>
      <c r="M1533" s="832"/>
    </row>
  </sheetData>
  <mergeCells count="13">
    <mergeCell ref="J83:J84"/>
    <mergeCell ref="L1413:M1413"/>
    <mergeCell ref="C325:D325"/>
    <mergeCell ref="E325:F325"/>
    <mergeCell ref="C324:D324"/>
    <mergeCell ref="E324:F324"/>
    <mergeCell ref="C1399:I1399"/>
    <mergeCell ref="E1387:J1387"/>
    <mergeCell ref="E1423:F1423"/>
    <mergeCell ref="H1434:I1434"/>
    <mergeCell ref="E1434:F1434"/>
    <mergeCell ref="F1400:I1400"/>
    <mergeCell ref="C1400:E1400"/>
  </mergeCells>
  <pageMargins left="0.75" right="0.25" top="0.75" bottom="0.75" header="0.3" footer="0.3"/>
  <pageSetup paperSize="9" scale="85" orientation="portrait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T1031"/>
  <sheetViews>
    <sheetView topLeftCell="A19" zoomScaleNormal="100" workbookViewId="0">
      <selection activeCell="M22" sqref="M22"/>
    </sheetView>
  </sheetViews>
  <sheetFormatPr defaultRowHeight="12.75" x14ac:dyDescent="0.2"/>
  <cols>
    <col min="1" max="1" width="4.42578125" style="7" customWidth="1"/>
    <col min="2" max="2" width="9.42578125" style="7" customWidth="1"/>
    <col min="3" max="3" width="9.7109375" style="7" customWidth="1"/>
    <col min="4" max="4" width="9.5703125" style="7" customWidth="1"/>
    <col min="5" max="5" width="8.85546875" style="7" customWidth="1"/>
    <col min="6" max="6" width="9.28515625" style="7" customWidth="1"/>
    <col min="7" max="7" width="9.42578125" style="7" customWidth="1"/>
    <col min="8" max="8" width="9.5703125" style="7" customWidth="1"/>
    <col min="9" max="9" width="9.42578125" style="7" customWidth="1"/>
    <col min="10" max="10" width="8.7109375" style="7" customWidth="1"/>
    <col min="11" max="11" width="9.5703125" style="7" customWidth="1"/>
    <col min="12" max="12" width="11.42578125" style="7" customWidth="1"/>
    <col min="13" max="13" width="10.28515625" style="7" customWidth="1"/>
    <col min="14" max="14" width="10" style="7" customWidth="1"/>
    <col min="15" max="15" width="10.42578125" style="7" customWidth="1"/>
    <col min="16" max="16" width="10.28515625" style="7" customWidth="1"/>
    <col min="17" max="17" width="10.85546875" style="7" customWidth="1"/>
    <col min="18" max="18" width="10.28515625" style="7" customWidth="1"/>
    <col min="19" max="19" width="10.5703125" style="7" customWidth="1"/>
    <col min="20" max="16384" width="9.140625" style="7"/>
  </cols>
  <sheetData>
    <row r="1" spans="1:15" x14ac:dyDescent="0.2">
      <c r="A1" s="1175"/>
      <c r="B1" s="1176" t="s">
        <v>2031</v>
      </c>
      <c r="C1" s="1176"/>
      <c r="D1" s="1176" t="str">
        <f>'Design Data'!C2</f>
        <v>Coastal Embankment Improvement Project Phase-1, CEIP-1.</v>
      </c>
      <c r="E1" s="1176"/>
      <c r="F1" s="1176"/>
      <c r="G1" s="1176"/>
      <c r="H1" s="1176"/>
      <c r="I1" s="1176"/>
      <c r="J1" s="1176"/>
      <c r="K1" s="1177"/>
    </row>
    <row r="2" spans="1:15" x14ac:dyDescent="0.2">
      <c r="A2" s="1178"/>
      <c r="B2" s="845" t="s">
        <v>2261</v>
      </c>
      <c r="C2" s="845"/>
      <c r="D2" s="845" t="str">
        <f>'Design Data'!C3</f>
        <v>Polder- 16</v>
      </c>
      <c r="E2" s="845"/>
      <c r="F2" s="845"/>
      <c r="G2" s="845"/>
      <c r="H2" s="845"/>
      <c r="I2" s="845"/>
      <c r="J2" s="845"/>
      <c r="K2" s="1179"/>
    </row>
    <row r="3" spans="1:15" x14ac:dyDescent="0.2">
      <c r="A3" s="1180"/>
      <c r="B3" s="845" t="s">
        <v>2392</v>
      </c>
      <c r="C3" s="845"/>
      <c r="D3" s="691" t="str">
        <f>'Basin (RS)'!D2</f>
        <v>DR-5</v>
      </c>
      <c r="E3" s="845"/>
      <c r="F3" s="845"/>
      <c r="G3" s="845"/>
      <c r="H3" s="845" t="s">
        <v>2375</v>
      </c>
      <c r="I3" s="845"/>
      <c r="J3" s="1181">
        <f>'Design Data'!D22</f>
        <v>1</v>
      </c>
      <c r="K3" s="1179"/>
      <c r="L3" s="4" t="e">
        <v>#VALUE!</v>
      </c>
      <c r="M3" s="6" t="s">
        <v>0</v>
      </c>
    </row>
    <row r="4" spans="1:15" ht="16.5" customHeight="1" x14ac:dyDescent="0.2">
      <c r="A4" s="1455" t="s">
        <v>222</v>
      </c>
      <c r="B4" s="1456"/>
      <c r="C4" s="1456"/>
      <c r="D4" s="1456"/>
      <c r="E4" s="1456"/>
      <c r="F4" s="1456"/>
      <c r="G4" s="1182"/>
      <c r="H4" s="1183" t="s">
        <v>1966</v>
      </c>
      <c r="I4" s="845" t="str">
        <f>'Basin (RS)'!H3</f>
        <v>1.50m x 1.80m</v>
      </c>
      <c r="J4" s="845"/>
      <c r="K4" s="1179"/>
      <c r="L4" s="4">
        <v>1</v>
      </c>
      <c r="M4" s="6" t="s">
        <v>1</v>
      </c>
    </row>
    <row r="5" spans="1:15" ht="16.5" customHeight="1" x14ac:dyDescent="0.2">
      <c r="A5" s="1184"/>
      <c r="B5" s="1185" t="s">
        <v>344</v>
      </c>
      <c r="C5" s="1185"/>
      <c r="D5" s="1185"/>
      <c r="E5" s="1185"/>
      <c r="F5" s="1185"/>
      <c r="G5" s="1186"/>
      <c r="H5" s="845"/>
      <c r="I5" s="845"/>
      <c r="J5" s="845"/>
      <c r="K5" s="1179"/>
      <c r="L5" s="4"/>
      <c r="M5" s="6"/>
    </row>
    <row r="6" spans="1:15" ht="16.5" customHeight="1" x14ac:dyDescent="0.2">
      <c r="A6" s="1184"/>
      <c r="B6" s="1384" t="s">
        <v>2498</v>
      </c>
      <c r="C6" s="1384"/>
      <c r="D6" s="1385"/>
      <c r="E6" s="1385"/>
      <c r="F6" s="1385"/>
      <c r="G6" s="1386"/>
      <c r="H6" s="1387">
        <f>'Design Data'!E12</f>
        <v>5.0999999999999996</v>
      </c>
      <c r="I6" s="1384" t="s">
        <v>2363</v>
      </c>
      <c r="J6" s="1385"/>
      <c r="K6" s="1179"/>
      <c r="L6" s="4"/>
      <c r="M6" s="6"/>
    </row>
    <row r="7" spans="1:15" ht="16.5" customHeight="1" x14ac:dyDescent="0.2">
      <c r="A7" s="1184"/>
      <c r="B7" s="1187" t="s">
        <v>1745</v>
      </c>
      <c r="C7" s="1187"/>
      <c r="D7" s="845"/>
      <c r="E7" s="845"/>
      <c r="F7" s="845"/>
      <c r="G7" s="1186"/>
      <c r="H7" s="1188">
        <v>5.25</v>
      </c>
      <c r="I7" s="1187" t="s">
        <v>2363</v>
      </c>
      <c r="J7" s="845"/>
      <c r="K7" s="1179"/>
      <c r="L7" s="4"/>
      <c r="M7" s="6"/>
    </row>
    <row r="8" spans="1:15" ht="16.5" customHeight="1" x14ac:dyDescent="0.2">
      <c r="A8" s="1184"/>
      <c r="B8" s="1187" t="s">
        <v>387</v>
      </c>
      <c r="C8" s="1187"/>
      <c r="D8" s="1187"/>
      <c r="E8" s="1187"/>
      <c r="F8" s="1185"/>
      <c r="G8" s="1186"/>
      <c r="H8" s="975">
        <f>H7-H15/H20</f>
        <v>4.6500000000000004</v>
      </c>
      <c r="I8" s="1187" t="s">
        <v>2363</v>
      </c>
      <c r="J8" s="845"/>
      <c r="K8" s="1179"/>
      <c r="L8" s="4"/>
      <c r="M8" s="6"/>
    </row>
    <row r="9" spans="1:15" ht="16.5" customHeight="1" x14ac:dyDescent="0.2">
      <c r="A9" s="1184"/>
      <c r="B9" s="1187" t="s">
        <v>1807</v>
      </c>
      <c r="C9" s="1187"/>
      <c r="D9" s="1187"/>
      <c r="E9" s="1187"/>
      <c r="F9" s="1185"/>
      <c r="G9" s="1186"/>
      <c r="H9" s="975">
        <f>H8-H23/H20</f>
        <v>4.4833333333333334</v>
      </c>
      <c r="I9" s="1187" t="s">
        <v>2363</v>
      </c>
      <c r="J9" s="845"/>
      <c r="K9" s="1179"/>
      <c r="L9" s="4"/>
      <c r="M9" s="6"/>
    </row>
    <row r="10" spans="1:15" ht="16.5" customHeight="1" thickBot="1" x14ac:dyDescent="0.25">
      <c r="A10" s="1184"/>
      <c r="B10" s="1189" t="s">
        <v>1857</v>
      </c>
      <c r="C10" s="860"/>
      <c r="D10" s="860"/>
      <c r="E10" s="860"/>
      <c r="F10" s="860"/>
      <c r="G10" s="860"/>
      <c r="H10" s="1190">
        <f>'Basin (RS)'!F25</f>
        <v>3.5</v>
      </c>
      <c r="I10" s="1189" t="s">
        <v>2363</v>
      </c>
      <c r="J10" s="860"/>
      <c r="K10" s="1179"/>
      <c r="L10" s="4"/>
      <c r="M10" s="6"/>
    </row>
    <row r="11" spans="1:15" ht="16.5" customHeight="1" x14ac:dyDescent="0.2">
      <c r="A11" s="1184"/>
      <c r="B11" s="1187" t="s">
        <v>1959</v>
      </c>
      <c r="C11" s="1187"/>
      <c r="D11" s="845"/>
      <c r="E11" s="845"/>
      <c r="F11" s="845"/>
      <c r="G11" s="1186"/>
      <c r="H11" s="905">
        <f>'Struct2(Barrel)'!E37</f>
        <v>-1.2</v>
      </c>
      <c r="I11" s="1187" t="s">
        <v>2363</v>
      </c>
      <c r="J11" s="845"/>
      <c r="K11" s="1179"/>
      <c r="L11" s="4"/>
      <c r="M11" s="6"/>
      <c r="N11" s="7">
        <f>(H8-H10)*3</f>
        <v>3.4500000000000011</v>
      </c>
    </row>
    <row r="12" spans="1:15" ht="16.5" customHeight="1" x14ac:dyDescent="0.2">
      <c r="A12" s="1184"/>
      <c r="B12" s="1187" t="s">
        <v>390</v>
      </c>
      <c r="C12" s="845"/>
      <c r="D12" s="845"/>
      <c r="E12" s="845"/>
      <c r="F12" s="845"/>
      <c r="G12" s="845"/>
      <c r="H12" s="905">
        <f>H11-'Basin (RS)'!F20</f>
        <v>-1.3499999999999999</v>
      </c>
      <c r="I12" s="1187" t="s">
        <v>2363</v>
      </c>
      <c r="J12" s="845"/>
      <c r="K12" s="1179"/>
      <c r="L12" s="4"/>
      <c r="M12" s="6"/>
    </row>
    <row r="13" spans="1:15" ht="16.5" customHeight="1" x14ac:dyDescent="0.2">
      <c r="A13" s="1184"/>
      <c r="B13" s="1187" t="s">
        <v>391</v>
      </c>
      <c r="C13" s="845"/>
      <c r="D13" s="845"/>
      <c r="E13" s="845"/>
      <c r="F13" s="845"/>
      <c r="G13" s="845"/>
      <c r="H13" s="905">
        <f>'Basin (RS)'!F17</f>
        <v>-2.25</v>
      </c>
      <c r="I13" s="1187" t="s">
        <v>2363</v>
      </c>
      <c r="J13" s="845"/>
      <c r="K13" s="1179"/>
      <c r="L13" s="4"/>
      <c r="M13" s="6"/>
      <c r="N13" s="887">
        <f>(H36-H32)/C36</f>
        <v>0.24691358024691359</v>
      </c>
    </row>
    <row r="14" spans="1:15" ht="16.5" customHeight="1" x14ac:dyDescent="0.2">
      <c r="A14" s="1184"/>
      <c r="B14" s="1191"/>
      <c r="C14" s="1191"/>
      <c r="D14" s="1191"/>
      <c r="E14" s="1191"/>
      <c r="F14" s="845"/>
      <c r="G14" s="845"/>
      <c r="H14" s="845"/>
      <c r="I14" s="845"/>
      <c r="J14" s="845"/>
      <c r="K14" s="1179"/>
      <c r="L14" s="4"/>
      <c r="M14" s="6"/>
    </row>
    <row r="15" spans="1:15" ht="16.5" customHeight="1" x14ac:dyDescent="0.2">
      <c r="A15" s="1184"/>
      <c r="B15" s="1187" t="s">
        <v>346</v>
      </c>
      <c r="C15" s="1187"/>
      <c r="D15" s="1187"/>
      <c r="E15" s="845"/>
      <c r="F15" s="845"/>
      <c r="G15" s="1186"/>
      <c r="H15" s="905">
        <f>'Struct2(Barrel)'!E40</f>
        <v>1.8</v>
      </c>
      <c r="I15" s="1187" t="s">
        <v>386</v>
      </c>
      <c r="J15" s="845"/>
      <c r="K15" s="1179"/>
      <c r="L15" s="4"/>
      <c r="M15" s="6"/>
      <c r="N15" s="888">
        <f>H32+N13*C36</f>
        <v>5.8</v>
      </c>
      <c r="O15" s="511" t="s">
        <v>2490</v>
      </c>
    </row>
    <row r="16" spans="1:15" ht="16.5" customHeight="1" x14ac:dyDescent="0.2">
      <c r="A16" s="1184"/>
      <c r="B16" s="1187" t="s">
        <v>347</v>
      </c>
      <c r="C16" s="1187"/>
      <c r="D16" s="1187"/>
      <c r="E16" s="845"/>
      <c r="F16" s="845"/>
      <c r="G16" s="1186"/>
      <c r="H16" s="905">
        <f>'Struct2(Barrel)'!E39</f>
        <v>2.1</v>
      </c>
      <c r="I16" s="1187" t="s">
        <v>386</v>
      </c>
      <c r="J16" s="845"/>
      <c r="K16" s="1179"/>
      <c r="L16" s="4"/>
      <c r="M16" s="6"/>
      <c r="O16" s="511"/>
    </row>
    <row r="17" spans="1:15" ht="16.5" customHeight="1" x14ac:dyDescent="0.2">
      <c r="A17" s="1184"/>
      <c r="B17" s="1192" t="s">
        <v>2401</v>
      </c>
      <c r="C17" s="845"/>
      <c r="D17" s="845"/>
      <c r="E17" s="845"/>
      <c r="F17" s="845"/>
      <c r="G17" s="845"/>
      <c r="H17" s="975">
        <v>0.35</v>
      </c>
      <c r="I17" s="845"/>
      <c r="J17" s="845" t="s">
        <v>2131</v>
      </c>
      <c r="K17" s="1179"/>
      <c r="L17" s="4"/>
      <c r="M17" s="6"/>
      <c r="N17" s="7">
        <f>(E33-E36)/(C36-C33)</f>
        <v>3.9215686274509802</v>
      </c>
      <c r="O17" s="511"/>
    </row>
    <row r="18" spans="1:15" ht="16.5" customHeight="1" x14ac:dyDescent="0.2">
      <c r="A18" s="1178"/>
      <c r="B18" s="1187" t="s">
        <v>1792</v>
      </c>
      <c r="C18" s="845"/>
      <c r="D18" s="845"/>
      <c r="E18" s="845"/>
      <c r="F18" s="845"/>
      <c r="G18" s="845"/>
      <c r="H18" s="975">
        <f>H22+H19+H23</f>
        <v>16.2</v>
      </c>
      <c r="I18" s="1187" t="s">
        <v>24</v>
      </c>
      <c r="J18" s="845"/>
      <c r="K18" s="1179"/>
      <c r="L18" s="4"/>
      <c r="M18" s="6"/>
      <c r="O18" s="511"/>
    </row>
    <row r="19" spans="1:15" ht="16.5" customHeight="1" x14ac:dyDescent="0.2">
      <c r="A19" s="1184"/>
      <c r="B19" s="1187" t="s">
        <v>388</v>
      </c>
      <c r="C19" s="1187"/>
      <c r="D19" s="1187"/>
      <c r="E19" s="1187"/>
      <c r="F19" s="1185"/>
      <c r="G19" s="1186"/>
      <c r="H19" s="1171">
        <f>(H12-H13)*3</f>
        <v>2.7</v>
      </c>
      <c r="I19" s="1187" t="s">
        <v>24</v>
      </c>
      <c r="J19" s="845"/>
      <c r="K19" s="1179"/>
      <c r="L19" s="4"/>
      <c r="M19" s="6"/>
      <c r="N19" s="949">
        <f>E33-N17*(C36-C33)</f>
        <v>650</v>
      </c>
      <c r="O19" s="511" t="s">
        <v>2490</v>
      </c>
    </row>
    <row r="20" spans="1:15" ht="16.5" customHeight="1" x14ac:dyDescent="0.2">
      <c r="A20" s="1184"/>
      <c r="B20" s="1187" t="s">
        <v>1744</v>
      </c>
      <c r="C20" s="1187"/>
      <c r="D20" s="1187"/>
      <c r="E20" s="1187"/>
      <c r="F20" s="1185"/>
      <c r="G20" s="1182">
        <v>1</v>
      </c>
      <c r="H20" s="1183">
        <v>3</v>
      </c>
      <c r="I20" s="845"/>
      <c r="J20" s="845"/>
      <c r="K20" s="1179"/>
      <c r="L20" s="4"/>
      <c r="M20" s="6"/>
    </row>
    <row r="21" spans="1:15" ht="16.5" customHeight="1" x14ac:dyDescent="0.2">
      <c r="A21" s="1184"/>
      <c r="B21" s="845"/>
      <c r="C21" s="845"/>
      <c r="D21" s="845"/>
      <c r="E21" s="845"/>
      <c r="F21" s="845"/>
      <c r="G21" s="845"/>
      <c r="H21" s="845"/>
      <c r="I21" s="845"/>
      <c r="J21" s="975"/>
      <c r="K21" s="1179"/>
      <c r="L21" s="4"/>
      <c r="M21" s="6"/>
    </row>
    <row r="22" spans="1:15" ht="16.5" customHeight="1" x14ac:dyDescent="0.2">
      <c r="A22" s="1184"/>
      <c r="B22" s="1187" t="s">
        <v>2442</v>
      </c>
      <c r="C22" s="1187"/>
      <c r="D22" s="1187"/>
      <c r="E22" s="1187"/>
      <c r="F22" s="1185"/>
      <c r="G22" s="1186"/>
      <c r="H22" s="975">
        <f>'Basin (RS)'!H222</f>
        <v>13</v>
      </c>
      <c r="I22" s="1187" t="s">
        <v>24</v>
      </c>
      <c r="J22" s="975"/>
      <c r="K22" s="1179"/>
      <c r="L22" s="4"/>
      <c r="M22" s="6"/>
    </row>
    <row r="23" spans="1:15" ht="16.5" customHeight="1" x14ac:dyDescent="0.2">
      <c r="A23" s="1184"/>
      <c r="B23" s="1187" t="s">
        <v>1856</v>
      </c>
      <c r="C23" s="845"/>
      <c r="D23" s="845"/>
      <c r="E23" s="845"/>
      <c r="F23" s="845"/>
      <c r="G23" s="845"/>
      <c r="H23" s="975">
        <v>0.5</v>
      </c>
      <c r="I23" s="1187" t="s">
        <v>24</v>
      </c>
      <c r="J23" s="845"/>
      <c r="K23" s="1179"/>
      <c r="L23" s="4"/>
      <c r="M23" s="6"/>
    </row>
    <row r="24" spans="1:15" ht="17.25" customHeight="1" x14ac:dyDescent="0.2">
      <c r="A24" s="1178"/>
      <c r="B24" s="1187" t="s">
        <v>2443</v>
      </c>
      <c r="C24" s="845"/>
      <c r="D24" s="845"/>
      <c r="E24" s="845"/>
      <c r="F24" s="845"/>
      <c r="G24" s="845"/>
      <c r="H24" s="975">
        <f>H22+H19+H23</f>
        <v>16.2</v>
      </c>
      <c r="I24" s="1187" t="s">
        <v>24</v>
      </c>
      <c r="J24" s="845"/>
      <c r="K24" s="1179"/>
      <c r="L24" s="32" t="s">
        <v>2</v>
      </c>
      <c r="M24" s="6" t="s">
        <v>3</v>
      </c>
    </row>
    <row r="25" spans="1:15" x14ac:dyDescent="0.2">
      <c r="A25" s="1180"/>
      <c r="B25" s="1464"/>
      <c r="C25" s="1464"/>
      <c r="D25" s="1464"/>
      <c r="E25" s="1464"/>
      <c r="F25" s="1464"/>
      <c r="G25" s="1464"/>
      <c r="H25" s="1464"/>
      <c r="I25" s="845" t="s">
        <v>199</v>
      </c>
      <c r="J25" s="845"/>
      <c r="K25" s="1179"/>
      <c r="M25" s="6" t="s">
        <v>4</v>
      </c>
    </row>
    <row r="26" spans="1:15" x14ac:dyDescent="0.2">
      <c r="A26" s="1184" t="s">
        <v>223</v>
      </c>
      <c r="B26" s="1193"/>
      <c r="C26" s="1193"/>
      <c r="D26" s="1193"/>
      <c r="E26" s="845"/>
      <c r="F26" s="845"/>
      <c r="G26" s="845" t="s">
        <v>198</v>
      </c>
      <c r="H26" s="845"/>
      <c r="I26" s="845"/>
      <c r="J26" s="1331">
        <f>N13</f>
        <v>0.24691358024691359</v>
      </c>
      <c r="K26" s="1179"/>
      <c r="M26" s="6" t="s">
        <v>5</v>
      </c>
    </row>
    <row r="27" spans="1:15" ht="13.5" thickBot="1" x14ac:dyDescent="0.25">
      <c r="A27" s="1178"/>
      <c r="B27" s="845"/>
      <c r="C27" s="845"/>
      <c r="D27" s="845"/>
      <c r="E27" s="845"/>
      <c r="F27" s="845"/>
      <c r="G27" s="845"/>
      <c r="H27" s="845"/>
      <c r="I27" s="845"/>
      <c r="J27" s="845"/>
      <c r="K27" s="1179"/>
      <c r="M27" s="6" t="s">
        <v>6</v>
      </c>
    </row>
    <row r="28" spans="1:15" ht="14.25" thickTop="1" x14ac:dyDescent="0.25">
      <c r="A28" s="845"/>
      <c r="B28" s="1394" t="s">
        <v>200</v>
      </c>
      <c r="C28" s="1394" t="s">
        <v>201</v>
      </c>
      <c r="D28" s="1457" t="s">
        <v>202</v>
      </c>
      <c r="E28" s="1458"/>
      <c r="F28" s="1458"/>
      <c r="G28" s="1459" t="s">
        <v>193</v>
      </c>
      <c r="H28" s="1460"/>
      <c r="I28" s="1195" t="s">
        <v>187</v>
      </c>
      <c r="J28" s="1196" t="s">
        <v>193</v>
      </c>
      <c r="K28" s="1383">
        <f>(G33-G36)/(C36-C33)</f>
        <v>3.9215686274509802</v>
      </c>
      <c r="M28" s="6" t="s">
        <v>7</v>
      </c>
    </row>
    <row r="29" spans="1:15" x14ac:dyDescent="0.2">
      <c r="A29" s="845"/>
      <c r="B29" s="1395"/>
      <c r="C29" s="1395" t="s">
        <v>216</v>
      </c>
      <c r="D29" s="1444" t="s">
        <v>217</v>
      </c>
      <c r="E29" s="1446"/>
      <c r="F29" s="1389" t="s">
        <v>218</v>
      </c>
      <c r="G29" s="1389" t="s">
        <v>219</v>
      </c>
      <c r="H29" s="1389" t="s">
        <v>220</v>
      </c>
      <c r="I29" s="1389" t="s">
        <v>221</v>
      </c>
      <c r="J29" s="1393" t="s">
        <v>220</v>
      </c>
      <c r="K29" s="1383">
        <f>G33-K28*(C36-C33)</f>
        <v>700</v>
      </c>
      <c r="M29" s="6" t="s">
        <v>8</v>
      </c>
    </row>
    <row r="30" spans="1:15" x14ac:dyDescent="0.2">
      <c r="A30" s="845"/>
      <c r="B30" s="1396"/>
      <c r="C30" s="1397" t="s">
        <v>214</v>
      </c>
      <c r="D30" s="1200" t="s">
        <v>212</v>
      </c>
      <c r="E30" s="1198" t="s">
        <v>213</v>
      </c>
      <c r="F30" s="1197" t="s">
        <v>214</v>
      </c>
      <c r="G30" s="1197" t="s">
        <v>215</v>
      </c>
      <c r="H30" s="1197" t="s">
        <v>214</v>
      </c>
      <c r="I30" s="1197" t="s">
        <v>214</v>
      </c>
      <c r="J30" s="1201" t="s">
        <v>214</v>
      </c>
      <c r="K30" s="1383"/>
      <c r="M30" s="6" t="s">
        <v>9</v>
      </c>
    </row>
    <row r="31" spans="1:15" x14ac:dyDescent="0.2">
      <c r="A31" s="845"/>
      <c r="B31" s="1389" t="s">
        <v>203</v>
      </c>
      <c r="C31" s="1202" t="s">
        <v>204</v>
      </c>
      <c r="D31" s="1203" t="s">
        <v>205</v>
      </c>
      <c r="E31" s="1198" t="s">
        <v>206</v>
      </c>
      <c r="F31" s="1198" t="s">
        <v>207</v>
      </c>
      <c r="G31" s="1198" t="s">
        <v>208</v>
      </c>
      <c r="H31" s="1198" t="s">
        <v>209</v>
      </c>
      <c r="I31" s="1198" t="s">
        <v>210</v>
      </c>
      <c r="J31" s="1199" t="s">
        <v>211</v>
      </c>
      <c r="K31" s="1383">
        <f>(E33-E36)/(C36-C33)</f>
        <v>3.9215686274509802</v>
      </c>
      <c r="M31" s="6" t="s">
        <v>12</v>
      </c>
    </row>
    <row r="32" spans="1:15" x14ac:dyDescent="0.2">
      <c r="A32" s="1178"/>
      <c r="B32" s="1066" t="s">
        <v>14</v>
      </c>
      <c r="C32" s="1204">
        <f>N64</f>
        <v>0</v>
      </c>
      <c r="D32" s="1205">
        <v>300</v>
      </c>
      <c r="E32" s="1206">
        <v>700</v>
      </c>
      <c r="F32" s="1207">
        <f>H8-H12</f>
        <v>6</v>
      </c>
      <c r="G32" s="1205">
        <v>750</v>
      </c>
      <c r="H32" s="1207">
        <f>O64</f>
        <v>1.8</v>
      </c>
      <c r="I32" s="1208">
        <f t="shared" ref="I32:I36" si="0">F32+G32/2000</f>
        <v>6.375</v>
      </c>
      <c r="J32" s="1208">
        <f t="shared" ref="J32:J36" si="1">H32+E32/1000</f>
        <v>2.5</v>
      </c>
      <c r="K32" s="1383">
        <f>E33-K31*(C36-C33)</f>
        <v>650</v>
      </c>
      <c r="M32" s="6" t="s">
        <v>15</v>
      </c>
    </row>
    <row r="33" spans="1:17" x14ac:dyDescent="0.2">
      <c r="A33" s="1178"/>
      <c r="B33" s="1066" t="s">
        <v>16</v>
      </c>
      <c r="C33" s="1207">
        <v>3.45</v>
      </c>
      <c r="D33" s="1205">
        <v>300</v>
      </c>
      <c r="E33" s="1206">
        <v>700</v>
      </c>
      <c r="F33" s="1207">
        <f>(H8-C33/3-H13)</f>
        <v>5.75</v>
      </c>
      <c r="G33" s="1205">
        <v>750</v>
      </c>
      <c r="H33" s="1207">
        <f>H32+N13*C33</f>
        <v>2.6518518518518519</v>
      </c>
      <c r="I33" s="1208">
        <f t="shared" si="0"/>
        <v>6.125</v>
      </c>
      <c r="J33" s="1208">
        <f t="shared" si="1"/>
        <v>3.3518518518518521</v>
      </c>
      <c r="K33" s="1179"/>
      <c r="M33" s="6" t="s">
        <v>17</v>
      </c>
    </row>
    <row r="34" spans="1:17" x14ac:dyDescent="0.2">
      <c r="A34" s="1178"/>
      <c r="B34" s="1066" t="s">
        <v>18</v>
      </c>
      <c r="C34" s="1207">
        <v>7.45</v>
      </c>
      <c r="D34" s="1205">
        <v>300</v>
      </c>
      <c r="E34" s="1398">
        <f>E33-K31*(C34-C33)</f>
        <v>684.31372549019613</v>
      </c>
      <c r="F34" s="1207">
        <v>5.75</v>
      </c>
      <c r="G34" s="1209">
        <f>G33-K28*(C34-C33)</f>
        <v>734.31372549019613</v>
      </c>
      <c r="H34" s="1207">
        <f>H32+N13*C34</f>
        <v>3.6395061728395062</v>
      </c>
      <c r="I34" s="1208">
        <f t="shared" si="0"/>
        <v>6.1171568627450981</v>
      </c>
      <c r="J34" s="1208">
        <f t="shared" si="1"/>
        <v>4.3238198983297025</v>
      </c>
      <c r="K34" s="1179"/>
      <c r="M34" s="6"/>
    </row>
    <row r="35" spans="1:17" x14ac:dyDescent="0.2">
      <c r="A35" s="1178"/>
      <c r="B35" s="1210" t="s">
        <v>1803</v>
      </c>
      <c r="C35" s="1207">
        <v>11.45</v>
      </c>
      <c r="D35" s="1205">
        <v>300</v>
      </c>
      <c r="E35" s="1398">
        <f>E33-K31*(C35-C33)</f>
        <v>668.62745098039215</v>
      </c>
      <c r="F35" s="1207">
        <f>H10-H13</f>
        <v>5.75</v>
      </c>
      <c r="G35" s="1209">
        <f>G33-K28*(C35-C33)</f>
        <v>718.62745098039215</v>
      </c>
      <c r="H35" s="1207">
        <f>H32+N13*C35</f>
        <v>4.6271604938271604</v>
      </c>
      <c r="I35" s="1211">
        <f t="shared" si="0"/>
        <v>6.1093137254901961</v>
      </c>
      <c r="J35" s="1211">
        <f t="shared" si="1"/>
        <v>5.2957879448075529</v>
      </c>
      <c r="K35" s="1179"/>
      <c r="M35" s="6"/>
    </row>
    <row r="36" spans="1:17" x14ac:dyDescent="0.2">
      <c r="A36" s="1178"/>
      <c r="B36" s="1212" t="s">
        <v>1804</v>
      </c>
      <c r="C36" s="1207">
        <f>H24</f>
        <v>16.2</v>
      </c>
      <c r="D36" s="1205">
        <v>300</v>
      </c>
      <c r="E36" s="1206">
        <v>650</v>
      </c>
      <c r="F36" s="1207">
        <f>H10-H13</f>
        <v>5.75</v>
      </c>
      <c r="G36" s="1206">
        <v>700</v>
      </c>
      <c r="H36" s="1207">
        <f>O68</f>
        <v>5.8</v>
      </c>
      <c r="I36" s="1208">
        <f t="shared" si="0"/>
        <v>6.1</v>
      </c>
      <c r="J36" s="1208">
        <f t="shared" si="1"/>
        <v>6.45</v>
      </c>
      <c r="K36" s="1179"/>
      <c r="M36" s="6" t="s">
        <v>11</v>
      </c>
    </row>
    <row r="37" spans="1:17" x14ac:dyDescent="0.2">
      <c r="A37" s="1178"/>
      <c r="B37" s="1213"/>
      <c r="C37" s="1214"/>
      <c r="D37" s="915"/>
      <c r="E37" s="915"/>
      <c r="F37" s="1214"/>
      <c r="G37" s="915"/>
      <c r="H37" s="1214"/>
      <c r="I37" s="1215"/>
      <c r="J37" s="1215"/>
      <c r="K37" s="1179"/>
      <c r="M37" s="6"/>
    </row>
    <row r="38" spans="1:17" x14ac:dyDescent="0.2">
      <c r="A38" s="1178"/>
      <c r="B38" s="943"/>
      <c r="C38" s="1214"/>
      <c r="D38" s="915"/>
      <c r="E38" s="915"/>
      <c r="F38" s="1186"/>
      <c r="G38" s="915"/>
      <c r="H38" s="1186"/>
      <c r="I38" s="1216"/>
      <c r="J38" s="1216"/>
      <c r="K38" s="1179"/>
      <c r="M38" s="6"/>
    </row>
    <row r="39" spans="1:17" x14ac:dyDescent="0.2">
      <c r="A39" s="1178"/>
      <c r="B39" s="1187" t="s">
        <v>19</v>
      </c>
      <c r="C39" s="845"/>
      <c r="D39" s="845"/>
      <c r="E39" s="845"/>
      <c r="F39" s="845"/>
      <c r="G39" s="845"/>
      <c r="H39" s="845"/>
      <c r="I39" s="845"/>
      <c r="J39" s="845"/>
      <c r="K39" s="1179"/>
      <c r="M39" s="6" t="s">
        <v>20</v>
      </c>
    </row>
    <row r="40" spans="1:17" x14ac:dyDescent="0.2">
      <c r="A40" s="1178"/>
      <c r="B40" s="1187" t="s">
        <v>21</v>
      </c>
      <c r="C40" s="845"/>
      <c r="D40" s="845"/>
      <c r="E40" s="845"/>
      <c r="F40" s="845"/>
      <c r="G40" s="845"/>
      <c r="H40" s="845"/>
      <c r="I40" s="845"/>
      <c r="J40" s="845"/>
      <c r="K40" s="1179"/>
      <c r="M40" s="6" t="s">
        <v>13</v>
      </c>
    </row>
    <row r="41" spans="1:17" x14ac:dyDescent="0.2">
      <c r="A41" s="1178"/>
      <c r="B41" s="845"/>
      <c r="C41" s="845"/>
      <c r="D41" s="845"/>
      <c r="E41" s="845"/>
      <c r="F41" s="845"/>
      <c r="G41" s="845"/>
      <c r="H41" s="845"/>
      <c r="I41" s="845"/>
      <c r="J41" s="845"/>
      <c r="K41" s="1179"/>
      <c r="M41" s="6" t="s">
        <v>22</v>
      </c>
    </row>
    <row r="42" spans="1:17" x14ac:dyDescent="0.2">
      <c r="A42" s="1178"/>
      <c r="B42" s="1187" t="s">
        <v>23</v>
      </c>
      <c r="C42" s="845"/>
      <c r="D42" s="845"/>
      <c r="E42" s="845"/>
      <c r="F42" s="845"/>
      <c r="G42" s="1171">
        <f>SQRT(MAX(C32:C36)^2+((MAX(H32:H36)-H32)/2)^2)</f>
        <v>16.322989922192562</v>
      </c>
      <c r="H42" s="1187" t="s">
        <v>24</v>
      </c>
      <c r="I42" s="845"/>
      <c r="J42" s="845"/>
      <c r="K42" s="1179"/>
      <c r="M42" s="6" t="s">
        <v>25</v>
      </c>
    </row>
    <row r="43" spans="1:17" x14ac:dyDescent="0.2">
      <c r="A43" s="1178"/>
      <c r="B43" s="845"/>
      <c r="C43" s="845"/>
      <c r="D43" s="845"/>
      <c r="E43" s="845"/>
      <c r="F43" s="845"/>
      <c r="G43" s="845"/>
      <c r="H43" s="845"/>
      <c r="I43" s="845"/>
      <c r="J43" s="845"/>
      <c r="K43" s="1179"/>
      <c r="M43" s="6" t="s">
        <v>26</v>
      </c>
      <c r="Q43" s="6" t="s">
        <v>27</v>
      </c>
    </row>
    <row r="44" spans="1:17" ht="16.5" x14ac:dyDescent="0.3">
      <c r="A44" s="1178"/>
      <c r="B44" s="1187" t="s">
        <v>2522</v>
      </c>
      <c r="C44" s="845"/>
      <c r="D44" s="845"/>
      <c r="E44" s="845"/>
      <c r="F44" s="845"/>
      <c r="G44" s="1217">
        <v>77</v>
      </c>
      <c r="H44" s="1187" t="s">
        <v>28</v>
      </c>
      <c r="I44" s="918">
        <f>G44*6.366</f>
        <v>490.18199999999996</v>
      </c>
      <c r="J44" s="845" t="s">
        <v>2523</v>
      </c>
      <c r="K44" s="1179"/>
      <c r="M44" s="6" t="s">
        <v>29</v>
      </c>
    </row>
    <row r="45" spans="1:17" ht="16.5" x14ac:dyDescent="0.3">
      <c r="A45" s="1178"/>
      <c r="B45" s="1187" t="s">
        <v>2524</v>
      </c>
      <c r="C45" s="845"/>
      <c r="D45" s="845"/>
      <c r="E45" s="845"/>
      <c r="F45" s="845"/>
      <c r="G45" s="1186">
        <v>23.6</v>
      </c>
      <c r="H45" s="1187" t="s">
        <v>28</v>
      </c>
      <c r="I45" s="918">
        <f>G45*6.366</f>
        <v>150.23760000000001</v>
      </c>
      <c r="J45" s="845" t="s">
        <v>2523</v>
      </c>
      <c r="K45" s="1179"/>
      <c r="M45" s="6" t="s">
        <v>30</v>
      </c>
    </row>
    <row r="46" spans="1:17" ht="16.5" x14ac:dyDescent="0.3">
      <c r="A46" s="1178"/>
      <c r="B46" s="1187" t="s">
        <v>2525</v>
      </c>
      <c r="C46" s="845"/>
      <c r="D46" s="845"/>
      <c r="E46" s="845"/>
      <c r="F46" s="845"/>
      <c r="G46" s="1186">
        <v>19.600000000000001</v>
      </c>
      <c r="H46" s="1187" t="s">
        <v>28</v>
      </c>
      <c r="I46" s="918">
        <f>G46*6.366</f>
        <v>124.7736</v>
      </c>
      <c r="J46" s="845" t="s">
        <v>2523</v>
      </c>
      <c r="K46" s="1179"/>
    </row>
    <row r="47" spans="1:17" x14ac:dyDescent="0.2">
      <c r="A47" s="1178"/>
      <c r="B47" s="845"/>
      <c r="C47" s="845"/>
      <c r="D47" s="845"/>
      <c r="E47" s="845"/>
      <c r="F47" s="845"/>
      <c r="G47" s="845"/>
      <c r="H47" s="1182"/>
      <c r="I47" s="845"/>
      <c r="J47" s="845"/>
      <c r="K47" s="1179"/>
    </row>
    <row r="48" spans="1:17" ht="14.25" x14ac:dyDescent="0.2">
      <c r="A48" s="1178"/>
      <c r="B48" s="1187" t="s">
        <v>31</v>
      </c>
      <c r="C48" s="845"/>
      <c r="D48" s="845"/>
      <c r="E48" s="845"/>
      <c r="F48" s="845"/>
      <c r="G48" s="845"/>
      <c r="H48" s="915">
        <f>'Design Data'!D45</f>
        <v>18</v>
      </c>
      <c r="I48" s="1187" t="s">
        <v>32</v>
      </c>
      <c r="J48" s="845"/>
      <c r="K48" s="1179"/>
      <c r="M48" s="7" t="s">
        <v>331</v>
      </c>
      <c r="N48" s="7" t="s">
        <v>330</v>
      </c>
    </row>
    <row r="49" spans="1:19" ht="13.5" thickBot="1" x14ac:dyDescent="0.25">
      <c r="A49" s="1218"/>
      <c r="B49" s="1219" t="s">
        <v>33</v>
      </c>
      <c r="C49" s="848"/>
      <c r="D49" s="848"/>
      <c r="E49" s="848"/>
      <c r="F49" s="848"/>
      <c r="G49" s="848"/>
      <c r="H49" s="1220">
        <f>(1-SIN(H48*PI()/180))/(1+SIN(H48*PI()/180))</f>
        <v>0.52786404500042061</v>
      </c>
      <c r="I49" s="848"/>
      <c r="J49" s="848"/>
      <c r="K49" s="1221" t="s">
        <v>2397</v>
      </c>
      <c r="L49" s="91"/>
    </row>
    <row r="50" spans="1:19" x14ac:dyDescent="0.2">
      <c r="A50" s="827"/>
      <c r="B50" s="827"/>
      <c r="C50" s="827"/>
      <c r="D50" s="827"/>
      <c r="E50" s="827"/>
      <c r="F50" s="827"/>
      <c r="G50" s="827"/>
      <c r="H50" s="827"/>
      <c r="I50" s="827"/>
      <c r="J50" s="827"/>
      <c r="K50" s="827"/>
    </row>
    <row r="51" spans="1:19" x14ac:dyDescent="0.2">
      <c r="A51" s="827"/>
      <c r="B51" s="1222" t="s">
        <v>34</v>
      </c>
      <c r="C51" s="827"/>
      <c r="D51" s="827"/>
      <c r="E51" s="827"/>
      <c r="F51" s="827"/>
      <c r="G51" s="827"/>
      <c r="H51" s="1223">
        <f>'Struct2(Barrel)'!F42</f>
        <v>414000</v>
      </c>
      <c r="I51" s="1222" t="s">
        <v>35</v>
      </c>
      <c r="J51" s="1224">
        <f>H51/6.895</f>
        <v>60043.509789702686</v>
      </c>
      <c r="K51" s="827" t="s">
        <v>413</v>
      </c>
    </row>
    <row r="52" spans="1:19" x14ac:dyDescent="0.2">
      <c r="A52" s="827"/>
      <c r="B52" s="1222" t="s">
        <v>36</v>
      </c>
      <c r="C52" s="827"/>
      <c r="D52" s="827"/>
      <c r="E52" s="827"/>
      <c r="F52" s="827"/>
      <c r="G52" s="827"/>
      <c r="H52" s="1225">
        <f>'Struct2(Barrel)'!F43</f>
        <v>22000</v>
      </c>
      <c r="I52" s="1222" t="s">
        <v>35</v>
      </c>
      <c r="J52" s="1224">
        <f>H52/6.895</f>
        <v>3190.7179115300946</v>
      </c>
      <c r="K52" s="878" t="s">
        <v>413</v>
      </c>
      <c r="L52" s="29"/>
      <c r="N52" s="29"/>
    </row>
    <row r="53" spans="1:19" x14ac:dyDescent="0.2">
      <c r="A53" s="827"/>
      <c r="B53" s="827"/>
      <c r="C53" s="827"/>
      <c r="D53" s="827"/>
      <c r="E53" s="827"/>
      <c r="F53" s="827"/>
      <c r="G53" s="827"/>
      <c r="H53" s="827"/>
      <c r="I53" s="827"/>
      <c r="J53" s="1224"/>
      <c r="K53" s="827"/>
    </row>
    <row r="54" spans="1:19" x14ac:dyDescent="0.2">
      <c r="A54" s="827"/>
      <c r="B54" s="1222" t="s">
        <v>348</v>
      </c>
      <c r="C54" s="827"/>
      <c r="D54" s="827"/>
      <c r="E54" s="827"/>
      <c r="F54" s="827"/>
      <c r="G54" s="1226"/>
      <c r="H54" s="999">
        <f>0.45*H51</f>
        <v>186300</v>
      </c>
      <c r="I54" s="1222" t="s">
        <v>35</v>
      </c>
      <c r="J54" s="1224"/>
      <c r="K54" s="827"/>
      <c r="M54" s="356" t="s">
        <v>1958</v>
      </c>
      <c r="N54" s="133"/>
      <c r="O54" s="133" t="s">
        <v>334</v>
      </c>
      <c r="P54" s="133">
        <f>'Basin (RS)'!F11</f>
        <v>1</v>
      </c>
      <c r="Q54" s="133" t="s">
        <v>342</v>
      </c>
    </row>
    <row r="55" spans="1:19" x14ac:dyDescent="0.2">
      <c r="A55" s="827"/>
      <c r="B55" s="1222" t="s">
        <v>327</v>
      </c>
      <c r="C55" s="827"/>
      <c r="D55" s="827"/>
      <c r="E55" s="827"/>
      <c r="F55" s="1227"/>
      <c r="G55" s="1222"/>
      <c r="H55" s="999">
        <f>0.4*H52</f>
        <v>8800</v>
      </c>
      <c r="I55" s="1222" t="s">
        <v>35</v>
      </c>
      <c r="J55" s="1224"/>
      <c r="K55" s="827"/>
      <c r="M55" s="133" t="s">
        <v>335</v>
      </c>
      <c r="N55" s="133"/>
      <c r="O55" s="356" t="s">
        <v>1963</v>
      </c>
      <c r="P55" s="133">
        <f>'Basin (RS)'!F13</f>
        <v>1.5</v>
      </c>
      <c r="Q55" s="133" t="s">
        <v>24</v>
      </c>
    </row>
    <row r="56" spans="1:19" x14ac:dyDescent="0.2">
      <c r="A56" s="827"/>
      <c r="B56" s="827"/>
      <c r="C56" s="827"/>
      <c r="D56" s="827"/>
      <c r="E56" s="827"/>
      <c r="F56" s="827"/>
      <c r="G56" s="827"/>
      <c r="H56" s="827"/>
      <c r="I56" s="827"/>
      <c r="J56" s="1224"/>
      <c r="K56" s="827"/>
      <c r="M56" s="133" t="s">
        <v>415</v>
      </c>
      <c r="N56" s="133"/>
      <c r="O56" s="133" t="s">
        <v>416</v>
      </c>
      <c r="P56" s="133">
        <f>'Basin (RS)'!F19</f>
        <v>0.15</v>
      </c>
      <c r="Q56" s="133" t="s">
        <v>24</v>
      </c>
    </row>
    <row r="57" spans="1:19" x14ac:dyDescent="0.2">
      <c r="A57" s="827"/>
      <c r="B57" s="1222" t="s">
        <v>328</v>
      </c>
      <c r="C57" s="827"/>
      <c r="D57" s="827"/>
      <c r="E57" s="827"/>
      <c r="F57" s="1227"/>
      <c r="G57" s="1222"/>
      <c r="H57" s="999">
        <f>2.89*SQRT($H$52)</f>
        <v>428.65627255412932</v>
      </c>
      <c r="I57" s="1222" t="s">
        <v>35</v>
      </c>
      <c r="J57" s="1224"/>
      <c r="K57" s="827"/>
      <c r="M57" s="133" t="s">
        <v>336</v>
      </c>
      <c r="N57" s="133"/>
      <c r="O57" s="133" t="s">
        <v>337</v>
      </c>
      <c r="P57" s="133">
        <v>0.4</v>
      </c>
      <c r="Q57" s="133" t="s">
        <v>24</v>
      </c>
    </row>
    <row r="58" spans="1:19" x14ac:dyDescent="0.2">
      <c r="A58" s="827"/>
      <c r="B58" s="827"/>
      <c r="C58" s="827"/>
      <c r="D58" s="827"/>
      <c r="E58" s="827"/>
      <c r="F58" s="827"/>
      <c r="G58" s="827"/>
      <c r="H58" s="827"/>
      <c r="I58" s="827"/>
      <c r="J58" s="1224"/>
      <c r="K58" s="827"/>
      <c r="M58" s="134" t="s">
        <v>338</v>
      </c>
      <c r="N58" s="133"/>
      <c r="O58" s="133" t="s">
        <v>339</v>
      </c>
      <c r="P58" s="133">
        <f>'Basin (RS)'!F22</f>
        <v>8</v>
      </c>
      <c r="Q58" s="133" t="s">
        <v>32</v>
      </c>
    </row>
    <row r="59" spans="1:19" x14ac:dyDescent="0.2">
      <c r="A59" s="827"/>
      <c r="B59" s="1222" t="s">
        <v>329</v>
      </c>
      <c r="C59" s="827"/>
      <c r="D59" s="827"/>
      <c r="E59" s="827"/>
      <c r="F59" s="1227"/>
      <c r="G59" s="1222"/>
      <c r="H59" s="999">
        <f>113.4*SQRT($H$52)</f>
        <v>16819.938168732966</v>
      </c>
      <c r="I59" s="1222" t="s">
        <v>37</v>
      </c>
      <c r="J59" s="1224"/>
      <c r="K59" s="827"/>
      <c r="M59" s="135" t="s">
        <v>340</v>
      </c>
      <c r="N59" s="133"/>
      <c r="O59" s="133" t="s">
        <v>341</v>
      </c>
      <c r="P59" s="133"/>
      <c r="Q59" s="133" t="s">
        <v>24</v>
      </c>
    </row>
    <row r="60" spans="1:19" x14ac:dyDescent="0.2">
      <c r="A60" s="827"/>
      <c r="B60" s="1222" t="s">
        <v>38</v>
      </c>
      <c r="C60" s="827"/>
      <c r="D60" s="827"/>
      <c r="E60" s="827"/>
      <c r="F60" s="1222" t="s">
        <v>39</v>
      </c>
      <c r="G60" s="827"/>
      <c r="H60" s="997">
        <v>1103</v>
      </c>
      <c r="I60" s="1222" t="s">
        <v>227</v>
      </c>
      <c r="J60" s="827"/>
      <c r="K60" s="827"/>
      <c r="M60" s="133" t="s">
        <v>343</v>
      </c>
      <c r="N60" s="133"/>
      <c r="O60" s="133" t="s">
        <v>204</v>
      </c>
      <c r="P60" s="165">
        <f>H22+H23</f>
        <v>13.5</v>
      </c>
      <c r="Q60" s="133" t="s">
        <v>24</v>
      </c>
    </row>
    <row r="61" spans="1:19" x14ac:dyDescent="0.2">
      <c r="A61" s="827"/>
      <c r="B61" s="827"/>
      <c r="C61" s="827"/>
      <c r="D61" s="827"/>
      <c r="E61" s="827"/>
      <c r="F61" s="827"/>
      <c r="G61" s="827"/>
      <c r="H61" s="827"/>
      <c r="I61" s="827"/>
      <c r="J61" s="827"/>
      <c r="K61" s="827"/>
    </row>
    <row r="62" spans="1:19" x14ac:dyDescent="0.2">
      <c r="A62" s="827"/>
      <c r="B62" s="1222" t="s">
        <v>40</v>
      </c>
      <c r="C62" s="827"/>
      <c r="D62" s="827"/>
      <c r="E62" s="827"/>
      <c r="F62" s="827"/>
      <c r="G62" s="827"/>
      <c r="H62" s="1225">
        <v>196000000</v>
      </c>
      <c r="I62" s="1222" t="s">
        <v>35</v>
      </c>
      <c r="J62" s="827"/>
      <c r="K62" s="827"/>
      <c r="M62" s="133" t="s">
        <v>332</v>
      </c>
      <c r="N62" s="133"/>
      <c r="O62" s="133"/>
      <c r="P62" s="133"/>
    </row>
    <row r="63" spans="1:19" x14ac:dyDescent="0.2">
      <c r="A63" s="827"/>
      <c r="B63" s="1222" t="s">
        <v>41</v>
      </c>
      <c r="C63" s="827"/>
      <c r="D63" s="827"/>
      <c r="E63" s="827"/>
      <c r="F63" s="827"/>
      <c r="G63" s="827"/>
      <c r="H63" s="1225">
        <v>19800000</v>
      </c>
      <c r="I63" s="1222" t="s">
        <v>35</v>
      </c>
      <c r="J63" s="827"/>
      <c r="K63" s="827"/>
      <c r="M63" s="133"/>
      <c r="N63" s="356" t="s">
        <v>1964</v>
      </c>
      <c r="O63" s="133"/>
      <c r="P63" s="133"/>
      <c r="Q63" s="356" t="s">
        <v>218</v>
      </c>
    </row>
    <row r="64" spans="1:19" x14ac:dyDescent="0.2">
      <c r="A64" s="827"/>
      <c r="B64" s="827"/>
      <c r="C64" s="827"/>
      <c r="D64" s="827"/>
      <c r="E64" s="827"/>
      <c r="F64" s="827"/>
      <c r="G64" s="827"/>
      <c r="H64" s="1228"/>
      <c r="I64" s="827"/>
      <c r="J64" s="827"/>
      <c r="K64" s="827"/>
      <c r="M64" s="356" t="s">
        <v>2364</v>
      </c>
      <c r="N64" s="29">
        <v>0</v>
      </c>
      <c r="O64" s="165">
        <f>P54*(P55+2*P56)+(P54-1)*P57</f>
        <v>1.8</v>
      </c>
      <c r="P64" s="357" t="s">
        <v>24</v>
      </c>
      <c r="Q64" s="165">
        <f>H8-H12</f>
        <v>6</v>
      </c>
      <c r="R64" s="357" t="s">
        <v>24</v>
      </c>
      <c r="S64" s="517" t="s">
        <v>2366</v>
      </c>
    </row>
    <row r="65" spans="1:19" x14ac:dyDescent="0.2">
      <c r="A65" s="827"/>
      <c r="B65" s="1222" t="s">
        <v>42</v>
      </c>
      <c r="C65" s="827"/>
      <c r="D65" s="827"/>
      <c r="E65" s="827"/>
      <c r="F65" s="827"/>
      <c r="G65" s="827"/>
      <c r="H65" s="1111">
        <f>'Struct2(Barrel)'!F50</f>
        <v>75</v>
      </c>
      <c r="I65" s="1222" t="s">
        <v>43</v>
      </c>
      <c r="J65" s="827"/>
      <c r="K65" s="827"/>
      <c r="M65" s="356" t="s">
        <v>2365</v>
      </c>
      <c r="N65" s="29">
        <f>C33</f>
        <v>3.45</v>
      </c>
      <c r="O65" s="135">
        <f>(N65-0.3)*S65+O64</f>
        <v>2.602547770700637</v>
      </c>
      <c r="P65" s="357" t="s">
        <v>24</v>
      </c>
      <c r="Q65" s="165">
        <f>F33</f>
        <v>5.75</v>
      </c>
      <c r="R65" s="357" t="s">
        <v>24</v>
      </c>
      <c r="S65" s="518">
        <f>(O68-O64)/(N68-H23)</f>
        <v>0.25477707006369427</v>
      </c>
    </row>
    <row r="66" spans="1:19" x14ac:dyDescent="0.2">
      <c r="A66" s="827"/>
      <c r="B66" s="827"/>
      <c r="C66" s="827"/>
      <c r="D66" s="827"/>
      <c r="E66" s="827"/>
      <c r="F66" s="827"/>
      <c r="G66" s="827"/>
      <c r="H66" s="827"/>
      <c r="I66" s="827"/>
      <c r="J66" s="827"/>
      <c r="K66" s="827"/>
      <c r="M66" s="356" t="s">
        <v>1970</v>
      </c>
      <c r="N66" s="29">
        <f>C34</f>
        <v>7.45</v>
      </c>
      <c r="O66" s="135">
        <f>(N66-0.3)*S65+O64</f>
        <v>3.6216560509554139</v>
      </c>
      <c r="P66" s="357" t="s">
        <v>24</v>
      </c>
      <c r="Q66" s="165">
        <f>F34</f>
        <v>5.75</v>
      </c>
      <c r="R66" s="357" t="s">
        <v>24</v>
      </c>
    </row>
    <row r="67" spans="1:19" x14ac:dyDescent="0.2">
      <c r="A67" s="827"/>
      <c r="B67" s="1222" t="s">
        <v>44</v>
      </c>
      <c r="C67" s="827"/>
      <c r="D67" s="827"/>
      <c r="E67" s="827"/>
      <c r="F67" s="827"/>
      <c r="G67" s="1229">
        <f>H62/H63</f>
        <v>9.8989898989898997</v>
      </c>
      <c r="H67" s="827"/>
      <c r="I67" s="827"/>
      <c r="J67" s="827"/>
      <c r="K67" s="827"/>
      <c r="M67" s="356" t="s">
        <v>2361</v>
      </c>
      <c r="N67" s="29">
        <f>C35</f>
        <v>11.45</v>
      </c>
      <c r="O67" s="135">
        <f>(N67-0.3)*S65+O64</f>
        <v>4.6407643312101907</v>
      </c>
      <c r="P67" s="357" t="s">
        <v>24</v>
      </c>
      <c r="Q67" s="165">
        <f>IF((H8-C35/H20-H13)&lt;=(H10-H13),(H10-H13),(H8-C35/H20-H13))</f>
        <v>5.75</v>
      </c>
      <c r="R67" s="357" t="s">
        <v>24</v>
      </c>
    </row>
    <row r="68" spans="1:19" x14ac:dyDescent="0.2">
      <c r="A68" s="827"/>
      <c r="B68" s="1222" t="s">
        <v>45</v>
      </c>
      <c r="C68" s="827"/>
      <c r="D68" s="827"/>
      <c r="E68" s="827"/>
      <c r="F68" s="827"/>
      <c r="G68" s="1230">
        <f>H54/H55</f>
        <v>21.170454545454547</v>
      </c>
      <c r="H68" s="827"/>
      <c r="I68" s="827"/>
      <c r="J68" s="827"/>
      <c r="K68" s="827"/>
      <c r="L68" s="516"/>
      <c r="M68" s="356" t="s">
        <v>1972</v>
      </c>
      <c r="N68" s="29">
        <f>C36</f>
        <v>16.2</v>
      </c>
      <c r="O68" s="508">
        <f>'Basin (RS)'!F233</f>
        <v>5.8</v>
      </c>
      <c r="P68" s="357" t="s">
        <v>24</v>
      </c>
      <c r="Q68" s="165">
        <f>IF((H8-C36/H20-H13)&lt;=(H10-H13),(H10-H13),(H8-C36/H20-H13))</f>
        <v>5.75</v>
      </c>
      <c r="R68" s="357" t="s">
        <v>24</v>
      </c>
    </row>
    <row r="69" spans="1:19" x14ac:dyDescent="0.2">
      <c r="A69" s="827"/>
      <c r="B69" s="1222" t="s">
        <v>46</v>
      </c>
      <c r="C69" s="827"/>
      <c r="D69" s="827"/>
      <c r="E69" s="827"/>
      <c r="F69" s="827"/>
      <c r="G69" s="998">
        <f>G67/(G67+G68)</f>
        <v>0.31860852602917872</v>
      </c>
      <c r="H69" s="827"/>
      <c r="I69" s="827"/>
      <c r="J69" s="827"/>
      <c r="K69" s="827"/>
      <c r="M69" s="514"/>
      <c r="N69" s="515"/>
      <c r="O69" s="515"/>
      <c r="P69" s="514"/>
      <c r="Q69" s="515"/>
      <c r="R69" s="514"/>
    </row>
    <row r="70" spans="1:19" x14ac:dyDescent="0.2">
      <c r="A70" s="827"/>
      <c r="B70" s="1222" t="s">
        <v>47</v>
      </c>
      <c r="C70" s="827"/>
      <c r="D70" s="827"/>
      <c r="E70" s="827"/>
      <c r="F70" s="827"/>
      <c r="G70" s="998">
        <f>1-G69/3</f>
        <v>0.89379715799027371</v>
      </c>
      <c r="H70" s="827"/>
      <c r="I70" s="827"/>
      <c r="J70" s="827"/>
      <c r="K70" s="827"/>
      <c r="M70" s="92"/>
      <c r="N70" s="92"/>
      <c r="O70" s="92"/>
      <c r="P70" s="92"/>
      <c r="Q70" s="92"/>
      <c r="R70" s="92"/>
    </row>
    <row r="71" spans="1:19" ht="13.5" thickBot="1" x14ac:dyDescent="0.25">
      <c r="A71" s="827"/>
      <c r="B71" s="1222" t="s">
        <v>48</v>
      </c>
      <c r="C71" s="827"/>
      <c r="D71" s="827"/>
      <c r="E71" s="827"/>
      <c r="F71" s="827"/>
      <c r="G71" s="999">
        <f>H55*G70*G69/2</f>
        <v>1252.9941383359403</v>
      </c>
      <c r="H71" s="1222" t="s">
        <v>35</v>
      </c>
      <c r="I71" s="827"/>
      <c r="J71" s="827"/>
      <c r="K71" s="827"/>
      <c r="M71" s="357"/>
      <c r="N71" s="357"/>
      <c r="O71" s="357"/>
      <c r="P71" s="392"/>
      <c r="Q71" s="357"/>
      <c r="R71" s="357"/>
    </row>
    <row r="72" spans="1:19" x14ac:dyDescent="0.2">
      <c r="A72" s="1175"/>
      <c r="B72" s="1176"/>
      <c r="C72" s="1176"/>
      <c r="D72" s="1176"/>
      <c r="E72" s="1176"/>
      <c r="F72" s="1176"/>
      <c r="G72" s="1176"/>
      <c r="H72" s="1176"/>
      <c r="I72" s="1176"/>
      <c r="J72" s="1176"/>
      <c r="K72" s="1177"/>
      <c r="M72" s="357"/>
      <c r="N72" s="357"/>
      <c r="O72" s="357"/>
      <c r="P72" s="357"/>
      <c r="Q72" s="357"/>
      <c r="R72" s="357"/>
    </row>
    <row r="73" spans="1:19" x14ac:dyDescent="0.2">
      <c r="A73" s="1180"/>
      <c r="B73" s="845"/>
      <c r="C73" s="845"/>
      <c r="D73" s="845"/>
      <c r="E73" s="845"/>
      <c r="F73" s="845"/>
      <c r="G73" s="845"/>
      <c r="H73" s="845"/>
      <c r="I73" s="845"/>
      <c r="J73" s="845"/>
      <c r="K73" s="1179"/>
      <c r="M73" s="357"/>
      <c r="N73" s="357"/>
      <c r="O73" s="357"/>
      <c r="P73" s="357"/>
      <c r="Q73" s="357"/>
      <c r="R73" s="357"/>
    </row>
    <row r="74" spans="1:19" x14ac:dyDescent="0.2">
      <c r="A74" s="1178"/>
      <c r="B74" s="845"/>
      <c r="C74" s="1187"/>
      <c r="D74" s="845"/>
      <c r="E74" s="1187"/>
      <c r="F74" s="845"/>
      <c r="G74" s="1187"/>
      <c r="H74" s="845"/>
      <c r="I74" s="1187"/>
      <c r="J74" s="845"/>
      <c r="K74" s="1179"/>
      <c r="M74" s="357"/>
      <c r="N74" s="357"/>
      <c r="O74" s="357"/>
      <c r="P74" s="357"/>
      <c r="Q74" s="357"/>
      <c r="R74" s="357"/>
    </row>
    <row r="75" spans="1:19" x14ac:dyDescent="0.2">
      <c r="A75" s="1178"/>
      <c r="B75" s="845"/>
      <c r="C75" s="1187"/>
      <c r="D75" s="845"/>
      <c r="E75" s="1187"/>
      <c r="F75" s="845"/>
      <c r="G75" s="1187"/>
      <c r="H75" s="845"/>
      <c r="I75" s="1187"/>
      <c r="J75" s="845"/>
      <c r="K75" s="1179"/>
      <c r="M75" s="357"/>
      <c r="N75" s="357"/>
      <c r="O75" s="357"/>
      <c r="P75" s="357"/>
      <c r="Q75" s="357"/>
      <c r="R75" s="357"/>
    </row>
    <row r="76" spans="1:19" x14ac:dyDescent="0.2">
      <c r="A76" s="1178"/>
      <c r="B76" s="845"/>
      <c r="C76" s="1187" t="s">
        <v>49</v>
      </c>
      <c r="D76" s="845"/>
      <c r="E76" s="1187"/>
      <c r="F76" s="845"/>
      <c r="G76" s="1187"/>
      <c r="H76" s="1187"/>
      <c r="I76" s="1187"/>
      <c r="J76" s="845"/>
      <c r="K76" s="1179"/>
      <c r="M76" s="357"/>
      <c r="N76" s="357"/>
      <c r="O76" s="357"/>
      <c r="P76" s="357"/>
      <c r="Q76" s="357"/>
      <c r="R76" s="357"/>
    </row>
    <row r="77" spans="1:19" x14ac:dyDescent="0.2">
      <c r="A77" s="1178"/>
      <c r="B77" s="845"/>
      <c r="C77" s="1187" t="s">
        <v>49</v>
      </c>
      <c r="D77" s="845"/>
      <c r="E77" s="1187"/>
      <c r="F77" s="845"/>
      <c r="G77" s="1187"/>
      <c r="H77" s="845"/>
      <c r="I77" s="1187"/>
      <c r="J77" s="1231"/>
      <c r="K77" s="1179"/>
      <c r="M77" s="357"/>
      <c r="N77" s="357"/>
      <c r="O77" s="357"/>
      <c r="P77" s="357"/>
      <c r="Q77" s="357"/>
      <c r="R77" s="357"/>
    </row>
    <row r="78" spans="1:19" x14ac:dyDescent="0.2">
      <c r="A78" s="1178"/>
      <c r="B78" s="845"/>
      <c r="C78" s="1187" t="s">
        <v>49</v>
      </c>
      <c r="D78" s="845"/>
      <c r="E78" s="1187"/>
      <c r="F78" s="845"/>
      <c r="G78" s="1187"/>
      <c r="H78" s="845"/>
      <c r="I78" s="1187"/>
      <c r="J78" s="1187"/>
      <c r="K78" s="1179"/>
      <c r="M78" s="357"/>
      <c r="N78" s="357"/>
      <c r="O78" s="357"/>
      <c r="P78" s="357"/>
      <c r="Q78" s="357"/>
      <c r="R78" s="357"/>
    </row>
    <row r="79" spans="1:19" ht="13.5" x14ac:dyDescent="0.25">
      <c r="A79" s="1178"/>
      <c r="B79" s="1232">
        <f>O64</f>
        <v>1.8</v>
      </c>
      <c r="C79" s="1187" t="s">
        <v>49</v>
      </c>
      <c r="D79" s="1233">
        <f>H33</f>
        <v>2.6518518518518519</v>
      </c>
      <c r="E79" s="1187"/>
      <c r="F79" s="1234">
        <f>H34</f>
        <v>3.6395061728395062</v>
      </c>
      <c r="G79" s="845"/>
      <c r="H79" s="1235"/>
      <c r="I79" s="1236">
        <f>H35</f>
        <v>4.6271604938271604</v>
      </c>
      <c r="J79" s="1231"/>
      <c r="K79" s="1237">
        <f>O68</f>
        <v>5.8</v>
      </c>
      <c r="M79" s="357"/>
      <c r="N79" s="357"/>
      <c r="O79" s="357"/>
      <c r="P79" s="357"/>
      <c r="Q79" s="357"/>
      <c r="R79" s="357"/>
    </row>
    <row r="80" spans="1:19" x14ac:dyDescent="0.2">
      <c r="A80" s="1178"/>
      <c r="B80" s="1187"/>
      <c r="C80" s="1187"/>
      <c r="D80" s="1187"/>
      <c r="E80" s="845"/>
      <c r="F80" s="845"/>
      <c r="G80" s="1187"/>
      <c r="H80" s="845"/>
      <c r="I80" s="1187"/>
      <c r="J80" s="1231"/>
      <c r="K80" s="1179"/>
    </row>
    <row r="81" spans="1:13" x14ac:dyDescent="0.2">
      <c r="A81" s="1178"/>
      <c r="B81" s="1187"/>
      <c r="C81" s="1187"/>
      <c r="D81" s="845"/>
      <c r="E81" s="1187"/>
      <c r="F81" s="845"/>
      <c r="G81" s="1187"/>
      <c r="H81" s="845"/>
      <c r="I81" s="1187"/>
      <c r="J81" s="1231"/>
      <c r="K81" s="1179"/>
    </row>
    <row r="82" spans="1:13" x14ac:dyDescent="0.2">
      <c r="A82" s="1178"/>
      <c r="B82" s="1187"/>
      <c r="C82" s="1187"/>
      <c r="D82" s="845"/>
      <c r="E82" s="1187"/>
      <c r="F82" s="845"/>
      <c r="G82" s="1187"/>
      <c r="H82" s="845"/>
      <c r="I82" s="1187"/>
      <c r="J82" s="1231"/>
      <c r="K82" s="1179"/>
    </row>
    <row r="83" spans="1:13" x14ac:dyDescent="0.2">
      <c r="A83" s="1178"/>
      <c r="B83" s="1187"/>
      <c r="C83" s="1187"/>
      <c r="D83" s="845"/>
      <c r="E83" s="1187"/>
      <c r="F83" s="845"/>
      <c r="G83" s="1187"/>
      <c r="H83" s="845"/>
      <c r="I83" s="1187"/>
      <c r="J83" s="1231"/>
      <c r="K83" s="1179"/>
    </row>
    <row r="84" spans="1:13" x14ac:dyDescent="0.2">
      <c r="A84" s="1178"/>
      <c r="B84" s="1216"/>
      <c r="C84" s="1187"/>
      <c r="D84" s="845"/>
      <c r="E84" s="1187"/>
      <c r="F84" s="845"/>
      <c r="G84" s="1187"/>
      <c r="H84" s="845"/>
      <c r="I84" s="1187"/>
      <c r="J84" s="1238"/>
      <c r="K84" s="1239"/>
    </row>
    <row r="85" spans="1:13" x14ac:dyDescent="0.2">
      <c r="A85" s="1178"/>
      <c r="B85" s="1187"/>
      <c r="C85" s="845"/>
      <c r="D85" s="845"/>
      <c r="E85" s="1187"/>
      <c r="F85" s="845"/>
      <c r="G85" s="1187"/>
      <c r="H85" s="845"/>
      <c r="I85" s="1187"/>
      <c r="J85" s="1231"/>
      <c r="K85" s="1179"/>
    </row>
    <row r="86" spans="1:13" x14ac:dyDescent="0.2">
      <c r="A86" s="1178"/>
      <c r="B86" s="1187"/>
      <c r="C86" s="1187"/>
      <c r="D86" s="845"/>
      <c r="E86" s="905"/>
      <c r="F86" s="845"/>
      <c r="G86" s="1187"/>
      <c r="H86" s="845"/>
      <c r="I86" s="1187"/>
      <c r="J86" s="1231"/>
      <c r="K86" s="1179"/>
    </row>
    <row r="87" spans="1:13" x14ac:dyDescent="0.2">
      <c r="A87" s="1178"/>
      <c r="B87" s="1240">
        <f>H8</f>
        <v>4.6500000000000004</v>
      </c>
      <c r="C87" s="975">
        <f>H9</f>
        <v>4.4833333333333334</v>
      </c>
      <c r="D87" s="1187" t="s">
        <v>2362</v>
      </c>
      <c r="E87" s="845"/>
      <c r="F87" s="845"/>
      <c r="G87" s="1187"/>
      <c r="H87" s="845"/>
      <c r="I87" s="1187"/>
      <c r="J87" s="1231"/>
      <c r="K87" s="1179"/>
    </row>
    <row r="88" spans="1:13" x14ac:dyDescent="0.2">
      <c r="A88" s="1178"/>
      <c r="B88" s="1187"/>
      <c r="C88" s="1187"/>
      <c r="D88" s="1187"/>
      <c r="E88" s="845"/>
      <c r="F88" s="845"/>
      <c r="G88" s="1187"/>
      <c r="H88" s="845"/>
      <c r="I88" s="1187"/>
      <c r="J88" s="1231"/>
      <c r="K88" s="1179"/>
    </row>
    <row r="89" spans="1:13" x14ac:dyDescent="0.2">
      <c r="A89" s="1178"/>
      <c r="B89" s="845"/>
      <c r="C89" s="1187"/>
      <c r="D89" s="845"/>
      <c r="E89" s="1236"/>
      <c r="F89" s="1187"/>
      <c r="G89" s="845"/>
      <c r="H89" s="845"/>
      <c r="I89" s="1187"/>
      <c r="J89" s="1231"/>
      <c r="K89" s="1179"/>
    </row>
    <row r="90" spans="1:13" x14ac:dyDescent="0.2">
      <c r="A90" s="1178"/>
      <c r="B90" s="845"/>
      <c r="C90" s="1187"/>
      <c r="D90" s="845"/>
      <c r="E90" s="1187"/>
      <c r="F90" s="975"/>
      <c r="G90" s="1241">
        <f>H10</f>
        <v>3.5</v>
      </c>
      <c r="H90" s="845" t="s">
        <v>2362</v>
      </c>
      <c r="I90" s="1187"/>
      <c r="J90" s="905">
        <f>H10</f>
        <v>3.5</v>
      </c>
      <c r="K90" s="1179" t="s">
        <v>2362</v>
      </c>
    </row>
    <row r="91" spans="1:13" x14ac:dyDescent="0.2">
      <c r="A91" s="1178"/>
      <c r="B91" s="845"/>
      <c r="C91" s="1187"/>
      <c r="D91" s="845"/>
      <c r="E91" s="1187"/>
      <c r="F91" s="845"/>
      <c r="G91" s="1187"/>
      <c r="H91" s="845"/>
      <c r="I91" s="1187"/>
      <c r="J91" s="1187"/>
      <c r="K91" s="1179"/>
    </row>
    <row r="92" spans="1:13" x14ac:dyDescent="0.2">
      <c r="A92" s="1178"/>
      <c r="B92" s="845"/>
      <c r="C92" s="1238"/>
      <c r="D92" s="845"/>
      <c r="E92" s="1187"/>
      <c r="F92" s="845"/>
      <c r="G92" s="1187"/>
      <c r="H92" s="1187"/>
      <c r="I92" s="1236"/>
      <c r="J92" s="1235"/>
      <c r="K92" s="1179"/>
      <c r="M92" s="29"/>
    </row>
    <row r="93" spans="1:13" ht="13.5" x14ac:dyDescent="0.25">
      <c r="A93" s="1178"/>
      <c r="B93" s="1232">
        <f>F32</f>
        <v>6</v>
      </c>
      <c r="C93" s="1187"/>
      <c r="D93" s="845"/>
      <c r="E93" s="1236">
        <f>F33</f>
        <v>5.75</v>
      </c>
      <c r="F93" s="845"/>
      <c r="G93" s="1236">
        <f>F35</f>
        <v>5.75</v>
      </c>
      <c r="H93" s="845"/>
      <c r="I93" s="1236">
        <f>F36</f>
        <v>5.75</v>
      </c>
      <c r="J93" s="975"/>
      <c r="K93" s="1179"/>
    </row>
    <row r="94" spans="1:13" ht="13.5" x14ac:dyDescent="0.25">
      <c r="A94" s="1178"/>
      <c r="B94" s="845"/>
      <c r="C94" s="1187" t="s">
        <v>49</v>
      </c>
      <c r="D94" s="1171"/>
      <c r="E94" s="1187"/>
      <c r="F94" s="1171"/>
      <c r="G94" s="1187"/>
      <c r="H94" s="1171"/>
      <c r="I94" s="1187"/>
      <c r="J94" s="845"/>
      <c r="K94" s="1242">
        <f>F36</f>
        <v>5.75</v>
      </c>
    </row>
    <row r="95" spans="1:13" x14ac:dyDescent="0.2">
      <c r="A95" s="1178"/>
      <c r="B95" s="845"/>
      <c r="C95" s="1187"/>
      <c r="D95" s="845"/>
      <c r="E95" s="1187"/>
      <c r="F95" s="845"/>
      <c r="G95" s="1187"/>
      <c r="H95" s="845"/>
      <c r="I95" s="1187"/>
      <c r="J95" s="845"/>
      <c r="K95" s="1179"/>
    </row>
    <row r="96" spans="1:13" x14ac:dyDescent="0.2">
      <c r="A96" s="1178"/>
      <c r="B96" s="845"/>
      <c r="C96" s="1187"/>
      <c r="D96" s="975">
        <f>H12</f>
        <v>-1.3499999999999999</v>
      </c>
      <c r="E96" s="1187" t="s">
        <v>2362</v>
      </c>
      <c r="F96" s="845"/>
      <c r="G96" s="1187"/>
      <c r="H96" s="845"/>
      <c r="I96" s="1187"/>
      <c r="J96" s="845"/>
      <c r="K96" s="1179"/>
    </row>
    <row r="97" spans="1:13" ht="13.5" x14ac:dyDescent="0.25">
      <c r="A97" s="1178"/>
      <c r="B97" s="1243">
        <f>G32</f>
        <v>750</v>
      </c>
      <c r="C97" s="1187" t="s">
        <v>43</v>
      </c>
      <c r="D97" s="845"/>
      <c r="E97" s="845"/>
      <c r="F97" s="845"/>
      <c r="G97" s="845"/>
      <c r="H97" s="845"/>
      <c r="I97" s="1187"/>
      <c r="J97" s="845"/>
      <c r="K97" s="1179"/>
    </row>
    <row r="98" spans="1:13" x14ac:dyDescent="0.2">
      <c r="A98" s="1178"/>
      <c r="B98" s="845"/>
      <c r="C98" s="1244"/>
      <c r="D98" s="1244"/>
      <c r="E98" s="905">
        <f>H13</f>
        <v>-2.25</v>
      </c>
      <c r="F98" s="1245" t="s">
        <v>2362</v>
      </c>
      <c r="G98" s="1246"/>
      <c r="H98" s="1236"/>
      <c r="I98" s="845"/>
      <c r="J98" s="975">
        <f>E98</f>
        <v>-2.25</v>
      </c>
      <c r="K98" s="1179" t="s">
        <v>2362</v>
      </c>
    </row>
    <row r="99" spans="1:13" ht="13.5" x14ac:dyDescent="0.25">
      <c r="A99" s="1178"/>
      <c r="B99" s="845"/>
      <c r="C99" s="845"/>
      <c r="D99" s="1247">
        <f>G33</f>
        <v>750</v>
      </c>
      <c r="E99" s="845"/>
      <c r="F99" s="812">
        <f>G34</f>
        <v>734.31372549019613</v>
      </c>
      <c r="G99" s="845"/>
      <c r="H99" s="1248"/>
      <c r="I99" s="1249">
        <f>G35</f>
        <v>718.62745098039215</v>
      </c>
      <c r="J99" s="1250">
        <f>G36</f>
        <v>700</v>
      </c>
      <c r="K99" s="1179"/>
      <c r="L99" s="6"/>
      <c r="M99" s="136"/>
    </row>
    <row r="100" spans="1:13" x14ac:dyDescent="0.2">
      <c r="A100" s="1178"/>
      <c r="B100" s="845"/>
      <c r="C100" s="845"/>
      <c r="D100" s="845"/>
      <c r="E100" s="845"/>
      <c r="F100" s="845"/>
      <c r="G100" s="845"/>
      <c r="H100" s="845"/>
      <c r="I100" s="845"/>
      <c r="J100" s="845"/>
      <c r="K100" s="1179"/>
    </row>
    <row r="101" spans="1:13" x14ac:dyDescent="0.2">
      <c r="A101" s="1180"/>
      <c r="B101" s="845"/>
      <c r="C101" s="1251">
        <f>H23</f>
        <v>0.5</v>
      </c>
      <c r="D101" s="845"/>
      <c r="E101" s="845"/>
      <c r="F101" s="845"/>
      <c r="G101" s="845"/>
      <c r="H101" s="845"/>
      <c r="I101" s="845"/>
      <c r="J101" s="845"/>
      <c r="K101" s="1179"/>
    </row>
    <row r="102" spans="1:13" ht="13.5" x14ac:dyDescent="0.25">
      <c r="A102" s="1178"/>
      <c r="B102" s="845"/>
      <c r="C102" s="845"/>
      <c r="D102" s="1252">
        <f>C33</f>
        <v>3.45</v>
      </c>
      <c r="E102" s="845"/>
      <c r="F102" s="1252">
        <f>C34</f>
        <v>7.45</v>
      </c>
      <c r="G102" s="975"/>
      <c r="H102" s="1253">
        <f>C35</f>
        <v>11.45</v>
      </c>
      <c r="I102" s="975"/>
      <c r="J102" s="1252">
        <f>C36</f>
        <v>16.2</v>
      </c>
      <c r="K102" s="1179"/>
    </row>
    <row r="103" spans="1:13" x14ac:dyDescent="0.2">
      <c r="A103" s="1178"/>
      <c r="B103" s="845"/>
      <c r="C103" s="1254" t="s">
        <v>283</v>
      </c>
      <c r="D103" s="1255" t="s">
        <v>284</v>
      </c>
      <c r="E103" s="845"/>
      <c r="F103" s="1255" t="s">
        <v>285</v>
      </c>
      <c r="G103" s="1255"/>
      <c r="H103" s="1255" t="s">
        <v>286</v>
      </c>
      <c r="I103" s="1256"/>
      <c r="J103" s="1257" t="s">
        <v>411</v>
      </c>
      <c r="K103" s="1179"/>
    </row>
    <row r="104" spans="1:13" x14ac:dyDescent="0.2">
      <c r="A104" s="1178"/>
      <c r="B104" s="845"/>
      <c r="C104" s="1258"/>
      <c r="D104" s="1259"/>
      <c r="E104" s="1260"/>
      <c r="F104" s="975"/>
      <c r="G104" s="1261"/>
      <c r="H104" s="845"/>
      <c r="I104" s="1261"/>
      <c r="J104" s="1241"/>
      <c r="K104" s="1179"/>
    </row>
    <row r="105" spans="1:13" x14ac:dyDescent="0.2">
      <c r="A105" s="1178"/>
      <c r="B105" s="845"/>
      <c r="C105" s="1258"/>
      <c r="D105" s="1259"/>
      <c r="E105" s="1255"/>
      <c r="F105" s="845"/>
      <c r="G105" s="1256"/>
      <c r="H105" s="845"/>
      <c r="I105" s="1256"/>
      <c r="J105" s="1262"/>
      <c r="K105" s="1179"/>
    </row>
    <row r="106" spans="1:13" x14ac:dyDescent="0.2">
      <c r="A106" s="1178"/>
      <c r="B106" s="845"/>
      <c r="C106" s="1183" t="s">
        <v>205</v>
      </c>
      <c r="D106" s="845"/>
      <c r="E106" s="845"/>
      <c r="F106" s="1263" t="s">
        <v>50</v>
      </c>
      <c r="G106" s="845"/>
      <c r="H106" s="845"/>
      <c r="I106" s="845"/>
      <c r="J106" s="1251" t="s">
        <v>205</v>
      </c>
      <c r="K106" s="1179"/>
    </row>
    <row r="107" spans="1:13" x14ac:dyDescent="0.2">
      <c r="A107" s="1178"/>
      <c r="B107" s="845"/>
      <c r="C107" s="1244"/>
      <c r="D107" s="1187"/>
      <c r="E107" s="845"/>
      <c r="F107" s="845"/>
      <c r="G107" s="845"/>
      <c r="H107" s="845"/>
      <c r="I107" s="1187"/>
      <c r="J107" s="1244"/>
      <c r="K107" s="1239"/>
    </row>
    <row r="108" spans="1:13" x14ac:dyDescent="0.2">
      <c r="A108" s="1178"/>
      <c r="B108" s="845"/>
      <c r="C108" s="1258"/>
      <c r="D108" s="1258"/>
      <c r="E108" s="845"/>
      <c r="F108" s="845"/>
      <c r="G108" s="845"/>
      <c r="H108" s="845"/>
      <c r="I108" s="1187"/>
      <c r="J108" s="1258"/>
      <c r="K108" s="1264"/>
    </row>
    <row r="109" spans="1:13" x14ac:dyDescent="0.2">
      <c r="A109" s="1178"/>
      <c r="B109" s="845"/>
      <c r="C109" s="1258"/>
      <c r="D109" s="1258"/>
      <c r="E109" s="845"/>
      <c r="F109" s="1161"/>
      <c r="G109" s="845"/>
      <c r="H109" s="845"/>
      <c r="I109" s="1187"/>
      <c r="J109" s="1258"/>
      <c r="K109" s="1264"/>
    </row>
    <row r="110" spans="1:13" x14ac:dyDescent="0.2">
      <c r="A110" s="1178"/>
      <c r="B110" s="845"/>
      <c r="C110" s="1258"/>
      <c r="D110" s="1258"/>
      <c r="E110" s="845"/>
      <c r="F110" s="845"/>
      <c r="G110" s="845"/>
      <c r="H110" s="845"/>
      <c r="I110" s="845"/>
      <c r="J110" s="1258"/>
      <c r="K110" s="1264"/>
    </row>
    <row r="111" spans="1:13" x14ac:dyDescent="0.2">
      <c r="A111" s="1178"/>
      <c r="B111" s="845"/>
      <c r="C111" s="1258"/>
      <c r="D111" s="1258"/>
      <c r="E111" s="845"/>
      <c r="F111" s="845"/>
      <c r="G111" s="845"/>
      <c r="H111" s="845"/>
      <c r="I111" s="1187"/>
      <c r="J111" s="1258"/>
      <c r="K111" s="1264"/>
    </row>
    <row r="112" spans="1:13" x14ac:dyDescent="0.2">
      <c r="A112" s="1178"/>
      <c r="B112" s="845"/>
      <c r="C112" s="1258"/>
      <c r="D112" s="1258"/>
      <c r="E112" s="845"/>
      <c r="F112" s="845"/>
      <c r="G112" s="845"/>
      <c r="H112" s="845"/>
      <c r="I112" s="845"/>
      <c r="J112" s="1258"/>
      <c r="K112" s="1264"/>
    </row>
    <row r="113" spans="1:11" x14ac:dyDescent="0.2">
      <c r="A113" s="1178"/>
      <c r="B113" s="845"/>
      <c r="C113" s="1258"/>
      <c r="D113" s="1258"/>
      <c r="E113" s="845"/>
      <c r="F113" s="845"/>
      <c r="G113" s="845"/>
      <c r="H113" s="845"/>
      <c r="I113" s="1187"/>
      <c r="J113" s="1258"/>
      <c r="K113" s="1264"/>
    </row>
    <row r="114" spans="1:11" x14ac:dyDescent="0.2">
      <c r="A114" s="1178"/>
      <c r="B114" s="845"/>
      <c r="C114" s="1258"/>
      <c r="D114" s="1258"/>
      <c r="E114" s="845"/>
      <c r="F114" s="845"/>
      <c r="G114" s="845"/>
      <c r="H114" s="845"/>
      <c r="I114" s="1231" t="s">
        <v>207</v>
      </c>
      <c r="J114" s="1258"/>
      <c r="K114" s="1264"/>
    </row>
    <row r="115" spans="1:11" x14ac:dyDescent="0.2">
      <c r="A115" s="1178"/>
      <c r="B115" s="845"/>
      <c r="C115" s="1258"/>
      <c r="D115" s="1187"/>
      <c r="E115" s="1244"/>
      <c r="F115" s="845"/>
      <c r="G115" s="1187"/>
      <c r="H115" s="1244"/>
      <c r="I115" s="1244"/>
      <c r="J115" s="1187"/>
      <c r="K115" s="1265" t="s">
        <v>210</v>
      </c>
    </row>
    <row r="116" spans="1:11" x14ac:dyDescent="0.2">
      <c r="A116" s="1178"/>
      <c r="B116" s="845"/>
      <c r="C116" s="1258"/>
      <c r="D116" s="1258"/>
      <c r="E116" s="845"/>
      <c r="F116" s="845"/>
      <c r="G116" s="1187" t="s">
        <v>226</v>
      </c>
      <c r="H116" s="845"/>
      <c r="I116" s="1187"/>
      <c r="J116" s="1258"/>
      <c r="K116" s="1264"/>
    </row>
    <row r="117" spans="1:11" x14ac:dyDescent="0.2">
      <c r="A117" s="1178"/>
      <c r="B117" s="845"/>
      <c r="C117" s="1258"/>
      <c r="D117" s="1258"/>
      <c r="E117" s="845"/>
      <c r="F117" s="845"/>
      <c r="G117" s="845"/>
      <c r="H117" s="845"/>
      <c r="I117" s="1187"/>
      <c r="J117" s="1258"/>
      <c r="K117" s="1264"/>
    </row>
    <row r="118" spans="1:11" x14ac:dyDescent="0.2">
      <c r="A118" s="1178"/>
      <c r="B118" s="845"/>
      <c r="C118" s="1258"/>
      <c r="D118" s="1258"/>
      <c r="E118" s="845"/>
      <c r="F118" s="845"/>
      <c r="G118" s="845"/>
      <c r="H118" s="845"/>
      <c r="I118" s="1187"/>
      <c r="J118" s="1258"/>
      <c r="K118" s="1264"/>
    </row>
    <row r="119" spans="1:11" x14ac:dyDescent="0.2">
      <c r="A119" s="1178"/>
      <c r="B119" s="845"/>
      <c r="C119" s="1258"/>
      <c r="D119" s="1258"/>
      <c r="E119" s="845"/>
      <c r="F119" s="845"/>
      <c r="G119" s="845"/>
      <c r="H119" s="845"/>
      <c r="I119" s="1187"/>
      <c r="J119" s="1258"/>
      <c r="K119" s="1264"/>
    </row>
    <row r="120" spans="1:11" x14ac:dyDescent="0.2">
      <c r="A120" s="1178"/>
      <c r="B120" s="1187" t="s">
        <v>51</v>
      </c>
      <c r="C120" s="1258"/>
      <c r="D120" s="1244"/>
      <c r="E120" s="1244"/>
      <c r="F120" s="1244"/>
      <c r="G120" s="1244"/>
      <c r="H120" s="1244"/>
      <c r="I120" s="1244"/>
      <c r="J120" s="1187"/>
      <c r="K120" s="1264"/>
    </row>
    <row r="121" spans="1:11" x14ac:dyDescent="0.2">
      <c r="A121" s="1178"/>
      <c r="B121" s="845"/>
      <c r="C121" s="1258"/>
      <c r="D121" s="845"/>
      <c r="E121" s="845"/>
      <c r="F121" s="845"/>
      <c r="G121" s="845"/>
      <c r="H121" s="845"/>
      <c r="I121" s="845"/>
      <c r="J121" s="845"/>
      <c r="K121" s="1264"/>
    </row>
    <row r="122" spans="1:11" x14ac:dyDescent="0.2">
      <c r="A122" s="1178"/>
      <c r="B122" s="1187" t="s">
        <v>52</v>
      </c>
      <c r="C122" s="1258"/>
      <c r="D122" s="845"/>
      <c r="E122" s="845"/>
      <c r="F122" s="845"/>
      <c r="G122" s="845"/>
      <c r="H122" s="845"/>
      <c r="I122" s="845"/>
      <c r="J122" s="845"/>
      <c r="K122" s="1264"/>
    </row>
    <row r="123" spans="1:11" x14ac:dyDescent="0.2">
      <c r="A123" s="1178"/>
      <c r="B123" s="845"/>
      <c r="C123" s="1258"/>
      <c r="D123" s="845"/>
      <c r="E123" s="845"/>
      <c r="F123" s="845"/>
      <c r="G123" s="845"/>
      <c r="H123" s="845"/>
      <c r="I123" s="845"/>
      <c r="J123" s="845"/>
      <c r="K123" s="1264"/>
    </row>
    <row r="124" spans="1:11" x14ac:dyDescent="0.2">
      <c r="A124" s="1178"/>
      <c r="B124" s="1187" t="s">
        <v>51</v>
      </c>
      <c r="C124" s="1244"/>
      <c r="D124" s="1244"/>
      <c r="E124" s="1244"/>
      <c r="F124" s="1244"/>
      <c r="G124" s="1244"/>
      <c r="H124" s="1244"/>
      <c r="I124" s="1244"/>
      <c r="J124" s="1244"/>
      <c r="K124" s="1239"/>
    </row>
    <row r="125" spans="1:11" x14ac:dyDescent="0.2">
      <c r="A125" s="1178"/>
      <c r="B125" s="845"/>
      <c r="C125" s="845"/>
      <c r="D125" s="845"/>
      <c r="E125" s="845"/>
      <c r="F125" s="845"/>
      <c r="G125" s="845"/>
      <c r="H125" s="845"/>
      <c r="I125" s="845"/>
      <c r="J125" s="845"/>
      <c r="K125" s="1179"/>
    </row>
    <row r="126" spans="1:11" x14ac:dyDescent="0.2">
      <c r="A126" s="1178"/>
      <c r="B126" s="845"/>
      <c r="C126" s="1258" t="s">
        <v>412</v>
      </c>
      <c r="D126" s="845"/>
      <c r="E126" s="845"/>
      <c r="F126" s="845"/>
      <c r="G126" s="845"/>
      <c r="H126" s="845"/>
      <c r="I126" s="845"/>
      <c r="J126" s="1187"/>
      <c r="K126" s="1179"/>
    </row>
    <row r="127" spans="1:11" x14ac:dyDescent="0.2">
      <c r="A127" s="1178"/>
      <c r="B127" s="845"/>
      <c r="C127" s="1187"/>
      <c r="D127" s="845"/>
      <c r="E127" s="845"/>
      <c r="F127" s="845"/>
      <c r="G127" s="845"/>
      <c r="H127" s="845"/>
      <c r="I127" s="845"/>
      <c r="J127" s="1238"/>
      <c r="K127" s="1179"/>
    </row>
    <row r="128" spans="1:11" x14ac:dyDescent="0.2">
      <c r="A128" s="1178"/>
      <c r="B128" s="845"/>
      <c r="C128" s="1187"/>
      <c r="D128" s="1244"/>
      <c r="E128" s="1244"/>
      <c r="F128" s="1238" t="s">
        <v>211</v>
      </c>
      <c r="G128" s="845"/>
      <c r="H128" s="1244" t="s">
        <v>10</v>
      </c>
      <c r="I128" s="1244" t="s">
        <v>10</v>
      </c>
      <c r="J128" s="1258"/>
      <c r="K128" s="1266"/>
    </row>
    <row r="129" spans="1:11" x14ac:dyDescent="0.2">
      <c r="A129" s="1178"/>
      <c r="B129" s="845"/>
      <c r="C129" s="1187"/>
      <c r="D129" s="845"/>
      <c r="E129" s="845"/>
      <c r="F129" s="1263" t="s">
        <v>53</v>
      </c>
      <c r="G129" s="845"/>
      <c r="H129" s="845"/>
      <c r="I129" s="845"/>
      <c r="J129" s="1238"/>
      <c r="K129" s="1179"/>
    </row>
    <row r="130" spans="1:11" ht="13.5" thickBot="1" x14ac:dyDescent="0.25">
      <c r="A130" s="1218"/>
      <c r="B130" s="848"/>
      <c r="C130" s="848"/>
      <c r="D130" s="848"/>
      <c r="E130" s="848"/>
      <c r="F130" s="848"/>
      <c r="G130" s="848"/>
      <c r="H130" s="848"/>
      <c r="I130" s="848"/>
      <c r="J130" s="848"/>
      <c r="K130" s="1267" t="s">
        <v>2398</v>
      </c>
    </row>
    <row r="131" spans="1:11" x14ac:dyDescent="0.2">
      <c r="A131" s="1222"/>
      <c r="B131" s="827"/>
      <c r="C131" s="827"/>
      <c r="D131" s="827"/>
      <c r="E131" s="827"/>
      <c r="F131" s="827"/>
      <c r="G131" s="827"/>
      <c r="H131" s="827"/>
      <c r="I131" s="827"/>
      <c r="J131" s="827"/>
      <c r="K131" s="827"/>
    </row>
    <row r="132" spans="1:11" ht="13.5" x14ac:dyDescent="0.25">
      <c r="A132" s="1268" t="s">
        <v>224</v>
      </c>
      <c r="B132" s="827"/>
      <c r="C132" s="827"/>
      <c r="D132" s="827"/>
      <c r="E132" s="827"/>
      <c r="F132" s="827"/>
      <c r="G132" s="1269"/>
      <c r="H132" s="1269"/>
      <c r="I132" s="827"/>
      <c r="J132" s="827"/>
      <c r="K132" s="827"/>
    </row>
    <row r="133" spans="1:11" x14ac:dyDescent="0.2">
      <c r="A133" s="1222"/>
      <c r="B133" s="1222" t="s">
        <v>349</v>
      </c>
      <c r="C133" s="827"/>
      <c r="D133" s="827"/>
      <c r="E133" s="827"/>
      <c r="F133" s="827"/>
      <c r="G133" s="827"/>
      <c r="H133" s="827"/>
      <c r="I133" s="827"/>
      <c r="J133" s="827"/>
      <c r="K133" s="827"/>
    </row>
    <row r="134" spans="1:11" x14ac:dyDescent="0.2">
      <c r="A134" s="827"/>
      <c r="B134" s="1222"/>
      <c r="C134" s="1270"/>
      <c r="D134" s="1270"/>
      <c r="E134" s="1270"/>
      <c r="F134" s="827"/>
      <c r="G134" s="827"/>
      <c r="H134" s="827"/>
      <c r="I134" s="827"/>
      <c r="J134" s="827"/>
      <c r="K134" s="827"/>
    </row>
    <row r="135" spans="1:11" ht="13.5" x14ac:dyDescent="0.25">
      <c r="A135" s="1271" t="s">
        <v>54</v>
      </c>
      <c r="B135" s="827"/>
      <c r="C135" s="827"/>
      <c r="D135" s="827"/>
      <c r="E135" s="827"/>
      <c r="F135" s="827"/>
      <c r="G135" s="827"/>
      <c r="H135" s="827"/>
      <c r="I135" s="827"/>
      <c r="J135" s="827"/>
      <c r="K135" s="827"/>
    </row>
    <row r="136" spans="1:11" x14ac:dyDescent="0.2">
      <c r="A136" s="827"/>
      <c r="B136" s="827"/>
      <c r="C136" s="827"/>
      <c r="D136" s="827"/>
      <c r="E136" s="827"/>
      <c r="F136" s="827"/>
      <c r="G136" s="827"/>
      <c r="H136" s="827"/>
      <c r="I136" s="827"/>
      <c r="J136" s="878"/>
      <c r="K136" s="827"/>
    </row>
    <row r="137" spans="1:11" x14ac:dyDescent="0.2">
      <c r="A137" s="827"/>
      <c r="B137" s="1222" t="s">
        <v>56</v>
      </c>
      <c r="C137" s="827"/>
      <c r="D137" s="827"/>
      <c r="E137" s="827"/>
      <c r="F137" s="827"/>
      <c r="G137" s="1229">
        <f>$F$32</f>
        <v>6</v>
      </c>
      <c r="H137" s="1222" t="s">
        <v>24</v>
      </c>
      <c r="I137" s="827"/>
      <c r="J137" s="878"/>
      <c r="K137" s="827"/>
    </row>
    <row r="138" spans="1:11" ht="15.75" x14ac:dyDescent="0.3">
      <c r="A138" s="827"/>
      <c r="B138" s="1222" t="s">
        <v>2526</v>
      </c>
      <c r="C138" s="827"/>
      <c r="D138" s="827"/>
      <c r="E138" s="827"/>
      <c r="F138" s="827"/>
      <c r="G138" s="878">
        <f>H49*G46*F32</f>
        <v>62.076811692049468</v>
      </c>
      <c r="H138" s="1222" t="s">
        <v>35</v>
      </c>
      <c r="I138" s="827"/>
      <c r="J138" s="827"/>
      <c r="K138" s="827"/>
    </row>
    <row r="139" spans="1:11" x14ac:dyDescent="0.2">
      <c r="A139" s="827"/>
      <c r="B139" s="1222" t="s">
        <v>350</v>
      </c>
      <c r="C139" s="827"/>
      <c r="D139" s="827"/>
      <c r="E139" s="827"/>
      <c r="F139" s="827"/>
      <c r="G139" s="1229">
        <f>G138*$F$32/2</f>
        <v>186.23043507614841</v>
      </c>
      <c r="H139" s="1222" t="s">
        <v>57</v>
      </c>
      <c r="I139" s="827"/>
      <c r="J139" s="827"/>
      <c r="K139" s="827"/>
    </row>
    <row r="140" spans="1:11" x14ac:dyDescent="0.2">
      <c r="A140" s="827"/>
      <c r="B140" s="1222" t="s">
        <v>351</v>
      </c>
      <c r="C140" s="827"/>
      <c r="D140" s="827"/>
      <c r="E140" s="827"/>
      <c r="F140" s="827"/>
      <c r="G140" s="1229">
        <f>G138*$F$32^2/6</f>
        <v>372.46087015229682</v>
      </c>
      <c r="H140" s="1222" t="s">
        <v>58</v>
      </c>
      <c r="I140" s="827"/>
      <c r="J140" s="827"/>
      <c r="K140" s="827"/>
    </row>
    <row r="141" spans="1:11" x14ac:dyDescent="0.2">
      <c r="A141" s="1222"/>
      <c r="B141" s="827"/>
      <c r="C141" s="827"/>
      <c r="D141" s="827"/>
      <c r="E141" s="827"/>
      <c r="F141" s="827"/>
      <c r="G141" s="878"/>
      <c r="H141" s="827"/>
      <c r="I141" s="827"/>
      <c r="J141" s="827"/>
      <c r="K141" s="827"/>
    </row>
    <row r="142" spans="1:11" ht="13.5" x14ac:dyDescent="0.25">
      <c r="A142" s="827"/>
      <c r="B142" s="1271" t="s">
        <v>59</v>
      </c>
      <c r="C142" s="827"/>
      <c r="D142" s="827"/>
      <c r="E142" s="827"/>
      <c r="F142" s="827"/>
      <c r="G142" s="827"/>
      <c r="H142" s="827"/>
      <c r="I142" s="827"/>
      <c r="J142" s="827"/>
      <c r="K142" s="827"/>
    </row>
    <row r="143" spans="1:11" x14ac:dyDescent="0.2">
      <c r="A143" s="827"/>
      <c r="B143" s="1222" t="s">
        <v>352</v>
      </c>
      <c r="C143" s="827"/>
      <c r="D143" s="827"/>
      <c r="E143" s="827"/>
      <c r="F143" s="827"/>
      <c r="G143" s="827"/>
      <c r="H143" s="827"/>
      <c r="I143" s="827"/>
      <c r="J143" s="827"/>
      <c r="K143" s="827"/>
    </row>
    <row r="144" spans="1:11" x14ac:dyDescent="0.2">
      <c r="A144" s="827"/>
      <c r="B144" s="1222" t="s">
        <v>229</v>
      </c>
      <c r="C144" s="827"/>
      <c r="D144" s="827"/>
      <c r="E144" s="827"/>
      <c r="F144" s="997">
        <f>SQRT(G140/G71)*1000</f>
        <v>545.21250356090854</v>
      </c>
      <c r="G144" s="1222" t="s">
        <v>43</v>
      </c>
      <c r="H144" s="827"/>
      <c r="I144" s="827"/>
      <c r="J144" s="878"/>
      <c r="K144" s="827"/>
    </row>
    <row r="145" spans="1:19" x14ac:dyDescent="0.2">
      <c r="A145" s="827"/>
      <c r="B145" s="1222" t="s">
        <v>353</v>
      </c>
      <c r="C145" s="827"/>
      <c r="D145" s="827"/>
      <c r="E145" s="827"/>
      <c r="F145" s="997">
        <f>G139/H57*1000</f>
        <v>434.45167375366435</v>
      </c>
      <c r="G145" s="1222" t="s">
        <v>43</v>
      </c>
      <c r="H145" s="827"/>
      <c r="I145" s="827"/>
      <c r="J145" s="878"/>
      <c r="K145" s="827"/>
    </row>
    <row r="146" spans="1:19" x14ac:dyDescent="0.2">
      <c r="A146" s="827"/>
      <c r="B146" s="1222"/>
      <c r="C146" s="827"/>
      <c r="D146" s="827"/>
      <c r="E146" s="827"/>
      <c r="F146" s="1229"/>
      <c r="G146" s="1222"/>
      <c r="H146" s="827"/>
      <c r="I146" s="827"/>
      <c r="J146" s="878"/>
      <c r="K146" s="827"/>
    </row>
    <row r="147" spans="1:19" x14ac:dyDescent="0.2">
      <c r="A147" s="827"/>
      <c r="B147" s="1272" t="str">
        <f>IF(F144&gt;=F145,"dr(moment)  &gt;  dr(shear)","dr(moment)  &lt;  dr(shear)")</f>
        <v>dr(moment)  &gt;  dr(shear)</v>
      </c>
      <c r="C147" s="827"/>
      <c r="D147" s="827"/>
      <c r="E147" s="1222" t="s">
        <v>230</v>
      </c>
      <c r="F147" s="997">
        <f>IF(F144&gt;=F145,F144,F145)</f>
        <v>545.21250356090854</v>
      </c>
      <c r="G147" s="1222" t="s">
        <v>62</v>
      </c>
      <c r="H147" s="827"/>
      <c r="I147" s="827"/>
      <c r="J147" s="827"/>
      <c r="K147" s="827"/>
    </row>
    <row r="148" spans="1:19" x14ac:dyDescent="0.2">
      <c r="A148" s="827"/>
      <c r="B148" s="1222" t="s">
        <v>355</v>
      </c>
      <c r="C148" s="827"/>
      <c r="D148" s="827"/>
      <c r="E148" s="827"/>
      <c r="F148" s="874">
        <f>F147+H65</f>
        <v>620.21250356090854</v>
      </c>
      <c r="G148" s="827" t="s">
        <v>43</v>
      </c>
      <c r="H148" s="827"/>
      <c r="I148" s="827"/>
      <c r="J148" s="827"/>
      <c r="K148" s="827"/>
    </row>
    <row r="149" spans="1:19" x14ac:dyDescent="0.2">
      <c r="A149" s="827"/>
      <c r="B149" s="1222" t="s">
        <v>354</v>
      </c>
      <c r="C149" s="827"/>
      <c r="D149" s="827"/>
      <c r="E149" s="827"/>
      <c r="F149" s="997">
        <f>$E$32</f>
        <v>700</v>
      </c>
      <c r="G149" s="1222" t="s">
        <v>43</v>
      </c>
      <c r="H149" s="1272" t="str">
        <f>IF(F149&gt;=F148,"ta  &gt;  tr     Design is OK.","ta  &lt;  tr    Design is Not OK.")</f>
        <v>ta  &gt;  tr     Design is OK.</v>
      </c>
      <c r="I149" s="827"/>
      <c r="J149" s="827"/>
      <c r="K149" s="827"/>
    </row>
    <row r="150" spans="1:19" x14ac:dyDescent="0.2">
      <c r="A150" s="827"/>
      <c r="B150" s="1222"/>
      <c r="C150" s="827"/>
      <c r="D150" s="827"/>
      <c r="E150" s="827"/>
      <c r="F150" s="827"/>
      <c r="G150" s="827"/>
      <c r="H150" s="827"/>
      <c r="I150" s="827"/>
      <c r="J150" s="878"/>
      <c r="K150" s="827"/>
      <c r="M150" s="7">
        <f>C157*1000*380</f>
        <v>760</v>
      </c>
      <c r="N150" s="7">
        <f>4.75+0.45</f>
        <v>5.2</v>
      </c>
    </row>
    <row r="151" spans="1:19" ht="13.5" x14ac:dyDescent="0.25">
      <c r="A151" s="827"/>
      <c r="B151" s="1271" t="s">
        <v>65</v>
      </c>
      <c r="C151" s="827"/>
      <c r="D151" s="827"/>
      <c r="E151" s="827"/>
      <c r="F151" s="827"/>
      <c r="G151" s="827"/>
      <c r="H151" s="827"/>
      <c r="I151" s="827"/>
      <c r="J151" s="878"/>
      <c r="K151" s="827"/>
    </row>
    <row r="152" spans="1:19" x14ac:dyDescent="0.2">
      <c r="A152" s="827"/>
      <c r="B152" s="827"/>
      <c r="C152" s="827"/>
      <c r="D152" s="827"/>
      <c r="E152" s="827"/>
      <c r="F152" s="827"/>
      <c r="G152" s="827"/>
      <c r="H152" s="827"/>
      <c r="I152" s="827"/>
      <c r="J152" s="878"/>
      <c r="K152" s="827"/>
    </row>
    <row r="153" spans="1:19" x14ac:dyDescent="0.2">
      <c r="A153" s="827"/>
      <c r="B153" s="1222" t="s">
        <v>357</v>
      </c>
      <c r="C153" s="827"/>
      <c r="D153" s="827"/>
      <c r="E153" s="827"/>
      <c r="F153" s="827"/>
      <c r="G153" s="827"/>
      <c r="H153" s="827"/>
      <c r="I153" s="827"/>
      <c r="J153" s="878"/>
      <c r="K153" s="827"/>
    </row>
    <row r="154" spans="1:19" x14ac:dyDescent="0.2">
      <c r="A154" s="827"/>
      <c r="B154" s="827"/>
      <c r="C154" s="827"/>
      <c r="D154" s="827"/>
      <c r="E154" s="827"/>
      <c r="F154" s="827"/>
      <c r="G154" s="827"/>
      <c r="H154" s="827"/>
      <c r="I154" s="827"/>
      <c r="J154" s="878"/>
      <c r="K154" s="827"/>
      <c r="M154" s="6" t="s">
        <v>66</v>
      </c>
      <c r="O154" s="30">
        <v>12</v>
      </c>
      <c r="P154" s="30">
        <v>16</v>
      </c>
      <c r="Q154" s="30">
        <v>20</v>
      </c>
      <c r="R154" s="30">
        <v>22</v>
      </c>
      <c r="S154" s="30">
        <v>25</v>
      </c>
    </row>
    <row r="155" spans="1:19" x14ac:dyDescent="0.2">
      <c r="A155" s="1222"/>
      <c r="B155" s="1273" t="s">
        <v>234</v>
      </c>
      <c r="C155" s="1274" t="s">
        <v>235</v>
      </c>
      <c r="D155" s="1274" t="s">
        <v>233</v>
      </c>
      <c r="E155" s="1275"/>
      <c r="F155" s="1222" t="s">
        <v>73</v>
      </c>
      <c r="G155" s="827"/>
      <c r="H155" s="827"/>
      <c r="I155" s="1229">
        <f>G42</f>
        <v>16.322989922192562</v>
      </c>
      <c r="J155" s="1222" t="s">
        <v>24</v>
      </c>
      <c r="K155" s="827"/>
      <c r="M155" s="6" t="s">
        <v>67</v>
      </c>
      <c r="O155" s="30">
        <f>IF(H160=0,100000000,TRUNC(785.4*O154^2/H160/25)*25)</f>
        <v>100</v>
      </c>
      <c r="P155" s="30">
        <f>IF(H160=0,100000000,TRUNC(785.4*P154^2/H160/25)*25)</f>
        <v>200</v>
      </c>
      <c r="Q155" s="30">
        <f>IF(H160=0,100000000,TRUNC(785.4*Q154^2/H160/25)*25)</f>
        <v>325</v>
      </c>
      <c r="R155" s="30">
        <f>IF(H160=0,100000000,TRUNC(785.4*R154^2/H160/25)*25)</f>
        <v>400</v>
      </c>
      <c r="S155" s="30">
        <f>IF(H160=0,100000000,TRUNC(785.4*S154^2/H160/25)*25)</f>
        <v>500</v>
      </c>
    </row>
    <row r="156" spans="1:19" x14ac:dyDescent="0.2">
      <c r="A156" s="827"/>
      <c r="B156" s="1273" t="s">
        <v>196</v>
      </c>
      <c r="C156" s="1274" t="s">
        <v>232</v>
      </c>
      <c r="D156" s="1274" t="s">
        <v>232</v>
      </c>
      <c r="E156" s="1275"/>
      <c r="F156" s="1222" t="s">
        <v>74</v>
      </c>
      <c r="G156" s="827"/>
      <c r="H156" s="827"/>
      <c r="I156" s="997">
        <f>F149</f>
        <v>700</v>
      </c>
      <c r="J156" s="1222" t="s">
        <v>43</v>
      </c>
      <c r="K156" s="827"/>
      <c r="M156" s="6" t="s">
        <v>68</v>
      </c>
      <c r="O156" s="30">
        <f>785.4*O154^2/O155</f>
        <v>1130.9759999999999</v>
      </c>
      <c r="P156" s="30">
        <f>785.4*P154^2/P155</f>
        <v>1005.312</v>
      </c>
      <c r="Q156" s="30">
        <f>785.4*Q154^2/Q155</f>
        <v>966.64615384615388</v>
      </c>
      <c r="R156" s="30">
        <f>785.4*R154^2/R155</f>
        <v>950.33399999999995</v>
      </c>
      <c r="S156" s="30">
        <f>785.4*S154^2/S155</f>
        <v>981.75</v>
      </c>
    </row>
    <row r="157" spans="1:19" x14ac:dyDescent="0.2">
      <c r="A157" s="827"/>
      <c r="B157" s="1222" t="s">
        <v>75</v>
      </c>
      <c r="C157" s="1014">
        <v>2E-3</v>
      </c>
      <c r="D157" s="1014">
        <v>1E-3</v>
      </c>
      <c r="E157" s="827"/>
      <c r="F157" s="1222" t="s">
        <v>231</v>
      </c>
      <c r="G157" s="827"/>
      <c r="H157" s="827"/>
      <c r="I157" s="878">
        <v>1</v>
      </c>
      <c r="J157" s="827" t="s">
        <v>24</v>
      </c>
      <c r="K157" s="827"/>
      <c r="M157" s="6" t="s">
        <v>69</v>
      </c>
      <c r="O157" s="30">
        <f>IF(OR(O155&gt;300,O155&lt;100),100000000,O156-H160)</f>
        <v>180.97599999999977</v>
      </c>
      <c r="P157" s="30">
        <f>IF(OR(P155&gt;300,P155&lt;100),100000001,P156-H160)</f>
        <v>55.311999999999898</v>
      </c>
      <c r="Q157" s="30">
        <f>IF(OR(Q155&gt;300,Q155&lt;100),100000001,Q156-H160)</f>
        <v>100000001</v>
      </c>
      <c r="R157" s="30">
        <f>IF(OR(R155&gt;300,R155&lt;100),100000001,R156-H160)</f>
        <v>100000001</v>
      </c>
      <c r="S157" s="30">
        <f>IF(OR(S155&gt;300,S155&lt;100),100000001,S156-H160)</f>
        <v>100000001</v>
      </c>
    </row>
    <row r="158" spans="1:19" x14ac:dyDescent="0.2">
      <c r="A158" s="827"/>
      <c r="B158" s="1222" t="s">
        <v>76</v>
      </c>
      <c r="C158" s="1014">
        <v>2.5000000000000001E-3</v>
      </c>
      <c r="D158" s="1014">
        <v>1.5E-3</v>
      </c>
      <c r="E158" s="827"/>
      <c r="F158" s="827"/>
      <c r="G158" s="827"/>
      <c r="H158" s="827"/>
      <c r="I158" s="878"/>
      <c r="J158" s="827"/>
      <c r="K158" s="827"/>
      <c r="M158" s="6" t="s">
        <v>70</v>
      </c>
      <c r="O158" s="30">
        <f>IF(S155&lt;100,25,IF(MIN(O157:S157)=O157,12,IF(MIN(O157:S157)=P157,16,IF(MIN(O157:S157)=Q157,20,IF(MIN(O157:S157)=R157,22,IF(MIN(O157:S157)=S157,25,0))))))</f>
        <v>16</v>
      </c>
      <c r="P158" s="6" t="s">
        <v>71</v>
      </c>
      <c r="Q158" s="30">
        <f>IF(O158=12,O155,IF(O158=16,P155,IF(O158=20,Q155,IF(O158=22,R155,IF(O158=25,S155,0)))))</f>
        <v>200</v>
      </c>
      <c r="R158" s="6" t="s">
        <v>72</v>
      </c>
    </row>
    <row r="159" spans="1:19" x14ac:dyDescent="0.2">
      <c r="A159" s="827"/>
      <c r="B159" s="827"/>
      <c r="C159" s="827"/>
      <c r="D159" s="827"/>
      <c r="E159" s="827"/>
      <c r="F159" s="827"/>
      <c r="G159" s="827"/>
      <c r="H159" s="827"/>
      <c r="I159" s="827"/>
      <c r="J159" s="827"/>
      <c r="K159" s="827"/>
    </row>
    <row r="160" spans="1:19" x14ac:dyDescent="0.2">
      <c r="A160" s="827"/>
      <c r="B160" s="1222" t="s">
        <v>237</v>
      </c>
      <c r="C160" s="827"/>
      <c r="D160" s="827"/>
      <c r="E160" s="827"/>
      <c r="F160" s="827"/>
      <c r="G160" s="827"/>
      <c r="H160" s="827">
        <f>IF(I155&lt;=9,C157,C158)*IF(I156&lt;=380,I156,380)*1000</f>
        <v>950.00000000000011</v>
      </c>
      <c r="I160" s="1222" t="s">
        <v>78</v>
      </c>
      <c r="J160" s="827"/>
      <c r="K160" s="827"/>
    </row>
    <row r="161" spans="1:19" x14ac:dyDescent="0.2">
      <c r="A161" s="827"/>
      <c r="B161" s="1222" t="s">
        <v>79</v>
      </c>
      <c r="C161" s="997">
        <f>IF(D973=0,O158,D973)</f>
        <v>16</v>
      </c>
      <c r="D161" s="1222" t="s">
        <v>71</v>
      </c>
      <c r="E161" s="997">
        <f>IF(D973=0,IF(Q158&gt;300,300,Q158),E973)</f>
        <v>200</v>
      </c>
      <c r="F161" s="1222" t="s">
        <v>236</v>
      </c>
      <c r="G161" s="827"/>
      <c r="H161" s="997">
        <f>785.4*C161^2/E161</f>
        <v>1005.312</v>
      </c>
      <c r="I161" s="1222" t="s">
        <v>81</v>
      </c>
      <c r="J161" s="827"/>
      <c r="K161" s="827"/>
    </row>
    <row r="162" spans="1:19" x14ac:dyDescent="0.2">
      <c r="A162" s="827"/>
      <c r="B162" s="1222" t="s">
        <v>238</v>
      </c>
      <c r="C162" s="827"/>
      <c r="D162" s="827"/>
      <c r="E162" s="827"/>
      <c r="F162" s="827"/>
      <c r="G162" s="827"/>
      <c r="H162" s="827">
        <f>IF(I155&lt;=9,D157,D158)*IF(I156&lt;=380,I156,380)*1000</f>
        <v>570.00000000000011</v>
      </c>
      <c r="I162" s="1222" t="s">
        <v>78</v>
      </c>
      <c r="J162" s="827"/>
      <c r="K162" s="827"/>
    </row>
    <row r="163" spans="1:19" x14ac:dyDescent="0.2">
      <c r="A163" s="827"/>
      <c r="B163" s="1222" t="s">
        <v>79</v>
      </c>
      <c r="C163" s="997">
        <v>16</v>
      </c>
      <c r="D163" s="1222" t="s">
        <v>71</v>
      </c>
      <c r="E163" s="997">
        <v>250</v>
      </c>
      <c r="F163" s="1222" t="s">
        <v>236</v>
      </c>
      <c r="G163" s="827"/>
      <c r="H163" s="997">
        <f>785.4*C163^2/E163</f>
        <v>804.24959999999999</v>
      </c>
      <c r="I163" s="1222" t="s">
        <v>81</v>
      </c>
      <c r="J163" s="827"/>
      <c r="K163" s="827"/>
      <c r="M163" s="6" t="s">
        <v>66</v>
      </c>
      <c r="O163" s="30">
        <v>12</v>
      </c>
      <c r="P163" s="30">
        <v>16</v>
      </c>
      <c r="Q163" s="30">
        <v>20</v>
      </c>
      <c r="R163" s="30">
        <v>22</v>
      </c>
      <c r="S163" s="30">
        <v>25</v>
      </c>
    </row>
    <row r="164" spans="1:19" x14ac:dyDescent="0.2">
      <c r="A164" s="827"/>
      <c r="B164" s="827"/>
      <c r="C164" s="827"/>
      <c r="D164" s="827"/>
      <c r="E164" s="827"/>
      <c r="F164" s="827"/>
      <c r="G164" s="827"/>
      <c r="H164" s="827"/>
      <c r="I164" s="827"/>
      <c r="J164" s="827"/>
      <c r="K164" s="827"/>
      <c r="M164" s="6" t="s">
        <v>67</v>
      </c>
      <c r="O164" s="30">
        <f>IF(H162=0,100000000,TRUNC(785.4*O163^2/H162/25)*25)</f>
        <v>175</v>
      </c>
      <c r="P164" s="30">
        <f>IF(H162=0,100000000,TRUNC(785.4*P163^2/H162/25)*25)</f>
        <v>350</v>
      </c>
      <c r="Q164" s="30">
        <f>IF(H162=0,100000000,TRUNC(785.4*Q163^2/H162/25)*25)</f>
        <v>550</v>
      </c>
      <c r="R164" s="30">
        <f>IF(H162=0,100000000,TRUNC(785.4*R163^2/H162/25)*25)</f>
        <v>650</v>
      </c>
      <c r="S164" s="30">
        <f>IF(H162=0,100000000,TRUNC(785.4*S163^2/H162/25)*25)</f>
        <v>850</v>
      </c>
    </row>
    <row r="165" spans="1:19" ht="13.5" x14ac:dyDescent="0.25">
      <c r="A165" s="1271" t="s">
        <v>83</v>
      </c>
      <c r="B165" s="827"/>
      <c r="C165" s="827"/>
      <c r="D165" s="827"/>
      <c r="E165" s="827"/>
      <c r="F165" s="827"/>
      <c r="G165" s="827"/>
      <c r="H165" s="827"/>
      <c r="I165" s="827"/>
      <c r="J165" s="827"/>
      <c r="K165" s="827"/>
      <c r="M165" s="6" t="s">
        <v>68</v>
      </c>
      <c r="O165" s="30">
        <f>785.4*O163^2/O164</f>
        <v>646.27199999999993</v>
      </c>
      <c r="P165" s="30">
        <f>785.4*P163^2/P164</f>
        <v>574.46399999999994</v>
      </c>
      <c r="Q165" s="30">
        <f>785.4*Q163^2/Q164</f>
        <v>571.20000000000005</v>
      </c>
      <c r="R165" s="30">
        <f>785.4*R163^2/R164</f>
        <v>584.82092307692301</v>
      </c>
      <c r="S165" s="30">
        <f>785.4*S163^2/S164</f>
        <v>577.5</v>
      </c>
    </row>
    <row r="166" spans="1:19" x14ac:dyDescent="0.2">
      <c r="A166" s="827"/>
      <c r="B166" s="827"/>
      <c r="C166" s="827"/>
      <c r="D166" s="827"/>
      <c r="E166" s="827"/>
      <c r="F166" s="827"/>
      <c r="G166" s="827"/>
      <c r="H166" s="827"/>
      <c r="I166" s="827"/>
      <c r="J166" s="827"/>
      <c r="K166" s="827"/>
      <c r="M166" s="6" t="s">
        <v>69</v>
      </c>
      <c r="O166" s="30">
        <f>IF(OR(O164&gt;300,O164&lt;100),100000000,O165-H162)</f>
        <v>76.271999999999821</v>
      </c>
      <c r="P166" s="30">
        <f>IF(OR(P164&gt;300,P164&lt;100),100000001,P165-H162)</f>
        <v>100000001</v>
      </c>
      <c r="Q166" s="30">
        <f>IF(OR(Q164&gt;300,Q164&lt;100),100000001,Q165-H162)</f>
        <v>100000001</v>
      </c>
      <c r="R166" s="30">
        <f>IF(OR(R164&gt;300,R164&lt;100),100000001,R165-H162)</f>
        <v>100000001</v>
      </c>
      <c r="S166" s="30">
        <f>IF(OR(S164&gt;300,S164&lt;100),100000001,S165-H162)</f>
        <v>100000001</v>
      </c>
    </row>
    <row r="167" spans="1:19" x14ac:dyDescent="0.2">
      <c r="A167" s="1222" t="s">
        <v>2466</v>
      </c>
      <c r="B167" s="827"/>
      <c r="C167" s="827"/>
      <c r="D167" s="827"/>
      <c r="E167" s="827"/>
      <c r="F167" s="827"/>
      <c r="G167" s="1229">
        <f>F32</f>
        <v>6</v>
      </c>
      <c r="H167" s="827" t="s">
        <v>24</v>
      </c>
      <c r="I167" s="827"/>
      <c r="J167" s="827"/>
      <c r="K167" s="827"/>
      <c r="M167" s="6" t="s">
        <v>70</v>
      </c>
      <c r="O167" s="30">
        <f>IF(S164&lt;100,25,IF(MIN(O166:S166)=O166,12,IF(MIN(O166:S166)=P166,16,IF(MIN(O166:S166)=Q166,20,IF(MIN(O166:S166)=R166,22,IF(MIN(O166:S166)=S166,25,0))))))</f>
        <v>12</v>
      </c>
      <c r="P167" s="6" t="s">
        <v>71</v>
      </c>
      <c r="Q167" s="30">
        <f>IF(O167=12,O164,IF(O167=16,P164,IF(O167=20,Q164,IF(O167=22,R164,IF(O167=25,S164,0)))))</f>
        <v>175</v>
      </c>
      <c r="R167" s="6" t="s">
        <v>72</v>
      </c>
    </row>
    <row r="168" spans="1:19" x14ac:dyDescent="0.2">
      <c r="A168" s="1222" t="s">
        <v>240</v>
      </c>
      <c r="B168" s="827"/>
      <c r="C168" s="827"/>
      <c r="D168" s="827"/>
      <c r="E168" s="827"/>
      <c r="F168" s="827"/>
      <c r="G168" s="827"/>
      <c r="H168" s="827">
        <f>IF(G167&lt;=9,C157,C158)*IF(F149&lt;=380,F149,380)*1000</f>
        <v>760</v>
      </c>
      <c r="I168" s="1222" t="s">
        <v>78</v>
      </c>
      <c r="J168" s="827"/>
      <c r="K168" s="827"/>
    </row>
    <row r="169" spans="1:19" x14ac:dyDescent="0.2">
      <c r="A169" s="1222" t="s">
        <v>79</v>
      </c>
      <c r="B169" s="827"/>
      <c r="C169" s="997">
        <f>IF(D993=0,O175,D993)</f>
        <v>16</v>
      </c>
      <c r="D169" s="1222" t="s">
        <v>71</v>
      </c>
      <c r="E169" s="997">
        <v>200</v>
      </c>
      <c r="F169" s="1222" t="s">
        <v>236</v>
      </c>
      <c r="G169" s="827"/>
      <c r="H169" s="997">
        <f>785.4*C169^2/E169</f>
        <v>1005.312</v>
      </c>
      <c r="I169" s="1222" t="s">
        <v>81</v>
      </c>
      <c r="J169" s="827"/>
      <c r="K169" s="827"/>
    </row>
    <row r="170" spans="1:19" x14ac:dyDescent="0.2">
      <c r="A170" s="827"/>
      <c r="B170" s="827"/>
      <c r="C170" s="827"/>
      <c r="D170" s="827"/>
      <c r="E170" s="827"/>
      <c r="F170" s="827"/>
      <c r="G170" s="827"/>
      <c r="H170" s="827"/>
      <c r="I170" s="827"/>
      <c r="J170" s="827"/>
      <c r="K170" s="827"/>
    </row>
    <row r="171" spans="1:19" ht="13.5" x14ac:dyDescent="0.25">
      <c r="A171" s="1271" t="s">
        <v>85</v>
      </c>
      <c r="B171" s="827"/>
      <c r="C171" s="827"/>
      <c r="D171" s="827"/>
      <c r="E171" s="827"/>
      <c r="F171" s="827"/>
      <c r="G171" s="827"/>
      <c r="H171" s="827"/>
      <c r="I171" s="827"/>
      <c r="J171" s="827"/>
      <c r="K171" s="827"/>
      <c r="M171" s="6" t="s">
        <v>66</v>
      </c>
      <c r="O171" s="30">
        <v>12</v>
      </c>
      <c r="P171" s="30">
        <v>16</v>
      </c>
      <c r="Q171" s="30">
        <v>20</v>
      </c>
      <c r="R171" s="30">
        <v>22</v>
      </c>
      <c r="S171" s="30">
        <v>25</v>
      </c>
    </row>
    <row r="172" spans="1:19" x14ac:dyDescent="0.2">
      <c r="A172" s="827"/>
      <c r="B172" s="827"/>
      <c r="C172" s="827"/>
      <c r="D172" s="827"/>
      <c r="E172" s="827"/>
      <c r="F172" s="827"/>
      <c r="G172" s="827"/>
      <c r="H172" s="827"/>
      <c r="I172" s="878"/>
      <c r="J172" s="827"/>
      <c r="K172" s="827"/>
      <c r="M172" s="6" t="s">
        <v>67</v>
      </c>
      <c r="O172" s="30">
        <f>IF(H168=0,100000000,TRUNC(785.4*O171^2/H168/25)*25)</f>
        <v>125</v>
      </c>
      <c r="P172" s="30">
        <f>IF(H168=0,100000000,TRUNC(785.4*P171^2/H168/25)*25)</f>
        <v>250</v>
      </c>
      <c r="Q172" s="30">
        <f>IF(H168=0,100000000,TRUNC(785.4*Q171^2/H168/25)*25)</f>
        <v>400</v>
      </c>
      <c r="R172" s="30">
        <f>IF(H168=0,100000000,TRUNC(785.4*R171^2/H168/25)*25)</f>
        <v>500</v>
      </c>
      <c r="S172" s="30">
        <f>IF(H168=0,100000000,TRUNC(785.4*S171^2/H168/25)*25)</f>
        <v>625</v>
      </c>
    </row>
    <row r="173" spans="1:19" x14ac:dyDescent="0.2">
      <c r="A173" s="827"/>
      <c r="B173" s="1222" t="s">
        <v>86</v>
      </c>
      <c r="C173" s="827"/>
      <c r="D173" s="827"/>
      <c r="E173" s="827"/>
      <c r="F173" s="827"/>
      <c r="G173" s="1229">
        <f>G140</f>
        <v>372.46087015229682</v>
      </c>
      <c r="H173" s="1222" t="s">
        <v>58</v>
      </c>
      <c r="I173" s="827"/>
      <c r="J173" s="827"/>
      <c r="K173" s="827"/>
      <c r="M173" s="6" t="s">
        <v>68</v>
      </c>
      <c r="O173" s="30">
        <f>785.4*O171^2/O172</f>
        <v>904.78079999999989</v>
      </c>
      <c r="P173" s="30">
        <f>785.4*P171^2/P172</f>
        <v>804.24959999999999</v>
      </c>
      <c r="Q173" s="30">
        <f>785.4*Q171^2/Q172</f>
        <v>785.4</v>
      </c>
      <c r="R173" s="30">
        <f>785.4*R171^2/R172</f>
        <v>760.2672</v>
      </c>
      <c r="S173" s="30">
        <f>785.4*S171^2/S172</f>
        <v>785.4</v>
      </c>
    </row>
    <row r="174" spans="1:19" x14ac:dyDescent="0.2">
      <c r="A174" s="827"/>
      <c r="B174" s="1222" t="s">
        <v>241</v>
      </c>
      <c r="C174" s="827"/>
      <c r="D174" s="827"/>
      <c r="E174" s="827"/>
      <c r="F174" s="1222"/>
      <c r="G174" s="874">
        <f>E32-H65</f>
        <v>625</v>
      </c>
      <c r="H174" s="1222" t="s">
        <v>43</v>
      </c>
      <c r="I174" s="827"/>
      <c r="J174" s="827"/>
      <c r="K174" s="827"/>
      <c r="M174" s="6" t="s">
        <v>69</v>
      </c>
      <c r="O174" s="30">
        <f>IF(OR(O172&gt;300,O172&lt;100),100000000,O173-H168)</f>
        <v>144.78079999999989</v>
      </c>
      <c r="P174" s="30">
        <f>IF(OR(P172&gt;300,P172&lt;100),100000001,P173-H168)</f>
        <v>44.249599999999987</v>
      </c>
      <c r="Q174" s="30">
        <f>IF(OR(Q172&gt;300,Q172&lt;100),100000001,Q173-H168)</f>
        <v>100000001</v>
      </c>
      <c r="R174" s="30">
        <f>IF(OR(R172&gt;300,R172&lt;100),100000001,R173-H168)</f>
        <v>100000001</v>
      </c>
      <c r="S174" s="30">
        <f>IF(OR(S172&gt;300,S172&lt;100),100000001,S173-H168)</f>
        <v>100000001</v>
      </c>
    </row>
    <row r="175" spans="1:19" x14ac:dyDescent="0.2">
      <c r="A175" s="827"/>
      <c r="B175" s="827" t="s">
        <v>242</v>
      </c>
      <c r="C175" s="827"/>
      <c r="D175" s="827"/>
      <c r="E175" s="827"/>
      <c r="F175" s="827"/>
      <c r="G175" s="869">
        <f>G173/(H54*G70*G174)*1000000000</f>
        <v>3578.8938046504209</v>
      </c>
      <c r="H175" s="1222" t="s">
        <v>78</v>
      </c>
      <c r="I175" s="827"/>
      <c r="J175" s="827"/>
      <c r="K175" s="827"/>
      <c r="M175" s="6" t="s">
        <v>70</v>
      </c>
      <c r="O175" s="30">
        <f>IF(S172&lt;100,25,IF(MIN(O174:S174)=O174,12,IF(MIN(O174:S174)=P174,16,IF(MIN(O174:S174)=Q174,20,IF(MIN(O174:S174)=R174,22,IF(MIN(O174:S174)=S174,25,0))))))</f>
        <v>16</v>
      </c>
      <c r="P175" s="6" t="s">
        <v>71</v>
      </c>
      <c r="Q175" s="30">
        <f>IF(O175=12,O172,IF(O175=16,P172,IF(O175=20,Q172,IF(O175=22,R172,IF(O175=25,S172,0)))))</f>
        <v>250</v>
      </c>
      <c r="R175" s="6" t="s">
        <v>72</v>
      </c>
    </row>
    <row r="176" spans="1:19" x14ac:dyDescent="0.2">
      <c r="A176" s="827"/>
      <c r="B176" s="827"/>
      <c r="C176" s="827"/>
      <c r="D176" s="827"/>
      <c r="E176" s="827"/>
      <c r="F176" s="827"/>
      <c r="G176" s="827"/>
      <c r="H176" s="827"/>
      <c r="I176" s="827"/>
      <c r="J176" s="827"/>
      <c r="K176" s="827"/>
    </row>
    <row r="177" spans="1:19" ht="13.5" x14ac:dyDescent="0.25">
      <c r="A177" s="827"/>
      <c r="B177" s="1276" t="s">
        <v>87</v>
      </c>
      <c r="C177" s="827"/>
      <c r="D177" s="827"/>
      <c r="E177" s="827"/>
      <c r="F177" s="827"/>
      <c r="G177" s="827"/>
      <c r="H177" s="827"/>
      <c r="I177" s="878"/>
      <c r="J177" s="827"/>
      <c r="K177" s="827"/>
    </row>
    <row r="178" spans="1:19" x14ac:dyDescent="0.2">
      <c r="A178" s="827"/>
      <c r="B178" s="1222" t="s">
        <v>243</v>
      </c>
      <c r="C178" s="827"/>
      <c r="D178" s="827"/>
      <c r="E178" s="827"/>
      <c r="F178" s="827"/>
      <c r="G178" s="827"/>
      <c r="H178" s="827">
        <f>IF(G167&lt;=9,D157,D158)*IF(F149&lt;=380,F149,380)*1000</f>
        <v>380</v>
      </c>
      <c r="I178" s="1222" t="s">
        <v>78</v>
      </c>
      <c r="J178" s="827"/>
      <c r="K178" s="827"/>
    </row>
    <row r="179" spans="1:19" x14ac:dyDescent="0.2">
      <c r="A179" s="827"/>
      <c r="B179" s="1272" t="str">
        <f>IF(G175&gt;H178,"Ast(moment)  &gt;  Ast(shrinkage)","Ast(moment)  &lt;  Ast(shrinkage)")</f>
        <v>Ast(moment)  &gt;  Ast(shrinkage)</v>
      </c>
      <c r="C179" s="827"/>
      <c r="D179" s="827"/>
      <c r="E179" s="1015"/>
      <c r="F179" s="1222" t="s">
        <v>244</v>
      </c>
      <c r="G179" s="827"/>
      <c r="H179" s="997">
        <f>IF(G175&gt;H178,G175,H178)</f>
        <v>3578.8938046504209</v>
      </c>
      <c r="I179" s="1222" t="s">
        <v>89</v>
      </c>
      <c r="J179" s="827"/>
      <c r="K179" s="827"/>
      <c r="M179" s="6" t="s">
        <v>66</v>
      </c>
      <c r="O179" s="30">
        <v>12</v>
      </c>
      <c r="P179" s="30">
        <v>16</v>
      </c>
      <c r="Q179" s="30">
        <v>20</v>
      </c>
      <c r="R179" s="30">
        <v>22</v>
      </c>
      <c r="S179" s="30">
        <v>25</v>
      </c>
    </row>
    <row r="180" spans="1:19" x14ac:dyDescent="0.2">
      <c r="A180" s="827"/>
      <c r="B180" s="1277" t="s">
        <v>323</v>
      </c>
      <c r="C180" s="1031">
        <v>25</v>
      </c>
      <c r="D180" s="1277" t="s">
        <v>71</v>
      </c>
      <c r="E180" s="1031">
        <v>125</v>
      </c>
      <c r="F180" s="1277" t="s">
        <v>236</v>
      </c>
      <c r="G180" s="851"/>
      <c r="H180" s="1031">
        <f>785.4*C180^2/E180</f>
        <v>3927</v>
      </c>
      <c r="I180" s="1277" t="s">
        <v>81</v>
      </c>
      <c r="J180" s="851"/>
      <c r="K180" s="827"/>
      <c r="M180" s="6" t="s">
        <v>67</v>
      </c>
      <c r="O180" s="30">
        <f>IF(H179=0,100000000,TRUNC(785.4*O179^2/H179/25)*25)</f>
        <v>25</v>
      </c>
      <c r="P180" s="30">
        <f>IF(H179=0,100000000,TRUNC(785.4*P179^2/H179/25)*25)</f>
        <v>50</v>
      </c>
      <c r="Q180" s="30">
        <f>IF(H179=0,100000000,TRUNC(785.4*Q179^2/H179/25)*25)</f>
        <v>75</v>
      </c>
      <c r="R180" s="30">
        <f>IF(H179=0,100000000,TRUNC(785.4*R179^2/H179/25)*25)</f>
        <v>100</v>
      </c>
      <c r="S180" s="30">
        <f>IF(H179=0,100000000,TRUNC(785.4*S179^2/H179/25)*25)</f>
        <v>125</v>
      </c>
    </row>
    <row r="181" spans="1:19" x14ac:dyDescent="0.2">
      <c r="A181" s="827"/>
      <c r="B181" s="827"/>
      <c r="C181" s="827"/>
      <c r="D181" s="827"/>
      <c r="E181" s="827"/>
      <c r="F181" s="827"/>
      <c r="G181" s="827"/>
      <c r="H181" s="827"/>
      <c r="I181" s="827"/>
      <c r="J181" s="827"/>
      <c r="K181" s="827"/>
      <c r="M181" s="6" t="s">
        <v>68</v>
      </c>
      <c r="O181" s="30">
        <f>785.4*O179^2/O180</f>
        <v>4523.9039999999995</v>
      </c>
      <c r="P181" s="30">
        <f>785.4*P179^2/P180</f>
        <v>4021.248</v>
      </c>
      <c r="Q181" s="30">
        <f>785.4*Q179^2/Q180</f>
        <v>4188.8</v>
      </c>
      <c r="R181" s="30">
        <f>785.4*R179^2/R180</f>
        <v>3801.3359999999998</v>
      </c>
      <c r="S181" s="30">
        <f>785.4*S179^2/S180</f>
        <v>3927</v>
      </c>
    </row>
    <row r="182" spans="1:19" ht="13.5" x14ac:dyDescent="0.25">
      <c r="A182" s="827"/>
      <c r="B182" s="1276" t="s">
        <v>90</v>
      </c>
      <c r="C182" s="827"/>
      <c r="D182" s="827"/>
      <c r="E182" s="827"/>
      <c r="F182" s="827"/>
      <c r="G182" s="827"/>
      <c r="H182" s="827"/>
      <c r="I182" s="827"/>
      <c r="J182" s="827"/>
      <c r="K182" s="827"/>
      <c r="M182" s="6" t="s">
        <v>69</v>
      </c>
      <c r="O182" s="30">
        <f>IF(OR(O180&gt;300,O180&lt;100),100000000,O181-H179)</f>
        <v>100000000</v>
      </c>
      <c r="P182" s="30">
        <f>IF(OR(P180&gt;300,P180&lt;100),100000001,P181-H179)</f>
        <v>100000001</v>
      </c>
      <c r="Q182" s="30">
        <f>IF(OR(Q180&gt;300,Q180&lt;100),100000001,Q181-H179)</f>
        <v>100000001</v>
      </c>
      <c r="R182" s="30">
        <f>IF(OR(R180&gt;300,R180&lt;100),100000001,R181-H179)</f>
        <v>222.44219534957892</v>
      </c>
      <c r="S182" s="30">
        <f>IF(OR(S180&gt;300,S180&lt;100),100000001,S181-H179)</f>
        <v>348.10619534957914</v>
      </c>
    </row>
    <row r="183" spans="1:19" x14ac:dyDescent="0.2">
      <c r="A183" s="827"/>
      <c r="B183" s="827"/>
      <c r="C183" s="827"/>
      <c r="D183" s="827"/>
      <c r="E183" s="827"/>
      <c r="F183" s="827"/>
      <c r="G183" s="827"/>
      <c r="H183" s="827"/>
      <c r="I183" s="827"/>
      <c r="J183" s="827"/>
      <c r="K183" s="827"/>
      <c r="M183" s="6" t="s">
        <v>70</v>
      </c>
      <c r="O183" s="30">
        <f>IF(S180&lt;100,25,IF(MIN(O182:S182)=O182,12,IF(MIN(O182:S182)=P182,16,IF(MIN(O182:S182)=Q182,20,IF(MIN(O182:S182)=R182,22,IF(MIN(O182:S182)=S182,25,0))))))</f>
        <v>22</v>
      </c>
      <c r="P183" s="6" t="s">
        <v>71</v>
      </c>
      <c r="Q183" s="30">
        <f>IF(O183=12,O180,IF(O183=16,P180,IF(O183=20,Q180,IF(O183=22,R180,IF(O183=25,S180,0)))))</f>
        <v>100</v>
      </c>
      <c r="R183" s="6" t="s">
        <v>72</v>
      </c>
    </row>
    <row r="184" spans="1:19" x14ac:dyDescent="0.2">
      <c r="A184" s="827"/>
      <c r="B184" s="827" t="s">
        <v>245</v>
      </c>
      <c r="C184" s="827"/>
      <c r="D184" s="827"/>
      <c r="E184" s="827"/>
      <c r="F184" s="827"/>
      <c r="G184" s="874">
        <f>C180</f>
        <v>25</v>
      </c>
      <c r="H184" s="827" t="s">
        <v>43</v>
      </c>
      <c r="I184" s="827"/>
      <c r="J184" s="827"/>
      <c r="K184" s="827"/>
    </row>
    <row r="185" spans="1:19" x14ac:dyDescent="0.2">
      <c r="A185" s="827"/>
      <c r="B185" s="827" t="s">
        <v>246</v>
      </c>
      <c r="C185" s="827"/>
      <c r="D185" s="827"/>
      <c r="E185" s="827"/>
      <c r="F185" s="827"/>
      <c r="G185" s="878">
        <f>H59/G184</f>
        <v>672.79752674931865</v>
      </c>
      <c r="H185" s="827" t="str">
        <f>IF(G185&lt;=H59,"&lt; KN/m2","&gt; KN/m2")</f>
        <v>&lt; KN/m2</v>
      </c>
      <c r="I185" s="874">
        <f>H60</f>
        <v>1103</v>
      </c>
      <c r="J185" s="1222" t="s">
        <v>35</v>
      </c>
      <c r="K185" s="827"/>
    </row>
    <row r="186" spans="1:19" x14ac:dyDescent="0.2">
      <c r="A186" s="827"/>
      <c r="B186" s="827"/>
      <c r="C186" s="1222" t="s">
        <v>91</v>
      </c>
      <c r="D186" s="827"/>
      <c r="E186" s="827"/>
      <c r="F186" s="1229">
        <f>IF(G185&lt;I185,G185,I185)</f>
        <v>672.79752674931865</v>
      </c>
      <c r="G186" s="1222" t="s">
        <v>35</v>
      </c>
      <c r="H186" s="1222" t="s">
        <v>64</v>
      </c>
      <c r="I186" s="827"/>
      <c r="J186" s="827"/>
      <c r="K186" s="827"/>
    </row>
    <row r="187" spans="1:19" x14ac:dyDescent="0.2">
      <c r="A187" s="827"/>
      <c r="B187" s="1222" t="s">
        <v>92</v>
      </c>
      <c r="C187" s="827"/>
      <c r="D187" s="827"/>
      <c r="E187" s="827"/>
      <c r="F187" s="827"/>
      <c r="G187" s="827"/>
      <c r="H187" s="1229">
        <f>G139</f>
        <v>186.23043507614841</v>
      </c>
      <c r="I187" s="1222" t="s">
        <v>57</v>
      </c>
      <c r="J187" s="827"/>
      <c r="K187" s="827"/>
    </row>
    <row r="188" spans="1:19" x14ac:dyDescent="0.2">
      <c r="A188" s="827"/>
      <c r="B188" s="1222" t="s">
        <v>248</v>
      </c>
      <c r="C188" s="827"/>
      <c r="D188" s="827"/>
      <c r="E188" s="827"/>
      <c r="F188" s="827"/>
      <c r="G188" s="827"/>
      <c r="H188" s="997">
        <f>PI()*C180/E180*1000</f>
        <v>628.31853071795865</v>
      </c>
      <c r="I188" s="1222" t="s">
        <v>43</v>
      </c>
      <c r="J188" s="827"/>
      <c r="K188" s="827"/>
    </row>
    <row r="189" spans="1:19" x14ac:dyDescent="0.2">
      <c r="A189" s="827"/>
      <c r="B189" s="1222" t="s">
        <v>247</v>
      </c>
      <c r="C189" s="827"/>
      <c r="D189" s="827"/>
      <c r="E189" s="827"/>
      <c r="F189" s="1222"/>
      <c r="G189" s="827"/>
      <c r="H189" s="878">
        <f>H187/(H188*G70*G174)*1000000</f>
        <v>530.58113298401599</v>
      </c>
      <c r="I189" s="1222" t="s">
        <v>35</v>
      </c>
      <c r="J189" s="827"/>
      <c r="K189" s="827"/>
      <c r="M189" s="6" t="s">
        <v>95</v>
      </c>
      <c r="O189" s="6" t="s">
        <v>96</v>
      </c>
    </row>
    <row r="190" spans="1:19" x14ac:dyDescent="0.2">
      <c r="A190" s="827"/>
      <c r="B190" s="1272" t="str">
        <f>IF(F186&gt;=H189,"bs(allow)  &gt;  bs(actual)    Design is OK.  &lt;-----","bs(allow)  &lt;  bs(actual)    Design is not OK.  &lt;-----")</f>
        <v>bs(allow)  &gt;  bs(actual)    Design is OK.  &lt;-----</v>
      </c>
      <c r="C190" s="827"/>
      <c r="D190" s="827"/>
      <c r="E190" s="827"/>
      <c r="F190" s="827"/>
      <c r="G190" s="827"/>
      <c r="H190" s="827"/>
      <c r="I190" s="827"/>
      <c r="J190" s="827"/>
      <c r="K190" s="827"/>
      <c r="M190" s="26" t="s">
        <v>97</v>
      </c>
      <c r="N190" s="26" t="s">
        <v>98</v>
      </c>
      <c r="O190" s="26" t="s">
        <v>97</v>
      </c>
      <c r="P190" s="26" t="s">
        <v>98</v>
      </c>
    </row>
    <row r="191" spans="1:19" x14ac:dyDescent="0.2">
      <c r="A191" s="827"/>
      <c r="B191" s="826"/>
      <c r="C191" s="826"/>
      <c r="D191" s="826"/>
      <c r="E191" s="826"/>
      <c r="F191" s="827"/>
      <c r="G191" s="827"/>
      <c r="H191" s="827"/>
      <c r="I191" s="827"/>
      <c r="J191" s="827"/>
      <c r="K191" s="827"/>
      <c r="M191" s="27">
        <f>G205*N191^3-E205*N191</f>
        <v>0</v>
      </c>
      <c r="N191" s="25">
        <v>0</v>
      </c>
      <c r="O191" s="126">
        <f>G205*P191^3-E205*P191</f>
        <v>1.9832971330480831</v>
      </c>
      <c r="P191" s="25">
        <f>N197</f>
        <v>3.5999999999999996</v>
      </c>
    </row>
    <row r="192" spans="1:19" ht="13.5" x14ac:dyDescent="0.25">
      <c r="A192" s="1276" t="s">
        <v>93</v>
      </c>
      <c r="B192" s="827"/>
      <c r="C192" s="827"/>
      <c r="D192" s="827"/>
      <c r="E192" s="827"/>
      <c r="F192" s="1222"/>
      <c r="G192" s="827"/>
      <c r="H192" s="827"/>
      <c r="I192" s="827"/>
      <c r="J192" s="827"/>
      <c r="K192" s="827"/>
      <c r="M192" s="27">
        <f>G205*N192^3-E205*N192</f>
        <v>-23.176396645397627</v>
      </c>
      <c r="N192" s="25">
        <f>0.2*$F$32</f>
        <v>1.2000000000000002</v>
      </c>
      <c r="O192" s="126">
        <f>G205*P192^3-E205*P192</f>
        <v>13.938914804032493</v>
      </c>
      <c r="P192" s="25">
        <f>N197+0.04*$F$32</f>
        <v>3.84</v>
      </c>
    </row>
    <row r="193" spans="1:16" x14ac:dyDescent="0.2">
      <c r="A193" s="827"/>
      <c r="B193" s="1222" t="s">
        <v>358</v>
      </c>
      <c r="C193" s="827"/>
      <c r="D193" s="827"/>
      <c r="E193" s="827"/>
      <c r="F193" s="827"/>
      <c r="G193" s="827"/>
      <c r="H193" s="827"/>
      <c r="I193" s="827"/>
      <c r="J193" s="827"/>
      <c r="K193" s="827"/>
      <c r="M193" s="27">
        <f>G205*N193^3-E205*N193</f>
        <v>-28.474671523485004</v>
      </c>
      <c r="N193" s="25">
        <f>0.4*$F$32</f>
        <v>2.4000000000000004</v>
      </c>
      <c r="O193" s="126">
        <f>G205*P193^3-E205*P193</f>
        <v>28.182932061232577</v>
      </c>
      <c r="P193" s="25">
        <f>N197+0.08*$F$32</f>
        <v>4.08</v>
      </c>
    </row>
    <row r="194" spans="1:16" x14ac:dyDescent="0.2">
      <c r="A194" s="827"/>
      <c r="B194" s="827"/>
      <c r="C194" s="827"/>
      <c r="D194" s="827"/>
      <c r="E194" s="827"/>
      <c r="F194" s="827"/>
      <c r="G194" s="827"/>
      <c r="H194" s="827"/>
      <c r="I194" s="827"/>
      <c r="J194" s="827"/>
      <c r="K194" s="827"/>
      <c r="M194" s="27">
        <f>G205*N194^3-E205*N194</f>
        <v>1.9832971330480831</v>
      </c>
      <c r="N194" s="25">
        <f>0.6*$F$32</f>
        <v>3.5999999999999996</v>
      </c>
      <c r="O194" s="126">
        <f>G205*P194^3-E205*P194</f>
        <v>44.858373878786836</v>
      </c>
      <c r="P194" s="25">
        <f>N197+0.12*$F$32</f>
        <v>4.3199999999999994</v>
      </c>
    </row>
    <row r="195" spans="1:16" ht="13.5" x14ac:dyDescent="0.25">
      <c r="A195" s="827"/>
      <c r="B195" s="1276" t="s">
        <v>94</v>
      </c>
      <c r="C195" s="827"/>
      <c r="D195" s="827"/>
      <c r="E195" s="827"/>
      <c r="F195" s="827"/>
      <c r="G195" s="827"/>
      <c r="H195" s="827"/>
      <c r="I195" s="827"/>
      <c r="J195" s="827"/>
      <c r="K195" s="827"/>
      <c r="M195" s="27">
        <f>G205*N195^3-E205*N195</f>
        <v>86.075631091512022</v>
      </c>
      <c r="N195" s="25">
        <f>0.8*$F$32</f>
        <v>4.8000000000000007</v>
      </c>
      <c r="O195" s="126">
        <f>G205*P195^3-E205*P195</f>
        <v>64.108265230833823</v>
      </c>
      <c r="P195" s="25">
        <f>N197+0.16*$F$32</f>
        <v>4.5599999999999996</v>
      </c>
    </row>
    <row r="196" spans="1:16" x14ac:dyDescent="0.2">
      <c r="A196" s="827"/>
      <c r="B196" s="827"/>
      <c r="C196" s="827"/>
      <c r="D196" s="827"/>
      <c r="E196" s="827"/>
      <c r="F196" s="827"/>
      <c r="G196" s="827"/>
      <c r="H196" s="827"/>
      <c r="I196" s="827"/>
      <c r="J196" s="827"/>
      <c r="K196" s="827"/>
      <c r="M196" s="27">
        <f>G205*N196^3-E205*N196</f>
        <v>241.68045211921682</v>
      </c>
      <c r="N196" s="25">
        <f>$F$32</f>
        <v>6</v>
      </c>
      <c r="P196" s="25">
        <f>IF(O192&gt;O191,VLOOKUP(C205,O191:P195,2),IF(O193&gt;O192,VLOOKUP(C205,O192:P195,2),IF(O194&gt;O193,VLOOKUP(C205,O193:P195,2),IF(O195&gt;O194,VLOOKUP(C205,O194:P195,2),P195))))</f>
        <v>4.5599999999999996</v>
      </c>
    </row>
    <row r="197" spans="1:16" x14ac:dyDescent="0.2">
      <c r="A197" s="827"/>
      <c r="B197" s="1222" t="s">
        <v>359</v>
      </c>
      <c r="C197" s="827"/>
      <c r="D197" s="827"/>
      <c r="E197" s="827"/>
      <c r="F197" s="827"/>
      <c r="G197" s="827"/>
      <c r="H197" s="827"/>
      <c r="I197" s="827"/>
      <c r="J197" s="827"/>
      <c r="K197" s="827"/>
      <c r="N197" s="25">
        <f>IF(M192&gt;M191,VLOOKUP(C205,M191:N196,2),IF(M193&gt;M192,VLOOKUP(C205,M192:N196,2),IF(M194&gt;M193,VLOOKUP(C205,M193:N196,2),IF(M195&gt;M194,VLOOKUP(C205,M194:N196,2),IF(M196&gt;M195,VLOOKUP(C205,M195:N196,2),N196)))))</f>
        <v>3.5999999999999996</v>
      </c>
    </row>
    <row r="198" spans="1:16" x14ac:dyDescent="0.2">
      <c r="A198" s="827"/>
      <c r="B198" s="1222" t="s">
        <v>360</v>
      </c>
      <c r="C198" s="827"/>
      <c r="D198" s="827"/>
      <c r="E198" s="827"/>
      <c r="F198" s="827"/>
      <c r="G198" s="827"/>
      <c r="H198" s="997">
        <f>H180/2</f>
        <v>1963.5</v>
      </c>
      <c r="I198" s="1222" t="s">
        <v>78</v>
      </c>
      <c r="J198" s="827"/>
      <c r="K198" s="827"/>
    </row>
    <row r="199" spans="1:16" x14ac:dyDescent="0.2">
      <c r="A199" s="827"/>
      <c r="B199" s="1222" t="s">
        <v>361</v>
      </c>
      <c r="C199" s="827"/>
      <c r="D199" s="827"/>
      <c r="E199" s="827"/>
      <c r="F199" s="827"/>
      <c r="G199" s="827"/>
      <c r="H199" s="827"/>
      <c r="I199" s="827"/>
      <c r="J199" s="827"/>
      <c r="K199" s="827"/>
      <c r="M199" s="6" t="s">
        <v>102</v>
      </c>
      <c r="O199" s="6" t="s">
        <v>103</v>
      </c>
    </row>
    <row r="200" spans="1:16" x14ac:dyDescent="0.2">
      <c r="A200" s="827"/>
      <c r="B200" s="1222" t="s">
        <v>362</v>
      </c>
      <c r="C200" s="827"/>
      <c r="D200" s="827"/>
      <c r="E200" s="827"/>
      <c r="F200" s="827" t="s">
        <v>249</v>
      </c>
      <c r="G200" s="997">
        <f>$D$32-$H$65</f>
        <v>225</v>
      </c>
      <c r="H200" s="1222" t="s">
        <v>99</v>
      </c>
      <c r="I200" s="1230">
        <f>($E$32-$D$32)/$F$32</f>
        <v>66.666666666666671</v>
      </c>
      <c r="J200" s="1222" t="s">
        <v>100</v>
      </c>
      <c r="K200" s="827"/>
      <c r="M200" s="26" t="s">
        <v>97</v>
      </c>
      <c r="N200" s="26" t="s">
        <v>98</v>
      </c>
      <c r="O200" s="26" t="s">
        <v>97</v>
      </c>
      <c r="P200" s="26" t="s">
        <v>98</v>
      </c>
    </row>
    <row r="201" spans="1:16" x14ac:dyDescent="0.2">
      <c r="A201" s="827"/>
      <c r="B201" s="827"/>
      <c r="C201" s="827"/>
      <c r="D201" s="827"/>
      <c r="E201" s="827"/>
      <c r="F201" s="827"/>
      <c r="G201" s="827"/>
      <c r="H201" s="827"/>
      <c r="I201" s="827"/>
      <c r="J201" s="827"/>
      <c r="K201" s="827"/>
      <c r="M201" s="27">
        <f>G205*N201^3-E205*N201</f>
        <v>64.108265230833823</v>
      </c>
      <c r="N201" s="25">
        <f>P196</f>
        <v>4.5599999999999996</v>
      </c>
      <c r="O201" s="44">
        <f>G205*P201^3-E205*P201</f>
        <v>72.561105235517587</v>
      </c>
      <c r="P201" s="25">
        <f>N206</f>
        <v>4.6559999999999997</v>
      </c>
    </row>
    <row r="202" spans="1:16" x14ac:dyDescent="0.2">
      <c r="A202" s="827"/>
      <c r="B202" s="1222" t="s">
        <v>156</v>
      </c>
      <c r="C202" s="827"/>
      <c r="D202" s="827"/>
      <c r="E202" s="1230">
        <f>H198*H54*G70*G200/1000000000</f>
        <v>73.563985143607496</v>
      </c>
      <c r="F202" s="1222" t="s">
        <v>99</v>
      </c>
      <c r="G202" s="1230">
        <f>H198*H54*G70*I200/1000000000</f>
        <v>21.796736338846667</v>
      </c>
      <c r="H202" s="1222" t="s">
        <v>100</v>
      </c>
      <c r="I202" s="827"/>
      <c r="J202" s="827"/>
      <c r="K202" s="827"/>
      <c r="M202" s="27">
        <f>G205*N202^3-E205*N202</f>
        <v>68.279763643106506</v>
      </c>
      <c r="N202" s="25">
        <f>P196+0.008*$F$32</f>
        <v>4.6079999999999997</v>
      </c>
      <c r="O202" s="44">
        <f>G205*P202^3-E205*P202</f>
        <v>73.430655425198168</v>
      </c>
      <c r="P202" s="25">
        <f>N206+0.0016*$F$32</f>
        <v>4.6655999999999995</v>
      </c>
    </row>
    <row r="203" spans="1:16" ht="15.75" x14ac:dyDescent="0.3">
      <c r="A203" s="827"/>
      <c r="B203" s="1222" t="s">
        <v>2527</v>
      </c>
      <c r="C203" s="827"/>
      <c r="D203" s="827"/>
      <c r="E203" s="827"/>
      <c r="F203" s="827"/>
      <c r="G203" s="1230">
        <f>$H$49*$G$46/6</f>
        <v>1.7243558803347074</v>
      </c>
      <c r="H203" s="1222" t="s">
        <v>104</v>
      </c>
      <c r="I203" s="827"/>
      <c r="J203" s="827"/>
      <c r="K203" s="827"/>
      <c r="M203" s="27">
        <f>G205*N203^3-E205*N203</f>
        <v>72.561105235517587</v>
      </c>
      <c r="N203" s="25">
        <f>P196+0.016*$F$32</f>
        <v>4.6559999999999997</v>
      </c>
      <c r="O203" s="44">
        <f>G205*P203^3-E205*P203</f>
        <v>74.304654263674337</v>
      </c>
      <c r="P203" s="25">
        <f>N206+0.0032*$F$32</f>
        <v>4.6751999999999994</v>
      </c>
    </row>
    <row r="204" spans="1:16" x14ac:dyDescent="0.2">
      <c r="A204" s="827"/>
      <c r="B204" s="1222" t="s">
        <v>105</v>
      </c>
      <c r="C204" s="827"/>
      <c r="D204" s="827"/>
      <c r="E204" s="827"/>
      <c r="F204" s="827"/>
      <c r="G204" s="827"/>
      <c r="H204" s="827"/>
      <c r="I204" s="827"/>
      <c r="J204" s="827"/>
      <c r="K204" s="827"/>
      <c r="M204" s="27">
        <f>G205*N204^3-E205*N204</f>
        <v>76.95343420786007</v>
      </c>
      <c r="N204" s="25">
        <f>P196+0.024*$F$32</f>
        <v>4.7039999999999997</v>
      </c>
      <c r="O204" s="44">
        <f>G205*P204^3-E205*P204</f>
        <v>75.183110904544563</v>
      </c>
      <c r="P204" s="25">
        <f>N206+0.0048*$F$32</f>
        <v>4.6848000000000001</v>
      </c>
    </row>
    <row r="205" spans="1:16" x14ac:dyDescent="0.2">
      <c r="A205" s="827"/>
      <c r="B205" s="827"/>
      <c r="C205" s="1230">
        <f>E202</f>
        <v>73.563985143607496</v>
      </c>
      <c r="D205" s="1222" t="s">
        <v>99</v>
      </c>
      <c r="E205" s="1230">
        <f>G202</f>
        <v>21.796736338846667</v>
      </c>
      <c r="F205" s="1222" t="s">
        <v>106</v>
      </c>
      <c r="G205" s="1230">
        <f>G203</f>
        <v>1.7243558803347074</v>
      </c>
      <c r="H205" s="1222" t="s">
        <v>104</v>
      </c>
      <c r="I205" s="827"/>
      <c r="J205" s="827"/>
      <c r="K205" s="827"/>
      <c r="M205" s="27">
        <f>G205*N205^3-E205*N205</f>
        <v>81.4578947599272</v>
      </c>
      <c r="N205" s="25">
        <f>P196+0.032*$F$32</f>
        <v>4.7519999999999998</v>
      </c>
      <c r="O205" s="44">
        <f>G205*P205^3-E205*P205</f>
        <v>76.066034501407032</v>
      </c>
      <c r="P205" s="25">
        <f>N206+0.0064*$F$32</f>
        <v>4.6943999999999999</v>
      </c>
    </row>
    <row r="206" spans="1:16" x14ac:dyDescent="0.2">
      <c r="A206" s="827"/>
      <c r="B206" s="1222" t="s">
        <v>255</v>
      </c>
      <c r="C206" s="827"/>
      <c r="D206" s="827"/>
      <c r="E206" s="827"/>
      <c r="F206" s="827" t="s">
        <v>254</v>
      </c>
      <c r="G206" s="1229">
        <f>P206</f>
        <v>4.6655999999999995</v>
      </c>
      <c r="H206" s="1222" t="s">
        <v>107</v>
      </c>
      <c r="I206" s="827"/>
      <c r="J206" s="827"/>
      <c r="K206" s="827"/>
      <c r="N206" s="25">
        <f>IF(M202&gt;M201,VLOOKUP(C205,M201:N205,2),IF(M203&gt;M202,VLOOKUP(C205,M202:N205,2),IF(M204&gt;M203,VLOOKUP(C205,M203:N205,2),IF(M205&gt;M204,VLOOKUP(C205,M204:N205,2),N205))))</f>
        <v>4.6559999999999997</v>
      </c>
      <c r="P206" s="25">
        <f>IF(O202&gt;O201,VLOOKUP(C205,O201:P205,2),IF(O203&gt;O202,VLOOKUP(C205,O202:P205,2),IF(O204&gt;O203,VLOOKUP(C205,O203:P205,2),IF(O205&gt;O204,VLOOKUP(C205,O204:P205,2),P205))))</f>
        <v>4.6655999999999995</v>
      </c>
    </row>
    <row r="207" spans="1:16" x14ac:dyDescent="0.2">
      <c r="A207" s="827"/>
      <c r="B207" s="1222" t="s">
        <v>364</v>
      </c>
      <c r="C207" s="827"/>
      <c r="D207" s="827"/>
      <c r="E207" s="827"/>
      <c r="F207" s="827"/>
      <c r="G207" s="827"/>
      <c r="H207" s="827"/>
      <c r="I207" s="827"/>
      <c r="J207" s="827"/>
      <c r="K207" s="827"/>
    </row>
    <row r="208" spans="1:16" x14ac:dyDescent="0.2">
      <c r="A208" s="827"/>
      <c r="B208" s="1222" t="s">
        <v>392</v>
      </c>
      <c r="C208" s="827"/>
      <c r="D208" s="827"/>
      <c r="E208" s="827"/>
      <c r="F208" s="827"/>
      <c r="G208" s="827"/>
      <c r="H208" s="827"/>
      <c r="I208" s="827"/>
      <c r="J208" s="827"/>
      <c r="K208" s="827"/>
    </row>
    <row r="209" spans="1:16" x14ac:dyDescent="0.2">
      <c r="A209" s="827"/>
      <c r="B209" s="1222" t="s">
        <v>365</v>
      </c>
      <c r="C209" s="827"/>
      <c r="D209" s="827"/>
      <c r="E209" s="827"/>
      <c r="F209" s="827"/>
      <c r="G209" s="827"/>
      <c r="H209" s="827"/>
      <c r="I209" s="827"/>
      <c r="J209" s="827"/>
      <c r="K209" s="827"/>
    </row>
    <row r="210" spans="1:16" x14ac:dyDescent="0.2">
      <c r="A210" s="827"/>
      <c r="B210" s="1222" t="s">
        <v>55</v>
      </c>
      <c r="C210" s="997">
        <f>G200</f>
        <v>225</v>
      </c>
      <c r="D210" s="1222" t="s">
        <v>99</v>
      </c>
      <c r="E210" s="1272">
        <f>I200</f>
        <v>66.666666666666671</v>
      </c>
      <c r="F210" s="1222" t="s">
        <v>108</v>
      </c>
      <c r="G210" s="997">
        <f>C210+E210*G206</f>
        <v>536.04</v>
      </c>
      <c r="H210" s="1222" t="s">
        <v>43</v>
      </c>
      <c r="I210" s="827"/>
      <c r="J210" s="827"/>
      <c r="K210" s="827"/>
    </row>
    <row r="211" spans="1:16" x14ac:dyDescent="0.2">
      <c r="A211" s="827"/>
      <c r="B211" s="1222" t="s">
        <v>250</v>
      </c>
      <c r="C211" s="827"/>
      <c r="D211" s="827"/>
      <c r="E211" s="997"/>
      <c r="F211" s="1222"/>
      <c r="G211" s="997">
        <f>12*C180</f>
        <v>300</v>
      </c>
      <c r="H211" s="1222" t="s">
        <v>43</v>
      </c>
      <c r="I211" s="827"/>
      <c r="J211" s="827"/>
      <c r="K211" s="827"/>
    </row>
    <row r="212" spans="1:16" x14ac:dyDescent="0.2">
      <c r="A212" s="827"/>
      <c r="B212" s="1272" t="str">
        <f>IF(G210&gt;=G211,"da  &gt;  12 * Bar Diameter","da  &lt;  12 * Bar Diameter")</f>
        <v>da  &gt;  12 * Bar Diameter</v>
      </c>
      <c r="C212" s="827"/>
      <c r="D212" s="827"/>
      <c r="E212" s="1222" t="s">
        <v>251</v>
      </c>
      <c r="F212" s="827"/>
      <c r="G212" s="997">
        <f>IF(G210&gt;G211,G210,G211)</f>
        <v>536.04</v>
      </c>
      <c r="H212" s="1222" t="s">
        <v>62</v>
      </c>
      <c r="I212" s="827"/>
      <c r="J212" s="827"/>
      <c r="K212" s="827"/>
    </row>
    <row r="213" spans="1:16" x14ac:dyDescent="0.2">
      <c r="A213" s="827"/>
      <c r="B213" s="1222" t="s">
        <v>252</v>
      </c>
      <c r="C213" s="827"/>
      <c r="D213" s="827"/>
      <c r="E213" s="827"/>
      <c r="F213" s="827"/>
      <c r="G213" s="878">
        <f>F32-G206+G212/1000</f>
        <v>1.8704400000000003</v>
      </c>
      <c r="H213" s="1222" t="s">
        <v>24</v>
      </c>
      <c r="I213" s="827"/>
      <c r="J213" s="827"/>
      <c r="K213" s="827"/>
    </row>
    <row r="214" spans="1:16" x14ac:dyDescent="0.2">
      <c r="A214" s="827"/>
      <c r="B214" s="1222" t="s">
        <v>112</v>
      </c>
      <c r="C214" s="1229">
        <f>F32-G213</f>
        <v>4.1295599999999997</v>
      </c>
      <c r="D214" s="1272" t="str">
        <f>IF(C214&gt;=1,"m &gt; 1 m   Curtailment should be made."," m &lt; 1 m   Curtailment should not be made.")</f>
        <v>m &gt; 1 m   Curtailment should be made.</v>
      </c>
      <c r="E214" s="827"/>
      <c r="F214" s="827"/>
      <c r="G214" s="827"/>
      <c r="H214" s="827"/>
      <c r="I214" s="827"/>
      <c r="J214" s="827"/>
      <c r="K214" s="827"/>
      <c r="M214" s="6" t="s">
        <v>95</v>
      </c>
      <c r="O214" s="6" t="s">
        <v>96</v>
      </c>
    </row>
    <row r="215" spans="1:16" x14ac:dyDescent="0.2">
      <c r="A215" s="827"/>
      <c r="B215" s="827"/>
      <c r="C215" s="827"/>
      <c r="D215" s="827"/>
      <c r="E215" s="827"/>
      <c r="F215" s="827"/>
      <c r="G215" s="827"/>
      <c r="H215" s="827"/>
      <c r="I215" s="827"/>
      <c r="J215" s="827"/>
      <c r="K215" s="827"/>
      <c r="M215" s="26" t="s">
        <v>97</v>
      </c>
      <c r="N215" s="26" t="s">
        <v>98</v>
      </c>
      <c r="O215" s="26" t="s">
        <v>97</v>
      </c>
      <c r="P215" s="26" t="s">
        <v>98</v>
      </c>
    </row>
    <row r="216" spans="1:16" ht="13.5" x14ac:dyDescent="0.25">
      <c r="A216" s="827"/>
      <c r="B216" s="1276" t="s">
        <v>87</v>
      </c>
      <c r="C216" s="827"/>
      <c r="D216" s="827"/>
      <c r="E216" s="827"/>
      <c r="F216" s="827"/>
      <c r="G216" s="827"/>
      <c r="H216" s="827"/>
      <c r="I216" s="827"/>
      <c r="J216" s="827"/>
      <c r="K216" s="827"/>
      <c r="M216" s="27">
        <f>G230*N216^3-E230*N216</f>
        <v>0</v>
      </c>
      <c r="N216" s="25">
        <v>0</v>
      </c>
      <c r="O216" s="126">
        <f>G230*P216^3-E230*P216</f>
        <v>-2.3185879168689993</v>
      </c>
      <c r="P216" s="25">
        <f>N222</f>
        <v>2.4000000000000004</v>
      </c>
    </row>
    <row r="217" spans="1:16" x14ac:dyDescent="0.2">
      <c r="A217" s="827"/>
      <c r="B217" s="1222" t="s">
        <v>366</v>
      </c>
      <c r="C217" s="827"/>
      <c r="D217" s="827"/>
      <c r="E217" s="827"/>
      <c r="F217" s="827"/>
      <c r="G217" s="827"/>
      <c r="H217" s="869">
        <f>1/2*H180</f>
        <v>1963.5</v>
      </c>
      <c r="I217" s="1222" t="s">
        <v>78</v>
      </c>
      <c r="J217" s="827"/>
      <c r="K217" s="827"/>
      <c r="M217" s="27">
        <f>G230*N217^3-E230*N217</f>
        <v>-10.098354842089627</v>
      </c>
      <c r="N217" s="25">
        <f>0.2*$F$32</f>
        <v>1.2000000000000002</v>
      </c>
      <c r="O217" s="126">
        <f>G230*P217^3-E230*P217</f>
        <v>2.9560147957756655</v>
      </c>
      <c r="P217" s="25">
        <f>N222+0.04*$F$32</f>
        <v>2.6400000000000006</v>
      </c>
    </row>
    <row r="218" spans="1:16" x14ac:dyDescent="0.2">
      <c r="A218" s="827"/>
      <c r="B218" s="1272" t="str">
        <f>IF(H217&gt;=H178,"Ast(moment) &gt; Ast(shrinkage)","Ast(omemnt) &lt; Ast(shrinkage)")</f>
        <v>Ast(moment) &gt; Ast(shrinkage)</v>
      </c>
      <c r="C218" s="827"/>
      <c r="D218" s="827"/>
      <c r="E218" s="827"/>
      <c r="F218" s="1278" t="s">
        <v>114</v>
      </c>
      <c r="G218" s="1279"/>
      <c r="H218" s="1279"/>
      <c r="I218" s="1280">
        <f>IF(OR(C214&lt;1,H217&lt;H178),F32,G213)</f>
        <v>1.8704400000000003</v>
      </c>
      <c r="J218" s="1278" t="s">
        <v>115</v>
      </c>
      <c r="K218" s="827"/>
      <c r="M218" s="27">
        <f>G230*N218^3-E230*N218</f>
        <v>-2.3185879168689993</v>
      </c>
      <c r="N218" s="25">
        <f>0.4*$F$32</f>
        <v>2.4000000000000004</v>
      </c>
      <c r="O218" s="126">
        <f>G230*P218^3-E230*P218</f>
        <v>9.8038922239436097</v>
      </c>
      <c r="P218" s="25">
        <f>N222+0.08*$F$32</f>
        <v>2.8800000000000003</v>
      </c>
    </row>
    <row r="219" spans="1:16" x14ac:dyDescent="0.2">
      <c r="A219" s="827"/>
      <c r="B219" s="827"/>
      <c r="C219" s="827"/>
      <c r="D219" s="827"/>
      <c r="E219" s="827"/>
      <c r="F219" s="827"/>
      <c r="G219" s="827"/>
      <c r="H219" s="827"/>
      <c r="I219" s="827"/>
      <c r="J219" s="827"/>
      <c r="K219" s="827"/>
      <c r="M219" s="27">
        <f>G230*N219^3-E230*N219</f>
        <v>41.217422542972081</v>
      </c>
      <c r="N219" s="25">
        <f>0.6*$F$32</f>
        <v>3.5999999999999996</v>
      </c>
      <c r="O219" s="126">
        <f>G230*P219^3-E230*P219</f>
        <v>18.368069341773349</v>
      </c>
      <c r="P219" s="25">
        <f>N222+0.12*$F$32</f>
        <v>3.12</v>
      </c>
    </row>
    <row r="220" spans="1:16" ht="13.5" x14ac:dyDescent="0.25">
      <c r="A220" s="827"/>
      <c r="B220" s="1276" t="s">
        <v>116</v>
      </c>
      <c r="C220" s="827"/>
      <c r="D220" s="827"/>
      <c r="E220" s="827"/>
      <c r="F220" s="827"/>
      <c r="G220" s="827"/>
      <c r="H220" s="827"/>
      <c r="I220" s="827"/>
      <c r="J220" s="827"/>
      <c r="K220" s="827"/>
      <c r="M220" s="27">
        <f>G230*N220^3-E230*N220</f>
        <v>138.38779830474402</v>
      </c>
      <c r="N220" s="25">
        <f>0.8*$F$32</f>
        <v>4.8000000000000007</v>
      </c>
      <c r="O220" s="126">
        <f>G230*P220^3-E230*P220</f>
        <v>28.791571123403365</v>
      </c>
      <c r="P220" s="25">
        <f>N222+0.16*$F$32</f>
        <v>3.3600000000000003</v>
      </c>
    </row>
    <row r="221" spans="1:16" x14ac:dyDescent="0.2">
      <c r="A221" s="827"/>
      <c r="B221" s="827"/>
      <c r="C221" s="827"/>
      <c r="D221" s="827"/>
      <c r="E221" s="827"/>
      <c r="F221" s="827"/>
      <c r="G221" s="827"/>
      <c r="H221" s="827"/>
      <c r="I221" s="827"/>
      <c r="J221" s="827"/>
      <c r="K221" s="827"/>
      <c r="M221" s="27">
        <f>G230*N221^3-E230*N221</f>
        <v>307.07066113575684</v>
      </c>
      <c r="N221" s="25">
        <f>$F$32</f>
        <v>6</v>
      </c>
      <c r="P221" s="25">
        <f>IF(O217&gt;O216,VLOOKUP(C230,O216:P220,2),IF(O218&gt;O217,VLOOKUP(C230,O217:P220,2),IF(O219&gt;O218,VLOOKUP(C230,O218:P220,2),IF(O220&gt;O219,VLOOKUP(C230,O219:P220,2),P220))))</f>
        <v>3.3600000000000003</v>
      </c>
    </row>
    <row r="222" spans="1:16" x14ac:dyDescent="0.2">
      <c r="A222" s="1222"/>
      <c r="B222" s="1222" t="s">
        <v>367</v>
      </c>
      <c r="C222" s="827"/>
      <c r="D222" s="827"/>
      <c r="E222" s="827"/>
      <c r="F222" s="827"/>
      <c r="G222" s="827"/>
      <c r="H222" s="827"/>
      <c r="I222" s="827"/>
      <c r="J222" s="827"/>
      <c r="K222" s="827"/>
      <c r="N222" s="25">
        <f>IF(M217&gt;M216,VLOOKUP(C230,M216:N221,2),IF(M218&gt;M217,VLOOKUP(C230,M217:N221,2),IF(M219&gt;M218,VLOOKUP(C230,M218:N221,2),IF(M220&gt;M219,VLOOKUP(C230,M219:N221,2),IF(M221&gt;M220,VLOOKUP(C230,M220:N221,2),N221)))))</f>
        <v>2.4000000000000004</v>
      </c>
    </row>
    <row r="223" spans="1:16" x14ac:dyDescent="0.2">
      <c r="A223" s="827"/>
      <c r="B223" s="1222" t="s">
        <v>393</v>
      </c>
      <c r="C223" s="827"/>
      <c r="D223" s="827"/>
      <c r="E223" s="827"/>
      <c r="F223" s="827"/>
      <c r="G223" s="827"/>
      <c r="H223" s="997">
        <f>H180/4</f>
        <v>981.75</v>
      </c>
      <c r="I223" s="1222" t="s">
        <v>78</v>
      </c>
      <c r="J223" s="827"/>
      <c r="K223" s="827"/>
    </row>
    <row r="224" spans="1:16" x14ac:dyDescent="0.2">
      <c r="A224" s="827"/>
      <c r="B224" s="1222" t="s">
        <v>368</v>
      </c>
      <c r="C224" s="827"/>
      <c r="D224" s="827"/>
      <c r="E224" s="827"/>
      <c r="F224" s="827"/>
      <c r="G224" s="827"/>
      <c r="H224" s="827"/>
      <c r="I224" s="827"/>
      <c r="J224" s="827"/>
      <c r="K224" s="827"/>
      <c r="M224" s="6" t="s">
        <v>102</v>
      </c>
      <c r="O224" s="6" t="s">
        <v>103</v>
      </c>
    </row>
    <row r="225" spans="1:16" x14ac:dyDescent="0.2">
      <c r="A225" s="827"/>
      <c r="B225" s="1222"/>
      <c r="C225" s="827"/>
      <c r="D225" s="827"/>
      <c r="E225" s="827"/>
      <c r="F225" s="827" t="s">
        <v>249</v>
      </c>
      <c r="G225" s="997">
        <f>$D$32-$H$65</f>
        <v>225</v>
      </c>
      <c r="H225" s="1222" t="s">
        <v>99</v>
      </c>
      <c r="I225" s="1281">
        <f>($E$32-$D$32)/+$F$32</f>
        <v>66.666666666666671</v>
      </c>
      <c r="J225" s="1222" t="s">
        <v>100</v>
      </c>
      <c r="K225" s="827"/>
      <c r="M225" s="26" t="s">
        <v>97</v>
      </c>
      <c r="N225" s="26" t="s">
        <v>98</v>
      </c>
      <c r="O225" s="26" t="s">
        <v>97</v>
      </c>
      <c r="P225" s="26" t="s">
        <v>98</v>
      </c>
    </row>
    <row r="226" spans="1:16" x14ac:dyDescent="0.2">
      <c r="A226" s="827"/>
      <c r="B226" s="1222" t="s">
        <v>101</v>
      </c>
      <c r="C226" s="827"/>
      <c r="D226" s="827"/>
      <c r="E226" s="1282">
        <f>H223*H54*G70*G225/1000000000</f>
        <v>36.781992571803748</v>
      </c>
      <c r="F226" s="1222" t="s">
        <v>99</v>
      </c>
      <c r="G226" s="1282">
        <f>H223*H54*G70*I225/1000000000</f>
        <v>10.898368169423334</v>
      </c>
      <c r="H226" s="1222" t="s">
        <v>100</v>
      </c>
      <c r="I226" s="827"/>
      <c r="J226" s="827"/>
      <c r="K226" s="827"/>
      <c r="M226" s="27">
        <f>G230*N226^3-E230*N226</f>
        <v>28.791571123403365</v>
      </c>
      <c r="N226" s="25">
        <f>P221</f>
        <v>3.3600000000000003</v>
      </c>
      <c r="O226" s="44">
        <f>G230*P226^3-E230*P226</f>
        <v>35.997646420247108</v>
      </c>
      <c r="P226" s="25">
        <f>N231</f>
        <v>3.5040000000000004</v>
      </c>
    </row>
    <row r="227" spans="1:16" x14ac:dyDescent="0.2">
      <c r="A227" s="827"/>
      <c r="B227" s="1222" t="s">
        <v>2528</v>
      </c>
      <c r="C227" s="827"/>
      <c r="D227" s="827"/>
      <c r="E227" s="827"/>
      <c r="F227" s="827"/>
      <c r="G227" s="1281">
        <f>$H$49*$G$46/6</f>
        <v>1.7243558803347074</v>
      </c>
      <c r="H227" s="1222" t="s">
        <v>104</v>
      </c>
      <c r="I227" s="827"/>
      <c r="J227" s="827"/>
      <c r="K227" s="827"/>
      <c r="M227" s="27">
        <f>G230*N227^3-E230*N227</f>
        <v>31.111976637109592</v>
      </c>
      <c r="N227" s="25">
        <f>P221+0.008*$F$32</f>
        <v>3.4080000000000004</v>
      </c>
      <c r="O227" s="44">
        <f>G230*P227^3-E230*P227</f>
        <v>36.50443821286548</v>
      </c>
      <c r="P227" s="25">
        <f>N231+0.0016*$F$32</f>
        <v>3.5136000000000003</v>
      </c>
    </row>
    <row r="228" spans="1:16" x14ac:dyDescent="0.2">
      <c r="A228" s="827"/>
      <c r="B228" s="827"/>
      <c r="C228" s="827"/>
      <c r="D228" s="827"/>
      <c r="E228" s="827"/>
      <c r="F228" s="827"/>
      <c r="G228" s="827"/>
      <c r="H228" s="827"/>
      <c r="I228" s="827"/>
      <c r="J228" s="827"/>
      <c r="K228" s="827"/>
      <c r="M228" s="27">
        <f>G230*N228^3-E230*N228</f>
        <v>33.513620336126479</v>
      </c>
      <c r="N228" s="25">
        <f>P221+0.016*$F$32</f>
        <v>3.4560000000000004</v>
      </c>
      <c r="O228" s="44">
        <f>G230*P228^3-E230*P228</f>
        <v>37.014580222478095</v>
      </c>
      <c r="P228" s="25">
        <f>N231+0.0032*$F$32</f>
        <v>3.5232000000000006</v>
      </c>
    </row>
    <row r="229" spans="1:16" x14ac:dyDescent="0.2">
      <c r="A229" s="827"/>
      <c r="B229" s="1222" t="s">
        <v>105</v>
      </c>
      <c r="C229" s="827"/>
      <c r="D229" s="827"/>
      <c r="E229" s="827"/>
      <c r="F229" s="827"/>
      <c r="G229" s="827"/>
      <c r="H229" s="827"/>
      <c r="I229" s="827"/>
      <c r="J229" s="827"/>
      <c r="K229" s="827"/>
      <c r="M229" s="27">
        <f>G230*N229^3-E230*N229</f>
        <v>35.997646420247108</v>
      </c>
      <c r="N229" s="25">
        <f>P221+0.024*$F$32</f>
        <v>3.5040000000000004</v>
      </c>
      <c r="O229" s="44">
        <f>G230*P229^3-E230*P229</f>
        <v>37.528081602683251</v>
      </c>
      <c r="P229" s="25">
        <f>N231+0.0048*$F$32</f>
        <v>3.5328000000000004</v>
      </c>
    </row>
    <row r="230" spans="1:16" x14ac:dyDescent="0.2">
      <c r="A230" s="827"/>
      <c r="B230" s="827"/>
      <c r="C230" s="1281">
        <f>E226</f>
        <v>36.781992571803748</v>
      </c>
      <c r="D230" s="1222" t="s">
        <v>99</v>
      </c>
      <c r="E230" s="1281">
        <f>G226</f>
        <v>10.898368169423334</v>
      </c>
      <c r="F230" s="1222" t="s">
        <v>106</v>
      </c>
      <c r="G230" s="1281">
        <f>G227</f>
        <v>1.7243558803347074</v>
      </c>
      <c r="H230" s="1222" t="s">
        <v>104</v>
      </c>
      <c r="I230" s="827"/>
      <c r="J230" s="827"/>
      <c r="K230" s="827"/>
      <c r="M230" s="27">
        <f>G230*N230^3-E230*N230</f>
        <v>38.565199089264638</v>
      </c>
      <c r="N230" s="25">
        <f>P221+0.032*$F$32</f>
        <v>3.5520000000000005</v>
      </c>
      <c r="O230" s="44">
        <f>G230*P230^3-E230*P230</f>
        <v>38.044951507079332</v>
      </c>
      <c r="P230" s="25">
        <f>N231+0.0064*$F$32</f>
        <v>3.5424000000000007</v>
      </c>
    </row>
    <row r="231" spans="1:16" x14ac:dyDescent="0.2">
      <c r="A231" s="827"/>
      <c r="B231" s="1222" t="s">
        <v>370</v>
      </c>
      <c r="C231" s="827"/>
      <c r="D231" s="827"/>
      <c r="E231" s="827"/>
      <c r="F231" s="827" t="s">
        <v>254</v>
      </c>
      <c r="G231" s="827"/>
      <c r="H231" s="1229">
        <f>P231</f>
        <v>3.5136000000000003</v>
      </c>
      <c r="I231" s="1283" t="s">
        <v>107</v>
      </c>
      <c r="J231" s="827"/>
      <c r="K231" s="827"/>
      <c r="N231" s="25">
        <f>IF(M227&gt;M226,VLOOKUP(C230,M226:N230,2),IF(M228&gt;M227,VLOOKUP(C230,M227:N230,2),IF(M229&gt;M228,VLOOKUP(C230,M228:N230,2),IF(M230&gt;M229,VLOOKUP(C230,M229:N230,2),N230))))</f>
        <v>3.5040000000000004</v>
      </c>
      <c r="P231" s="25">
        <f>IF(O227&gt;O226,VLOOKUP(C230,O226:P230,2),IF(O228&gt;O227,VLOOKUP(C230,O227:P230,2),IF(O229&gt;O228,VLOOKUP(C230,O228:P230,2),IF(O230&gt;O229,VLOOKUP(C230,O229:P230,2),P230))))</f>
        <v>3.5136000000000003</v>
      </c>
    </row>
    <row r="232" spans="1:16" x14ac:dyDescent="0.2">
      <c r="A232" s="827"/>
      <c r="B232" s="827"/>
      <c r="C232" s="827"/>
      <c r="D232" s="827"/>
      <c r="E232" s="827"/>
      <c r="F232" s="827"/>
      <c r="G232" s="827"/>
      <c r="H232" s="827"/>
      <c r="I232" s="827"/>
      <c r="J232" s="827"/>
      <c r="K232" s="827"/>
    </row>
    <row r="233" spans="1:16" x14ac:dyDescent="0.2">
      <c r="A233" s="827"/>
      <c r="B233" s="1222" t="s">
        <v>371</v>
      </c>
      <c r="C233" s="827"/>
      <c r="D233" s="827"/>
      <c r="E233" s="827"/>
      <c r="F233" s="827"/>
      <c r="G233" s="827"/>
      <c r="H233" s="827"/>
      <c r="I233" s="827"/>
      <c r="J233" s="827"/>
      <c r="K233" s="827"/>
    </row>
    <row r="234" spans="1:16" x14ac:dyDescent="0.2">
      <c r="A234" s="827"/>
      <c r="B234" s="1222" t="s">
        <v>372</v>
      </c>
      <c r="C234" s="827"/>
      <c r="D234" s="827"/>
      <c r="E234" s="827"/>
      <c r="F234" s="827"/>
      <c r="G234" s="827"/>
      <c r="H234" s="827"/>
      <c r="I234" s="827"/>
      <c r="J234" s="827"/>
      <c r="K234" s="827"/>
    </row>
    <row r="235" spans="1:16" x14ac:dyDescent="0.2">
      <c r="A235" s="827"/>
      <c r="B235" s="1222" t="s">
        <v>117</v>
      </c>
      <c r="C235" s="997">
        <f>G225</f>
        <v>225</v>
      </c>
      <c r="D235" s="1222" t="s">
        <v>99</v>
      </c>
      <c r="E235" s="1272">
        <f>I225</f>
        <v>66.666666666666671</v>
      </c>
      <c r="F235" s="1222" t="s">
        <v>108</v>
      </c>
      <c r="G235" s="997">
        <f>C235+E235*H231</f>
        <v>459.24</v>
      </c>
      <c r="H235" s="1222" t="s">
        <v>43</v>
      </c>
      <c r="I235" s="827"/>
      <c r="J235" s="827"/>
      <c r="K235" s="827"/>
    </row>
    <row r="236" spans="1:16" x14ac:dyDescent="0.2">
      <c r="A236" s="827"/>
      <c r="B236" s="1222" t="s">
        <v>256</v>
      </c>
      <c r="C236" s="827"/>
      <c r="D236" s="827"/>
      <c r="E236" s="997"/>
      <c r="F236" s="1222"/>
      <c r="G236" s="997">
        <f>12*C180</f>
        <v>300</v>
      </c>
      <c r="H236" s="1222" t="s">
        <v>43</v>
      </c>
      <c r="I236" s="827"/>
      <c r="J236" s="827"/>
      <c r="K236" s="827"/>
    </row>
    <row r="237" spans="1:16" x14ac:dyDescent="0.2">
      <c r="A237" s="827"/>
      <c r="B237" s="1272" t="str">
        <f>IF(G235&gt;=G236,"da  &gt;  12 * Bar Diameter","da  &lt;  12 * Bar Diameter")</f>
        <v>da  &gt;  12 * Bar Diameter</v>
      </c>
      <c r="C237" s="827"/>
      <c r="D237" s="827"/>
      <c r="E237" s="1222" t="s">
        <v>109</v>
      </c>
      <c r="F237" s="827"/>
      <c r="G237" s="997">
        <f>IF(G235&gt;G236,G235,G236)</f>
        <v>459.24</v>
      </c>
      <c r="H237" s="1222" t="s">
        <v>62</v>
      </c>
      <c r="I237" s="827"/>
      <c r="J237" s="827"/>
      <c r="K237" s="827"/>
    </row>
    <row r="238" spans="1:16" x14ac:dyDescent="0.2">
      <c r="A238" s="827"/>
      <c r="B238" s="827"/>
      <c r="C238" s="1222" t="s">
        <v>110</v>
      </c>
      <c r="D238" s="827"/>
      <c r="E238" s="827"/>
      <c r="F238" s="827"/>
      <c r="G238" s="878">
        <f>F32-H231+G237/1000</f>
        <v>2.9456399999999996</v>
      </c>
      <c r="H238" s="827" t="s">
        <v>24</v>
      </c>
      <c r="I238" s="827"/>
      <c r="J238" s="827"/>
      <c r="K238" s="827"/>
    </row>
    <row r="239" spans="1:16" x14ac:dyDescent="0.2">
      <c r="A239" s="827"/>
      <c r="B239" s="827"/>
      <c r="C239" s="1222" t="s">
        <v>112</v>
      </c>
      <c r="D239" s="827"/>
      <c r="E239" s="1229">
        <f>F32-G238</f>
        <v>3.0543600000000004</v>
      </c>
      <c r="F239" s="1272" t="str">
        <f>IF(E239&gt;=1,"m &gt; 1 m   Curtailment should be made."," m &lt; 1 m  Curtailment should not be made.")</f>
        <v>m &gt; 1 m   Curtailment should be made.</v>
      </c>
      <c r="G239" s="827"/>
      <c r="H239" s="827"/>
      <c r="I239" s="827"/>
      <c r="J239" s="827"/>
      <c r="K239" s="827"/>
    </row>
    <row r="240" spans="1:16" x14ac:dyDescent="0.2">
      <c r="A240" s="827"/>
      <c r="B240" s="827"/>
      <c r="C240" s="827"/>
      <c r="D240" s="827"/>
      <c r="E240" s="827"/>
      <c r="F240" s="827"/>
      <c r="G240" s="827"/>
      <c r="H240" s="827"/>
      <c r="I240" s="827"/>
      <c r="J240" s="827"/>
      <c r="K240" s="827"/>
    </row>
    <row r="241" spans="1:11" ht="13.5" x14ac:dyDescent="0.25">
      <c r="A241" s="827"/>
      <c r="B241" s="1276" t="s">
        <v>87</v>
      </c>
      <c r="C241" s="827"/>
      <c r="D241" s="827"/>
      <c r="E241" s="827"/>
      <c r="F241" s="827"/>
      <c r="G241" s="827"/>
      <c r="H241" s="827"/>
      <c r="I241" s="827"/>
      <c r="J241" s="827"/>
      <c r="K241" s="827"/>
    </row>
    <row r="242" spans="1:11" x14ac:dyDescent="0.2">
      <c r="A242" s="827"/>
      <c r="B242" s="1222" t="s">
        <v>373</v>
      </c>
      <c r="C242" s="827"/>
      <c r="D242" s="827"/>
      <c r="E242" s="827"/>
      <c r="F242" s="827"/>
      <c r="G242" s="827"/>
      <c r="H242" s="869">
        <f>1/4*H180</f>
        <v>981.75</v>
      </c>
      <c r="I242" s="1222" t="s">
        <v>78</v>
      </c>
      <c r="J242" s="827"/>
      <c r="K242" s="827"/>
    </row>
    <row r="243" spans="1:11" x14ac:dyDescent="0.2">
      <c r="A243" s="827"/>
      <c r="B243" s="1272" t="str">
        <f>IF(H242&gt;=H178,"Ast(moment)  &gt;  Ast(shrinkage)","Ast(moment)  &lt;  Ast(shrinkage)")</f>
        <v>Ast(moment)  &gt;  Ast(shrinkage)</v>
      </c>
      <c r="C243" s="827"/>
      <c r="D243" s="827"/>
      <c r="E243" s="827"/>
      <c r="F243" s="1278" t="s">
        <v>114</v>
      </c>
      <c r="G243" s="1279"/>
      <c r="H243" s="1280">
        <f>IF(OR(E239&lt;1,H242&lt;H178),I218,G238)</f>
        <v>2.9456399999999996</v>
      </c>
      <c r="I243" s="1278" t="s">
        <v>115</v>
      </c>
      <c r="J243" s="827"/>
      <c r="K243" s="827"/>
    </row>
    <row r="244" spans="1:11" x14ac:dyDescent="0.2">
      <c r="A244" s="827"/>
      <c r="B244" s="827"/>
      <c r="C244" s="827"/>
      <c r="D244" s="827"/>
      <c r="E244" s="827"/>
      <c r="F244" s="827"/>
      <c r="G244" s="827"/>
      <c r="H244" s="827"/>
      <c r="I244" s="827"/>
      <c r="J244" s="827"/>
      <c r="K244" s="827"/>
    </row>
    <row r="245" spans="1:11" ht="13.5" x14ac:dyDescent="0.25">
      <c r="A245" s="1284" t="s">
        <v>225</v>
      </c>
      <c r="B245" s="827"/>
      <c r="C245" s="827"/>
      <c r="D245" s="827"/>
      <c r="E245" s="827"/>
      <c r="F245" s="827"/>
      <c r="G245" s="827"/>
      <c r="H245" s="827"/>
      <c r="I245" s="827"/>
      <c r="J245" s="827"/>
      <c r="K245" s="827"/>
    </row>
    <row r="246" spans="1:11" x14ac:dyDescent="0.2">
      <c r="A246" s="827"/>
      <c r="B246" s="827"/>
      <c r="C246" s="827"/>
      <c r="D246" s="827"/>
      <c r="E246" s="827"/>
      <c r="F246" s="827"/>
      <c r="G246" s="827"/>
      <c r="H246" s="827"/>
      <c r="I246" s="827"/>
      <c r="J246" s="827"/>
      <c r="K246" s="827"/>
    </row>
    <row r="247" spans="1:11" ht="13.5" x14ac:dyDescent="0.25">
      <c r="A247" s="1276" t="s">
        <v>54</v>
      </c>
      <c r="B247" s="1222"/>
      <c r="C247" s="827"/>
      <c r="D247" s="827"/>
      <c r="E247" s="827"/>
      <c r="F247" s="827"/>
      <c r="G247" s="827"/>
      <c r="H247" s="827"/>
      <c r="I247" s="827"/>
      <c r="J247" s="827"/>
      <c r="K247" s="827"/>
    </row>
    <row r="248" spans="1:11" x14ac:dyDescent="0.2">
      <c r="A248" s="827"/>
      <c r="B248" s="827"/>
      <c r="C248" s="827"/>
      <c r="D248" s="827"/>
      <c r="E248" s="827"/>
      <c r="F248" s="827"/>
      <c r="G248" s="827"/>
      <c r="H248" s="827"/>
      <c r="I248" s="827"/>
      <c r="J248" s="827"/>
      <c r="K248" s="827"/>
    </row>
    <row r="249" spans="1:11" x14ac:dyDescent="0.2">
      <c r="A249" s="827"/>
      <c r="B249" s="1222" t="s">
        <v>2529</v>
      </c>
      <c r="C249" s="827"/>
      <c r="D249" s="827"/>
      <c r="E249" s="827"/>
      <c r="F249" s="827"/>
      <c r="G249" s="827"/>
      <c r="H249" s="827"/>
      <c r="I249" s="827"/>
      <c r="J249" s="827"/>
      <c r="K249" s="827"/>
    </row>
    <row r="250" spans="1:11" x14ac:dyDescent="0.2">
      <c r="A250" s="827"/>
      <c r="B250" s="1222" t="s">
        <v>257</v>
      </c>
      <c r="C250" s="827"/>
      <c r="D250" s="827"/>
      <c r="E250" s="827"/>
      <c r="F250" s="827"/>
      <c r="G250" s="1230">
        <f>(D32+E32)/2000*F32</f>
        <v>3</v>
      </c>
      <c r="H250" s="1222" t="s">
        <v>118</v>
      </c>
      <c r="I250" s="827"/>
      <c r="J250" s="827"/>
      <c r="K250" s="827"/>
    </row>
    <row r="251" spans="1:11" x14ac:dyDescent="0.2">
      <c r="A251" s="827"/>
      <c r="B251" s="1222" t="s">
        <v>258</v>
      </c>
      <c r="C251" s="827"/>
      <c r="D251" s="827"/>
      <c r="E251" s="827"/>
      <c r="F251" s="827"/>
      <c r="G251" s="1230">
        <f>(E32-D32)/2000*F32</f>
        <v>1.2000000000000002</v>
      </c>
      <c r="H251" s="1222" t="s">
        <v>118</v>
      </c>
      <c r="I251" s="827"/>
      <c r="J251" s="827"/>
      <c r="K251" s="827"/>
    </row>
    <row r="252" spans="1:11" x14ac:dyDescent="0.2">
      <c r="A252" s="827"/>
      <c r="B252" s="1222" t="s">
        <v>259</v>
      </c>
      <c r="C252" s="1272"/>
      <c r="D252" s="1222"/>
      <c r="E252" s="1272"/>
      <c r="F252" s="1222"/>
      <c r="G252" s="878">
        <f>G250*G45+G251*G46</f>
        <v>94.320000000000022</v>
      </c>
      <c r="H252" s="1222" t="s">
        <v>57</v>
      </c>
      <c r="I252" s="827"/>
      <c r="J252" s="827"/>
      <c r="K252" s="827"/>
    </row>
    <row r="253" spans="1:11" x14ac:dyDescent="0.2">
      <c r="A253" s="827"/>
      <c r="B253" s="1222" t="s">
        <v>119</v>
      </c>
      <c r="C253" s="827"/>
      <c r="D253" s="827"/>
      <c r="E253" s="827"/>
      <c r="F253" s="827"/>
      <c r="G253" s="1229">
        <f>$J$32</f>
        <v>2.5</v>
      </c>
      <c r="H253" s="1222" t="s">
        <v>24</v>
      </c>
      <c r="I253" s="827"/>
      <c r="J253" s="827"/>
      <c r="K253" s="827"/>
    </row>
    <row r="254" spans="1:11" x14ac:dyDescent="0.2">
      <c r="A254" s="827"/>
      <c r="B254" s="1222" t="s">
        <v>374</v>
      </c>
      <c r="C254" s="827"/>
      <c r="D254" s="827"/>
      <c r="E254" s="827"/>
      <c r="F254" s="827"/>
      <c r="G254" s="1229">
        <f>2*G252/G253</f>
        <v>75.456000000000017</v>
      </c>
      <c r="H254" s="1222" t="s">
        <v>120</v>
      </c>
      <c r="I254" s="827"/>
      <c r="J254" s="827"/>
      <c r="K254" s="827"/>
    </row>
    <row r="255" spans="1:11" x14ac:dyDescent="0.2">
      <c r="A255" s="827"/>
      <c r="B255" s="1222"/>
      <c r="C255" s="827"/>
      <c r="D255" s="827"/>
      <c r="E255" s="827"/>
      <c r="F255" s="827"/>
      <c r="G255" s="1229"/>
      <c r="H255" s="1222"/>
      <c r="I255" s="827"/>
      <c r="J255" s="827"/>
      <c r="K255" s="827"/>
    </row>
    <row r="256" spans="1:11" ht="16.5" x14ac:dyDescent="0.3">
      <c r="A256" s="827"/>
      <c r="B256" s="1222" t="s">
        <v>2530</v>
      </c>
      <c r="C256" s="827"/>
      <c r="D256" s="827"/>
      <c r="E256" s="827"/>
      <c r="F256" s="827"/>
      <c r="G256" s="878">
        <f>H49*G46*(F32+G32/2000)^3/6</f>
        <v>446.75299195757674</v>
      </c>
      <c r="H256" s="827" t="s">
        <v>58</v>
      </c>
      <c r="I256" s="827"/>
      <c r="J256" s="827"/>
      <c r="K256" s="827"/>
    </row>
    <row r="257" spans="1:11" ht="15" x14ac:dyDescent="0.2">
      <c r="A257" s="827"/>
      <c r="B257" s="1222" t="s">
        <v>2531</v>
      </c>
      <c r="C257" s="827"/>
      <c r="D257" s="827"/>
      <c r="E257" s="827"/>
      <c r="F257" s="827"/>
      <c r="G257" s="827"/>
      <c r="H257" s="1222"/>
      <c r="I257" s="827"/>
      <c r="J257" s="827"/>
      <c r="K257" s="827"/>
    </row>
    <row r="258" spans="1:11" x14ac:dyDescent="0.2">
      <c r="A258" s="827"/>
      <c r="B258" s="827"/>
      <c r="C258" s="827"/>
      <c r="D258" s="827"/>
      <c r="E258" s="827"/>
      <c r="F258" s="827"/>
      <c r="G258" s="827"/>
      <c r="H258" s="827"/>
      <c r="I258" s="827"/>
      <c r="J258" s="827"/>
      <c r="K258" s="827"/>
    </row>
    <row r="259" spans="1:11" x14ac:dyDescent="0.2">
      <c r="A259" s="827"/>
      <c r="B259" s="1222" t="s">
        <v>263</v>
      </c>
      <c r="C259" s="827"/>
      <c r="D259" s="827"/>
      <c r="E259" s="827"/>
      <c r="F259" s="827"/>
      <c r="G259" s="827"/>
      <c r="H259" s="827"/>
      <c r="I259" s="827"/>
      <c r="J259" s="827"/>
      <c r="K259" s="827"/>
    </row>
    <row r="260" spans="1:11" x14ac:dyDescent="0.2">
      <c r="A260" s="827"/>
      <c r="B260" s="1222" t="s">
        <v>121</v>
      </c>
      <c r="C260" s="827"/>
      <c r="D260" s="827"/>
      <c r="E260" s="827"/>
      <c r="F260" s="827"/>
      <c r="G260" s="827"/>
      <c r="H260" s="1229">
        <f>(($E$32-$D$32)*$F$32/2*(2/3*$D$32+$E$32/3)+$D$32*$F$32*$D$32/2)/(($D$32+$E$32)/2*$F$32)/1000</f>
        <v>0.26333333333333331</v>
      </c>
      <c r="I260" s="1222" t="s">
        <v>24</v>
      </c>
      <c r="J260" s="827"/>
      <c r="K260" s="827"/>
    </row>
    <row r="261" spans="1:11" x14ac:dyDescent="0.2">
      <c r="A261" s="827"/>
      <c r="B261" s="827"/>
      <c r="C261" s="827"/>
      <c r="D261" s="827"/>
      <c r="E261" s="827"/>
      <c r="F261" s="827"/>
      <c r="G261" s="827"/>
      <c r="H261" s="827"/>
      <c r="I261" s="827"/>
      <c r="J261" s="827"/>
      <c r="K261" s="827"/>
    </row>
    <row r="262" spans="1:11" x14ac:dyDescent="0.2">
      <c r="A262" s="827"/>
      <c r="B262" s="1222" t="s">
        <v>282</v>
      </c>
      <c r="C262" s="1272"/>
      <c r="D262" s="1222"/>
      <c r="E262" s="1282"/>
      <c r="F262" s="1222"/>
      <c r="G262" s="1282"/>
      <c r="H262" s="1229">
        <f>G256-G252*H260+G254*H260^2/2</f>
        <v>424.53161915757676</v>
      </c>
      <c r="I262" s="1222" t="s">
        <v>58</v>
      </c>
      <c r="J262" s="827"/>
      <c r="K262" s="827"/>
    </row>
    <row r="263" spans="1:11" x14ac:dyDescent="0.2">
      <c r="A263" s="827"/>
      <c r="B263" s="1222" t="s">
        <v>376</v>
      </c>
      <c r="C263" s="827"/>
      <c r="D263" s="827"/>
      <c r="E263" s="827"/>
      <c r="F263" s="827"/>
      <c r="G263" s="827"/>
      <c r="H263" s="878">
        <f>G256-G252*($H$32/2+H260)+G254*$J$32^2/8</f>
        <v>395.97739195757674</v>
      </c>
      <c r="I263" s="1222" t="s">
        <v>58</v>
      </c>
      <c r="J263" s="827"/>
      <c r="K263" s="827"/>
    </row>
    <row r="264" spans="1:11" x14ac:dyDescent="0.2">
      <c r="A264" s="827"/>
      <c r="B264" s="827"/>
      <c r="C264" s="827"/>
      <c r="D264" s="827"/>
      <c r="E264" s="827"/>
      <c r="F264" s="827"/>
      <c r="G264" s="827"/>
      <c r="H264" s="827"/>
      <c r="I264" s="827"/>
      <c r="J264" s="1222"/>
      <c r="K264" s="827"/>
    </row>
    <row r="265" spans="1:11" ht="13.5" x14ac:dyDescent="0.25">
      <c r="A265" s="827"/>
      <c r="B265" s="1276" t="s">
        <v>122</v>
      </c>
      <c r="C265" s="827"/>
      <c r="D265" s="827"/>
      <c r="E265" s="827"/>
      <c r="F265" s="827"/>
      <c r="G265" s="827"/>
      <c r="H265" s="827"/>
      <c r="I265" s="827"/>
      <c r="J265" s="827"/>
      <c r="K265" s="827"/>
    </row>
    <row r="266" spans="1:11" x14ac:dyDescent="0.2">
      <c r="A266" s="827"/>
      <c r="B266" s="827"/>
      <c r="C266" s="827"/>
      <c r="D266" s="827"/>
      <c r="E266" s="827"/>
      <c r="F266" s="827"/>
      <c r="G266" s="827"/>
      <c r="H266" s="827"/>
      <c r="I266" s="827"/>
      <c r="J266" s="827"/>
      <c r="K266" s="827"/>
    </row>
    <row r="267" spans="1:11" x14ac:dyDescent="0.2">
      <c r="A267" s="827"/>
      <c r="B267" s="1222" t="s">
        <v>379</v>
      </c>
      <c r="C267" s="827"/>
      <c r="D267" s="827"/>
      <c r="E267" s="827"/>
      <c r="F267" s="1272">
        <f>IF(H263&gt;0,0,-H263)</f>
        <v>0</v>
      </c>
      <c r="G267" s="1222" t="s">
        <v>58</v>
      </c>
      <c r="H267" s="827" t="str">
        <f>IF(H263&gt;0,"Mid span moment produces bottom Tension","")</f>
        <v>Mid span moment produces bottom Tension</v>
      </c>
      <c r="I267" s="827"/>
      <c r="J267" s="827"/>
      <c r="K267" s="827"/>
    </row>
    <row r="268" spans="1:11" x14ac:dyDescent="0.2">
      <c r="A268" s="827"/>
      <c r="B268" s="1222" t="s">
        <v>378</v>
      </c>
      <c r="C268" s="827"/>
      <c r="D268" s="827"/>
      <c r="E268" s="827"/>
      <c r="F268" s="1229">
        <f>H262</f>
        <v>424.53161915757676</v>
      </c>
      <c r="G268" s="1222" t="s">
        <v>58</v>
      </c>
      <c r="H268" s="827"/>
      <c r="I268" s="827"/>
      <c r="J268" s="827"/>
      <c r="K268" s="827"/>
    </row>
    <row r="269" spans="1:11" x14ac:dyDescent="0.2">
      <c r="A269" s="827"/>
      <c r="B269" s="1222" t="s">
        <v>377</v>
      </c>
      <c r="C269" s="827"/>
      <c r="D269" s="827"/>
      <c r="E269" s="827"/>
      <c r="F269" s="1229">
        <f>G252</f>
        <v>94.320000000000022</v>
      </c>
      <c r="G269" s="1222" t="s">
        <v>57</v>
      </c>
      <c r="H269" s="827"/>
      <c r="I269" s="827"/>
      <c r="J269" s="827"/>
      <c r="K269" s="827"/>
    </row>
    <row r="270" spans="1:11" x14ac:dyDescent="0.2">
      <c r="A270" s="827"/>
      <c r="B270" s="827"/>
      <c r="C270" s="827"/>
      <c r="D270" s="827"/>
      <c r="E270" s="827"/>
      <c r="F270" s="827"/>
      <c r="G270" s="827"/>
      <c r="H270" s="827"/>
      <c r="I270" s="827"/>
      <c r="J270" s="827"/>
      <c r="K270" s="827"/>
    </row>
    <row r="271" spans="1:11" ht="13.5" x14ac:dyDescent="0.25">
      <c r="A271" s="827"/>
      <c r="B271" s="1276" t="s">
        <v>59</v>
      </c>
      <c r="C271" s="827"/>
      <c r="D271" s="827"/>
      <c r="E271" s="827"/>
      <c r="F271" s="827"/>
      <c r="G271" s="827"/>
      <c r="H271" s="827"/>
      <c r="I271" s="827"/>
      <c r="J271" s="827"/>
      <c r="K271" s="827"/>
    </row>
    <row r="272" spans="1:11" x14ac:dyDescent="0.2">
      <c r="A272" s="827"/>
      <c r="B272" s="1222"/>
      <c r="C272" s="827"/>
      <c r="D272" s="827"/>
      <c r="E272" s="827"/>
      <c r="F272" s="827"/>
      <c r="G272" s="1229"/>
      <c r="H272" s="1222"/>
      <c r="I272" s="827"/>
      <c r="J272" s="827"/>
      <c r="K272" s="827"/>
    </row>
    <row r="273" spans="1:19" x14ac:dyDescent="0.2">
      <c r="A273" s="827"/>
      <c r="B273" s="1222" t="s">
        <v>229</v>
      </c>
      <c r="C273" s="827"/>
      <c r="D273" s="827"/>
      <c r="E273" s="827"/>
      <c r="F273" s="997">
        <f>SQRT(F268/G71)*1000</f>
        <v>582.07708353880741</v>
      </c>
      <c r="G273" s="1222" t="s">
        <v>43</v>
      </c>
      <c r="H273" s="827"/>
      <c r="I273" s="827"/>
      <c r="J273" s="827"/>
      <c r="K273" s="827"/>
    </row>
    <row r="274" spans="1:19" x14ac:dyDescent="0.2">
      <c r="A274" s="827"/>
      <c r="B274" s="1222" t="s">
        <v>264</v>
      </c>
      <c r="C274" s="827"/>
      <c r="D274" s="827"/>
      <c r="E274" s="827"/>
      <c r="F274" s="997">
        <f>F269/H57*1000</f>
        <v>220.0364395416367</v>
      </c>
      <c r="G274" s="1222" t="s">
        <v>43</v>
      </c>
      <c r="H274" s="827"/>
      <c r="I274" s="827"/>
      <c r="J274" s="827"/>
      <c r="K274" s="827"/>
    </row>
    <row r="275" spans="1:19" x14ac:dyDescent="0.2">
      <c r="A275" s="827"/>
      <c r="B275" s="1272" t="str">
        <f>IF(F273&gt;=F274,"dr(moment) &gt; dr(shear)","dr(moment) &lt; dr(shear)")</f>
        <v>dr(moment) &gt; dr(shear)</v>
      </c>
      <c r="C275" s="827"/>
      <c r="D275" s="827"/>
      <c r="E275" s="1222" t="s">
        <v>230</v>
      </c>
      <c r="F275" s="997">
        <f>IF(F273&gt;=F274,F273,F274)</f>
        <v>582.07708353880741</v>
      </c>
      <c r="G275" s="1222" t="s">
        <v>62</v>
      </c>
      <c r="H275" s="827"/>
      <c r="I275" s="827"/>
      <c r="J275" s="827"/>
      <c r="K275" s="827"/>
    </row>
    <row r="276" spans="1:19" x14ac:dyDescent="0.2">
      <c r="A276" s="827"/>
      <c r="B276" s="827"/>
      <c r="C276" s="827"/>
      <c r="D276" s="827"/>
      <c r="E276" s="827"/>
      <c r="F276" s="827"/>
      <c r="G276" s="827"/>
      <c r="H276" s="827"/>
      <c r="I276" s="827"/>
      <c r="J276" s="827"/>
      <c r="K276" s="827"/>
    </row>
    <row r="277" spans="1:19" x14ac:dyDescent="0.2">
      <c r="A277" s="827"/>
      <c r="B277" s="1222" t="s">
        <v>63</v>
      </c>
      <c r="C277" s="827"/>
      <c r="D277" s="997"/>
      <c r="E277" s="1222"/>
      <c r="F277" s="997">
        <f>F275+H65</f>
        <v>657.07708353880741</v>
      </c>
      <c r="G277" s="1222" t="s">
        <v>43</v>
      </c>
      <c r="H277" s="827"/>
      <c r="I277" s="827"/>
      <c r="J277" s="827"/>
      <c r="K277" s="827"/>
    </row>
    <row r="278" spans="1:19" x14ac:dyDescent="0.2">
      <c r="A278" s="827"/>
      <c r="B278" s="1222" t="s">
        <v>380</v>
      </c>
      <c r="C278" s="827"/>
      <c r="D278" s="827"/>
      <c r="E278" s="827"/>
      <c r="F278" s="997">
        <f>G32</f>
        <v>750</v>
      </c>
      <c r="G278" s="1222" t="s">
        <v>43</v>
      </c>
      <c r="H278" s="1285" t="str">
        <f>IF(F278&gt;=F277,"ta  &gt;  tr  Design is OK.","ta &lt; tr  Design is Not OK.")</f>
        <v>ta  &gt;  tr  Design is OK.</v>
      </c>
      <c r="I278" s="827"/>
      <c r="J278" s="827"/>
      <c r="K278" s="827"/>
    </row>
    <row r="279" spans="1:19" x14ac:dyDescent="0.2">
      <c r="A279" s="827"/>
      <c r="B279" s="827"/>
      <c r="C279" s="827"/>
      <c r="D279" s="827"/>
      <c r="E279" s="827"/>
      <c r="F279" s="827"/>
      <c r="G279" s="827"/>
      <c r="H279" s="827"/>
      <c r="I279" s="827"/>
      <c r="J279" s="827"/>
      <c r="K279" s="827"/>
      <c r="M279" s="6" t="s">
        <v>66</v>
      </c>
      <c r="O279" s="30">
        <v>12</v>
      </c>
      <c r="P279" s="30">
        <v>16</v>
      </c>
      <c r="Q279" s="30">
        <v>20</v>
      </c>
      <c r="R279" s="30">
        <v>22</v>
      </c>
      <c r="S279" s="30">
        <v>25</v>
      </c>
    </row>
    <row r="280" spans="1:19" ht="13.5" x14ac:dyDescent="0.25">
      <c r="A280" s="827"/>
      <c r="B280" s="1276" t="s">
        <v>123</v>
      </c>
      <c r="C280" s="827"/>
      <c r="D280" s="827"/>
      <c r="E280" s="827"/>
      <c r="F280" s="827"/>
      <c r="G280" s="827"/>
      <c r="H280" s="827"/>
      <c r="I280" s="827"/>
      <c r="J280" s="827"/>
      <c r="K280" s="827"/>
      <c r="M280" s="6" t="s">
        <v>67</v>
      </c>
      <c r="O280" s="30">
        <f>IF(H284=0,100000000,TRUNC(785.4*O279^2/H284/25)*25)</f>
        <v>100</v>
      </c>
      <c r="P280" s="30">
        <f>IF(H284=0,100000000,TRUNC(785.4*P279^2/H284/25)*25)</f>
        <v>200</v>
      </c>
      <c r="Q280" s="30">
        <f>IF(H284=0,100000000,TRUNC(785.4*Q279^2/H284/25)*25)</f>
        <v>325</v>
      </c>
      <c r="R280" s="30">
        <f>IF(H284=0,100000000,TRUNC(785.4*R279^2/H284/25)*25)</f>
        <v>400</v>
      </c>
      <c r="S280" s="30">
        <f>IF(H284=0,100000000,TRUNC(785.4*S279^2/H284/25)*25)</f>
        <v>500</v>
      </c>
    </row>
    <row r="281" spans="1:19" x14ac:dyDescent="0.2">
      <c r="A281" s="827"/>
      <c r="B281" s="1222" t="s">
        <v>124</v>
      </c>
      <c r="C281" s="827"/>
      <c r="D281" s="827"/>
      <c r="E281" s="827"/>
      <c r="F281" s="1229">
        <f>MAX($C$32:$C$37)</f>
        <v>16.2</v>
      </c>
      <c r="G281" s="1222" t="s">
        <v>24</v>
      </c>
      <c r="H281" s="827"/>
      <c r="I281" s="827"/>
      <c r="J281" s="827"/>
      <c r="K281" s="827"/>
      <c r="M281" s="6" t="s">
        <v>68</v>
      </c>
      <c r="O281" s="30">
        <f>785.4*O279^2/O280</f>
        <v>1130.9759999999999</v>
      </c>
      <c r="P281" s="30">
        <f>785.4*P279^2/P280</f>
        <v>1005.312</v>
      </c>
      <c r="Q281" s="30">
        <f>785.4*Q279^2/Q280</f>
        <v>966.64615384615388</v>
      </c>
      <c r="R281" s="30">
        <f>785.4*R279^2/R280</f>
        <v>950.33399999999995</v>
      </c>
      <c r="S281" s="30">
        <f>785.4*S279^2/S280</f>
        <v>981.75</v>
      </c>
    </row>
    <row r="282" spans="1:19" x14ac:dyDescent="0.2">
      <c r="A282" s="827"/>
      <c r="B282" s="1222" t="s">
        <v>74</v>
      </c>
      <c r="C282" s="827"/>
      <c r="D282" s="827"/>
      <c r="E282" s="827"/>
      <c r="F282" s="997">
        <f>F278</f>
        <v>750</v>
      </c>
      <c r="G282" s="1222" t="s">
        <v>43</v>
      </c>
      <c r="H282" s="827"/>
      <c r="I282" s="827"/>
      <c r="J282" s="827"/>
      <c r="K282" s="827"/>
      <c r="M282" s="6" t="s">
        <v>69</v>
      </c>
      <c r="O282" s="30">
        <f>IF(OR(O280&gt;300,O280&lt;100),100000000,O281-H284)</f>
        <v>180.97599999999977</v>
      </c>
      <c r="P282" s="30">
        <f>IF(OR(P280&gt;300,P280&lt;100),100000001,P281-H284)</f>
        <v>55.311999999999898</v>
      </c>
      <c r="Q282" s="30">
        <f>IF(OR(Q280&gt;300,Q280&lt;100),100000001,Q281-H284)</f>
        <v>100000001</v>
      </c>
      <c r="R282" s="30">
        <f>IF(OR(R280&gt;300,R280&lt;100),100000001,R281-H284)</f>
        <v>100000001</v>
      </c>
      <c r="S282" s="30">
        <f>IF(OR(S280&gt;300,S280&lt;100),100000001,S281-H284)</f>
        <v>100000001</v>
      </c>
    </row>
    <row r="283" spans="1:19" x14ac:dyDescent="0.2">
      <c r="A283" s="827"/>
      <c r="B283" s="827"/>
      <c r="C283" s="827"/>
      <c r="D283" s="827"/>
      <c r="E283" s="827"/>
      <c r="F283" s="827"/>
      <c r="G283" s="827"/>
      <c r="H283" s="827"/>
      <c r="I283" s="827"/>
      <c r="J283" s="827"/>
      <c r="K283" s="827"/>
      <c r="M283" s="6" t="s">
        <v>70</v>
      </c>
      <c r="O283" s="30">
        <f>IF(S280&lt;100,25,IF(MIN(O282:S282)=O282,12,IF(MIN(O282:S282)=P282,16,IF(MIN(O282:S282)=Q282,20,IF(MIN(O282:S282)=R282,22,IF(MIN(O282:S282)=S282,25,0))))))</f>
        <v>16</v>
      </c>
      <c r="P283" s="6" t="s">
        <v>71</v>
      </c>
      <c r="Q283" s="30">
        <f>IF(O283=12,O280,IF(O283=16,P280,IF(O283=20,Q280,IF(O283=22,R280,IF(O283=25,S280,0)))))</f>
        <v>200</v>
      </c>
      <c r="R283" s="6" t="s">
        <v>72</v>
      </c>
    </row>
    <row r="284" spans="1:19" x14ac:dyDescent="0.2">
      <c r="A284" s="827"/>
      <c r="B284" s="1222" t="s">
        <v>77</v>
      </c>
      <c r="C284" s="827"/>
      <c r="D284" s="827"/>
      <c r="E284" s="827"/>
      <c r="F284" s="827"/>
      <c r="G284" s="827"/>
      <c r="H284" s="827">
        <f>IF(F281&lt;=9,C157,C158)*IF(F278&lt;=380,F278,380)*1000</f>
        <v>950.00000000000011</v>
      </c>
      <c r="I284" s="1222" t="s">
        <v>78</v>
      </c>
      <c r="J284" s="827"/>
      <c r="K284" s="827"/>
    </row>
    <row r="285" spans="1:19" x14ac:dyDescent="0.2">
      <c r="A285" s="827"/>
      <c r="B285" s="1222" t="s">
        <v>79</v>
      </c>
      <c r="C285" s="997">
        <f>IF(D980=0,O283,D980)</f>
        <v>16</v>
      </c>
      <c r="D285" s="1222" t="s">
        <v>71</v>
      </c>
      <c r="E285" s="997">
        <f>IF(D980=0,IF(Q283&gt;300,300,Q283),E980)</f>
        <v>200</v>
      </c>
      <c r="F285" s="1222" t="s">
        <v>290</v>
      </c>
      <c r="G285" s="827"/>
      <c r="H285" s="997">
        <f>785.4*C285^2/E285</f>
        <v>1005.312</v>
      </c>
      <c r="I285" s="1222" t="s">
        <v>81</v>
      </c>
      <c r="J285" s="827"/>
      <c r="K285" s="827"/>
    </row>
    <row r="286" spans="1:19" x14ac:dyDescent="0.2">
      <c r="A286" s="827"/>
      <c r="B286" s="1222" t="s">
        <v>82</v>
      </c>
      <c r="C286" s="827"/>
      <c r="D286" s="827"/>
      <c r="E286" s="827"/>
      <c r="F286" s="827"/>
      <c r="G286" s="827"/>
      <c r="H286" s="997">
        <f>IF(F281&lt;=9,D157,D158)*IF(F282&lt;=380,F282,380)*1000</f>
        <v>570.00000000000011</v>
      </c>
      <c r="I286" s="1222" t="s">
        <v>78</v>
      </c>
      <c r="J286" s="827"/>
      <c r="K286" s="827"/>
    </row>
    <row r="287" spans="1:19" x14ac:dyDescent="0.2">
      <c r="A287" s="827"/>
      <c r="B287" s="1222" t="s">
        <v>79</v>
      </c>
      <c r="C287" s="997">
        <v>16</v>
      </c>
      <c r="D287" s="1222" t="s">
        <v>71</v>
      </c>
      <c r="E287" s="997">
        <v>250</v>
      </c>
      <c r="F287" s="1222" t="s">
        <v>80</v>
      </c>
      <c r="G287" s="827"/>
      <c r="H287" s="997">
        <f>785.4*C287^2/E287</f>
        <v>804.24959999999999</v>
      </c>
      <c r="I287" s="1222" t="s">
        <v>81</v>
      </c>
      <c r="J287" s="827"/>
      <c r="K287" s="827"/>
      <c r="M287" s="6" t="s">
        <v>66</v>
      </c>
      <c r="O287" s="30">
        <v>12</v>
      </c>
      <c r="P287" s="30">
        <v>16</v>
      </c>
      <c r="Q287" s="30">
        <v>20</v>
      </c>
      <c r="R287" s="30">
        <v>22</v>
      </c>
      <c r="S287" s="30">
        <v>25</v>
      </c>
    </row>
    <row r="288" spans="1:19" x14ac:dyDescent="0.2">
      <c r="A288" s="827"/>
      <c r="B288" s="827"/>
      <c r="C288" s="827"/>
      <c r="D288" s="827"/>
      <c r="E288" s="827"/>
      <c r="F288" s="827"/>
      <c r="G288" s="827"/>
      <c r="H288" s="827"/>
      <c r="I288" s="827"/>
      <c r="J288" s="827"/>
      <c r="K288" s="827"/>
      <c r="M288" s="6" t="s">
        <v>67</v>
      </c>
      <c r="O288" s="30">
        <f>IF(H286=0,100000000,TRUNC(785.4*O287^2/H286/25)*25)</f>
        <v>175</v>
      </c>
      <c r="P288" s="30">
        <f>IF(H286=0,100000000,TRUNC(785.4*P287^2/H286/25)*25)</f>
        <v>350</v>
      </c>
      <c r="Q288" s="30">
        <f>IF(H286=0,100000000,TRUNC(785.4*Q287^2/H286/25)*25)</f>
        <v>550</v>
      </c>
      <c r="R288" s="30">
        <f>IF(H286=0,100000000,TRUNC(785.4*R287^2/H286/25)*25)</f>
        <v>650</v>
      </c>
      <c r="S288" s="30">
        <f>IF(H286=0,100000000,TRUNC(785.4*S287^2/H286/25)*25)</f>
        <v>850</v>
      </c>
    </row>
    <row r="289" spans="1:19" ht="13.5" x14ac:dyDescent="0.25">
      <c r="A289" s="827"/>
      <c r="B289" s="1276" t="s">
        <v>125</v>
      </c>
      <c r="C289" s="827"/>
      <c r="D289" s="827"/>
      <c r="E289" s="827"/>
      <c r="F289" s="827"/>
      <c r="G289" s="827"/>
      <c r="H289" s="827"/>
      <c r="I289" s="827"/>
      <c r="J289" s="827"/>
      <c r="K289" s="827"/>
      <c r="M289" s="6" t="s">
        <v>68</v>
      </c>
      <c r="O289" s="30">
        <f>785.4*O287^2/O288</f>
        <v>646.27199999999993</v>
      </c>
      <c r="P289" s="30">
        <f>785.4*P287^2/P288</f>
        <v>574.46399999999994</v>
      </c>
      <c r="Q289" s="30">
        <f>785.4*Q287^2/Q288</f>
        <v>571.20000000000005</v>
      </c>
      <c r="R289" s="30">
        <f>785.4*R287^2/R288</f>
        <v>584.82092307692301</v>
      </c>
      <c r="S289" s="30">
        <f>785.4*S287^2/S288</f>
        <v>577.5</v>
      </c>
    </row>
    <row r="290" spans="1:19" x14ac:dyDescent="0.2">
      <c r="A290" s="827"/>
      <c r="B290" s="827"/>
      <c r="C290" s="827"/>
      <c r="D290" s="827"/>
      <c r="E290" s="827"/>
      <c r="F290" s="1222"/>
      <c r="G290" s="827"/>
      <c r="H290" s="827"/>
      <c r="I290" s="827"/>
      <c r="J290" s="827"/>
      <c r="K290" s="827"/>
      <c r="M290" s="6" t="s">
        <v>69</v>
      </c>
      <c r="O290" s="30">
        <f>IF(OR(O288&gt;300,O288&lt;100),100000000,O289-H286)</f>
        <v>76.271999999999821</v>
      </c>
      <c r="P290" s="30">
        <f>IF(OR(P288&gt;300,P288&lt;100),100000001,P289-H286)</f>
        <v>100000001</v>
      </c>
      <c r="Q290" s="30">
        <f>IF(OR(Q288&gt;300,Q288&lt;100),100000001,Q289-H286)</f>
        <v>100000001</v>
      </c>
      <c r="R290" s="30">
        <f>IF(OR(R288&gt;300,R288&lt;100),100000001,R289-H286)</f>
        <v>100000001</v>
      </c>
      <c r="S290" s="30">
        <f>IF(OR(S288&gt;300,S288&lt;100),100000001,S289-H286)</f>
        <v>100000001</v>
      </c>
    </row>
    <row r="291" spans="1:19" x14ac:dyDescent="0.2">
      <c r="A291" s="827"/>
      <c r="B291" s="1222" t="s">
        <v>86</v>
      </c>
      <c r="C291" s="827"/>
      <c r="D291" s="827"/>
      <c r="E291" s="827"/>
      <c r="F291" s="827"/>
      <c r="G291" s="1272">
        <f>F267</f>
        <v>0</v>
      </c>
      <c r="H291" s="1222" t="s">
        <v>58</v>
      </c>
      <c r="I291" s="827"/>
      <c r="J291" s="827"/>
      <c r="K291" s="827"/>
      <c r="M291" s="6" t="s">
        <v>70</v>
      </c>
      <c r="O291" s="30">
        <f>IF(S288&lt;100,25,IF(MIN(O290:S290)=O290,12,IF(MIN(O290:S290)=P290,16,IF(MIN(O290:S290)=Q290,20,IF(MIN(O290:S290)=R290,22,IF(MIN(O290:S290)=S290,25,0))))))</f>
        <v>12</v>
      </c>
      <c r="P291" s="6" t="s">
        <v>71</v>
      </c>
      <c r="Q291" s="30">
        <f>IF(O291=12,O288,IF(O291=16,P288,IF(O291=20,Q288,IF(O291=22,R288,IF(O291=25,S288,0)))))</f>
        <v>175</v>
      </c>
      <c r="R291" s="6" t="s">
        <v>72</v>
      </c>
    </row>
    <row r="292" spans="1:19" x14ac:dyDescent="0.2">
      <c r="A292" s="827"/>
      <c r="B292" s="1222" t="s">
        <v>381</v>
      </c>
      <c r="C292" s="827"/>
      <c r="D292" s="827"/>
      <c r="E292" s="827"/>
      <c r="F292" s="827"/>
      <c r="G292" s="874">
        <f>F278-H65</f>
        <v>675</v>
      </c>
      <c r="H292" s="827" t="s">
        <v>43</v>
      </c>
      <c r="I292" s="827"/>
      <c r="J292" s="827"/>
      <c r="K292" s="827"/>
    </row>
    <row r="293" spans="1:19" x14ac:dyDescent="0.2">
      <c r="A293" s="827"/>
      <c r="B293" s="827" t="s">
        <v>242</v>
      </c>
      <c r="C293" s="827"/>
      <c r="D293" s="827"/>
      <c r="E293" s="827"/>
      <c r="F293" s="827"/>
      <c r="G293" s="878">
        <f>G291/(H54*G70*G292)*1000000000</f>
        <v>0</v>
      </c>
      <c r="H293" s="1222" t="s">
        <v>78</v>
      </c>
      <c r="I293" s="827"/>
      <c r="J293" s="827"/>
      <c r="K293" s="827"/>
    </row>
    <row r="294" spans="1:19" x14ac:dyDescent="0.2">
      <c r="A294" s="827"/>
      <c r="B294" s="827"/>
      <c r="C294" s="827"/>
      <c r="D294" s="827"/>
      <c r="E294" s="827"/>
      <c r="F294" s="827"/>
      <c r="G294" s="827"/>
      <c r="H294" s="827"/>
      <c r="I294" s="827"/>
      <c r="J294" s="827"/>
      <c r="K294" s="827"/>
    </row>
    <row r="295" spans="1:19" ht="13.5" x14ac:dyDescent="0.25">
      <c r="A295" s="827"/>
      <c r="B295" s="1286" t="s">
        <v>87</v>
      </c>
      <c r="C295" s="827"/>
      <c r="D295" s="827"/>
      <c r="E295" s="827"/>
      <c r="F295" s="827"/>
      <c r="G295" s="827"/>
      <c r="H295" s="827"/>
      <c r="I295" s="827"/>
      <c r="J295" s="827"/>
      <c r="K295" s="827"/>
      <c r="M295" s="6" t="s">
        <v>66</v>
      </c>
      <c r="O295" s="30">
        <v>12</v>
      </c>
      <c r="P295" s="30">
        <v>16</v>
      </c>
      <c r="Q295" s="30">
        <v>20</v>
      </c>
      <c r="R295" s="30">
        <v>22</v>
      </c>
      <c r="S295" s="30">
        <v>25</v>
      </c>
    </row>
    <row r="296" spans="1:19" x14ac:dyDescent="0.2">
      <c r="A296" s="827"/>
      <c r="B296" s="827"/>
      <c r="C296" s="827"/>
      <c r="D296" s="827"/>
      <c r="E296" s="827"/>
      <c r="F296" s="827"/>
      <c r="G296" s="827"/>
      <c r="H296" s="827"/>
      <c r="I296" s="827"/>
      <c r="J296" s="827"/>
      <c r="K296" s="827"/>
      <c r="M296" s="6" t="s">
        <v>67</v>
      </c>
      <c r="O296" s="30">
        <f>IF(H300=0,100000000,TRUNC(785.4*O295^2/H300/25)*25)</f>
        <v>125</v>
      </c>
      <c r="P296" s="30">
        <f>IF(H300=0,100000000,TRUNC(785.4*P295^2/H300/25)*25)</f>
        <v>250</v>
      </c>
      <c r="Q296" s="30">
        <f>IF(H300=0,100000000,TRUNC(785.4*Q295^2/H300/25)*25)</f>
        <v>400</v>
      </c>
      <c r="R296" s="30">
        <f>IF(H300=0,100000000,TRUNC(785.4*R295^2/H300/25)*25)</f>
        <v>500</v>
      </c>
      <c r="S296" s="30">
        <f>IF(H300=0,100000000,TRUNC(785.4*S295^2/H300/25)*25)</f>
        <v>625</v>
      </c>
    </row>
    <row r="297" spans="1:19" x14ac:dyDescent="0.2">
      <c r="A297" s="827"/>
      <c r="B297" s="1222" t="s">
        <v>266</v>
      </c>
      <c r="C297" s="827"/>
      <c r="D297" s="827"/>
      <c r="E297" s="827"/>
      <c r="F297" s="827"/>
      <c r="G297" s="1287">
        <f>$H$32+$E$32/500</f>
        <v>3.2</v>
      </c>
      <c r="H297" s="1272" t="s">
        <v>24</v>
      </c>
      <c r="I297" s="827"/>
      <c r="J297" s="827"/>
      <c r="K297" s="827"/>
      <c r="M297" s="6" t="s">
        <v>68</v>
      </c>
      <c r="O297" s="30">
        <f>785.4*O295^2/O296</f>
        <v>904.78079999999989</v>
      </c>
      <c r="P297" s="30">
        <f>785.4*P295^2/P296</f>
        <v>804.24959999999999</v>
      </c>
      <c r="Q297" s="30">
        <f>785.4*Q295^2/Q296</f>
        <v>785.4</v>
      </c>
      <c r="R297" s="30">
        <f>785.4*R295^2/R296</f>
        <v>760.2672</v>
      </c>
      <c r="S297" s="30">
        <f>785.4*S295^2/S296</f>
        <v>785.4</v>
      </c>
    </row>
    <row r="298" spans="1:19" x14ac:dyDescent="0.2">
      <c r="A298" s="827"/>
      <c r="B298" s="1222" t="s">
        <v>265</v>
      </c>
      <c r="C298" s="827"/>
      <c r="D298" s="827"/>
      <c r="E298" s="1015"/>
      <c r="F298" s="827"/>
      <c r="G298" s="827">
        <f>IF(G297&lt;=9,C157,C158)*IF(F278&lt;=380,F278,380)*1000</f>
        <v>760</v>
      </c>
      <c r="H298" s="1222" t="s">
        <v>78</v>
      </c>
      <c r="I298" s="827"/>
      <c r="J298" s="827"/>
      <c r="K298" s="827"/>
      <c r="M298" s="6" t="s">
        <v>69</v>
      </c>
      <c r="O298" s="30">
        <f>IF(OR(O296&gt;300,O296&lt;100),100000000,O297-H300)</f>
        <v>144.78079999999989</v>
      </c>
      <c r="P298" s="30">
        <f>IF(OR(P296&gt;300,P296&lt;100),100000001,P297-H300)</f>
        <v>44.249599999999987</v>
      </c>
      <c r="Q298" s="30">
        <f>IF(OR(Q296&gt;300,Q296&lt;100),100000001,Q297-H300)</f>
        <v>100000001</v>
      </c>
      <c r="R298" s="30">
        <f>IF(OR(R296&gt;300,R296&lt;100),100000001,R297-H300)</f>
        <v>100000001</v>
      </c>
      <c r="S298" s="30">
        <f>IF(OR(S296&gt;300,S296&lt;100),100000001,S297-H300)</f>
        <v>100000001</v>
      </c>
    </row>
    <row r="299" spans="1:19" x14ac:dyDescent="0.2">
      <c r="A299" s="827"/>
      <c r="B299" s="827"/>
      <c r="C299" s="827"/>
      <c r="D299" s="827"/>
      <c r="E299" s="827"/>
      <c r="F299" s="827"/>
      <c r="G299" s="827"/>
      <c r="H299" s="827"/>
      <c r="I299" s="827"/>
      <c r="J299" s="827"/>
      <c r="K299" s="827"/>
      <c r="M299" s="6" t="s">
        <v>70</v>
      </c>
      <c r="O299" s="30">
        <f>IF(S296&lt;100,25,IF(MIN(O298:S298)=O298,12,IF(MIN(O298:S298)=P298,16,IF(MIN(O298:S298)=Q298,20,IF(MIN(O298:S298)=R298,22,IF(MIN(O298:S298)=S298,25,0))))))</f>
        <v>16</v>
      </c>
      <c r="P299" s="6" t="s">
        <v>71</v>
      </c>
      <c r="Q299" s="30">
        <f>IF(O299=12,O296,IF(O299=16,P296,IF(O299=20,Q296,IF(O299=22,R296,IF(O299=25,S296,0)))))</f>
        <v>250</v>
      </c>
      <c r="R299" s="6" t="s">
        <v>72</v>
      </c>
    </row>
    <row r="300" spans="1:19" x14ac:dyDescent="0.2">
      <c r="A300" s="827"/>
      <c r="B300" s="1272" t="str">
        <f>IF(G293&gt;G298,"Ast(moment) &gt; Ast(shrinkage)","Ast(moment) &lt; Ast(shrinkage)")</f>
        <v>Ast(moment) &lt; Ast(shrinkage)</v>
      </c>
      <c r="C300" s="827"/>
      <c r="D300" s="827"/>
      <c r="E300" s="1222" t="s">
        <v>244</v>
      </c>
      <c r="F300" s="827"/>
      <c r="G300" s="827"/>
      <c r="H300" s="997">
        <f>IF(G293&gt;G298,G293,G298)</f>
        <v>760</v>
      </c>
      <c r="I300" s="1222" t="s">
        <v>89</v>
      </c>
      <c r="J300" s="827"/>
      <c r="K300" s="827"/>
    </row>
    <row r="301" spans="1:19" x14ac:dyDescent="0.2">
      <c r="A301" s="827"/>
      <c r="B301" s="1222" t="s">
        <v>79</v>
      </c>
      <c r="C301" s="997">
        <f>IF(D1000=0,O299,D1000)</f>
        <v>16</v>
      </c>
      <c r="D301" s="1222" t="s">
        <v>71</v>
      </c>
      <c r="E301" s="997">
        <v>250</v>
      </c>
      <c r="F301" s="1222" t="s">
        <v>80</v>
      </c>
      <c r="G301" s="827"/>
      <c r="H301" s="997">
        <f>785.4*C301^2/E301</f>
        <v>804.24959999999999</v>
      </c>
      <c r="I301" s="1222" t="s">
        <v>81</v>
      </c>
      <c r="J301" s="827"/>
      <c r="K301" s="827"/>
    </row>
    <row r="302" spans="1:19" x14ac:dyDescent="0.2">
      <c r="A302" s="827"/>
      <c r="B302" s="827"/>
      <c r="C302" s="827"/>
      <c r="D302" s="827"/>
      <c r="E302" s="827"/>
      <c r="F302" s="827"/>
      <c r="G302" s="827"/>
      <c r="H302" s="827"/>
      <c r="I302" s="827"/>
      <c r="J302" s="827"/>
      <c r="K302" s="827"/>
    </row>
    <row r="303" spans="1:19" ht="13.5" x14ac:dyDescent="0.25">
      <c r="A303" s="827"/>
      <c r="B303" s="1276" t="s">
        <v>126</v>
      </c>
      <c r="C303" s="827"/>
      <c r="D303" s="827"/>
      <c r="E303" s="827"/>
      <c r="F303" s="827"/>
      <c r="G303" s="827"/>
      <c r="H303" s="827"/>
      <c r="I303" s="827"/>
      <c r="J303" s="827"/>
      <c r="K303" s="827"/>
      <c r="M303" s="6" t="s">
        <v>66</v>
      </c>
      <c r="O303" s="30">
        <v>12</v>
      </c>
      <c r="P303" s="30">
        <v>16</v>
      </c>
      <c r="Q303" s="30">
        <v>20</v>
      </c>
      <c r="R303" s="30">
        <v>22</v>
      </c>
      <c r="S303" s="30">
        <v>25</v>
      </c>
    </row>
    <row r="304" spans="1:19" x14ac:dyDescent="0.2">
      <c r="A304" s="827"/>
      <c r="B304" s="827"/>
      <c r="C304" s="827"/>
      <c r="D304" s="827"/>
      <c r="E304" s="827"/>
      <c r="F304" s="1222"/>
      <c r="G304" s="827"/>
      <c r="H304" s="827"/>
      <c r="I304" s="827"/>
      <c r="J304" s="827"/>
      <c r="K304" s="827"/>
      <c r="M304" s="6" t="s">
        <v>67</v>
      </c>
      <c r="O304" s="30">
        <f>IF(H310=0,100000000,TRUNC(785.4*O303^2/H310/25)*25)</f>
        <v>25</v>
      </c>
      <c r="P304" s="30">
        <f>IF(H310=0,100000000,TRUNC(785.4*P303^2/H310/25)*25)</f>
        <v>50</v>
      </c>
      <c r="Q304" s="30">
        <f>IF(H310=0,100000000,TRUNC(785.4*Q303^2/H310/25)*25)</f>
        <v>75</v>
      </c>
      <c r="R304" s="30">
        <f>IF(H310=0,100000000,TRUNC(785.4*R303^2/H310/25)*25)</f>
        <v>100</v>
      </c>
      <c r="S304" s="30">
        <f>IF(H310=0,100000000,TRUNC(785.4*S303^2/H310/25)*25)</f>
        <v>125</v>
      </c>
    </row>
    <row r="305" spans="1:19" x14ac:dyDescent="0.2">
      <c r="A305" s="827"/>
      <c r="B305" s="827" t="s">
        <v>242</v>
      </c>
      <c r="C305" s="827"/>
      <c r="D305" s="827"/>
      <c r="E305" s="827"/>
      <c r="F305" s="827"/>
      <c r="G305" s="827"/>
      <c r="H305" s="869">
        <f>F268/(H54*G70*G292)*1000000000</f>
        <v>3777.0648802701367</v>
      </c>
      <c r="I305" s="1222" t="s">
        <v>78</v>
      </c>
      <c r="J305" s="827"/>
      <c r="K305" s="827"/>
      <c r="M305" s="6" t="s">
        <v>68</v>
      </c>
      <c r="O305" s="30">
        <f>785.4*O303^2/O304</f>
        <v>4523.9039999999995</v>
      </c>
      <c r="P305" s="30">
        <f>785.4*P303^2/P304</f>
        <v>4021.248</v>
      </c>
      <c r="Q305" s="30">
        <f>785.4*Q303^2/Q304</f>
        <v>4188.8</v>
      </c>
      <c r="R305" s="30">
        <f>785.4*R303^2/R304</f>
        <v>3801.3359999999998</v>
      </c>
      <c r="S305" s="30">
        <f>785.4*S303^2/S304</f>
        <v>3927</v>
      </c>
    </row>
    <row r="306" spans="1:19" x14ac:dyDescent="0.2">
      <c r="A306" s="827"/>
      <c r="B306" s="827"/>
      <c r="C306" s="827"/>
      <c r="D306" s="827"/>
      <c r="E306" s="827"/>
      <c r="F306" s="827"/>
      <c r="G306" s="827"/>
      <c r="H306" s="827"/>
      <c r="I306" s="827"/>
      <c r="J306" s="827"/>
      <c r="K306" s="827"/>
      <c r="M306" s="6" t="s">
        <v>69</v>
      </c>
      <c r="O306" s="30">
        <f>IF(OR(O304&gt;300,O304&lt;100),100000000,O305-H310)</f>
        <v>100000000</v>
      </c>
      <c r="P306" s="30">
        <f>IF(OR(P304&gt;300,P304&lt;100),100000001,P305-H310)</f>
        <v>100000001</v>
      </c>
      <c r="Q306" s="30">
        <f>IF(OR(Q304&gt;300,Q304&lt;100),100000001,Q305-H310)</f>
        <v>100000001</v>
      </c>
      <c r="R306" s="30">
        <f>IF(OR(R304&gt;300,R304&lt;100),100000001,R305-H310)</f>
        <v>24.27111972986313</v>
      </c>
      <c r="S306" s="30">
        <f>IF(OR(S304&gt;300,S304&lt;100),100000001,S305-H310)</f>
        <v>149.93511972986335</v>
      </c>
    </row>
    <row r="307" spans="1:19" ht="13.5" x14ac:dyDescent="0.25">
      <c r="A307" s="827"/>
      <c r="B307" s="1276" t="s">
        <v>87</v>
      </c>
      <c r="C307" s="827"/>
      <c r="D307" s="827"/>
      <c r="E307" s="827"/>
      <c r="F307" s="827"/>
      <c r="G307" s="827"/>
      <c r="H307" s="827"/>
      <c r="I307" s="827"/>
      <c r="J307" s="827"/>
      <c r="K307" s="827"/>
      <c r="M307" s="6" t="s">
        <v>70</v>
      </c>
      <c r="O307" s="30">
        <f>IF(S304&lt;100,25,IF(MIN(O306:S306)=O306,12,IF(MIN(O306:S306)=P306,16,IF(MIN(O306:S306)=Q306,20,IF(MIN(O306:S306)=R306,22,IF(MIN(O306:S306)=S306,25,0))))))</f>
        <v>22</v>
      </c>
      <c r="P307" s="6" t="s">
        <v>71</v>
      </c>
      <c r="Q307" s="30">
        <f>IF(O307=12,O304,IF(O307=16,P304,IF(O307=20,Q304,IF(O307=22,R304,IF(O307=25,S304,0)))))</f>
        <v>100</v>
      </c>
      <c r="R307" s="6" t="s">
        <v>72</v>
      </c>
    </row>
    <row r="308" spans="1:19" x14ac:dyDescent="0.2">
      <c r="A308" s="827"/>
      <c r="B308" s="827"/>
      <c r="C308" s="827"/>
      <c r="D308" s="827"/>
      <c r="E308" s="827"/>
      <c r="F308" s="827"/>
      <c r="G308" s="827"/>
      <c r="H308" s="827"/>
      <c r="I308" s="827"/>
      <c r="J308" s="827"/>
      <c r="K308" s="827"/>
    </row>
    <row r="309" spans="1:19" x14ac:dyDescent="0.2">
      <c r="A309" s="827"/>
      <c r="B309" s="1222" t="s">
        <v>243</v>
      </c>
      <c r="C309" s="827"/>
      <c r="D309" s="827"/>
      <c r="E309" s="1015"/>
      <c r="F309" s="827"/>
      <c r="G309" s="827"/>
      <c r="H309" s="827">
        <f>IF(G297&lt;=9,D157,D158)*IF(F278&lt;=380,F278,380)*1000</f>
        <v>380</v>
      </c>
      <c r="I309" s="1222" t="s">
        <v>78</v>
      </c>
      <c r="J309" s="827"/>
      <c r="K309" s="827"/>
    </row>
    <row r="310" spans="1:19" x14ac:dyDescent="0.2">
      <c r="A310" s="827"/>
      <c r="B310" s="1272" t="str">
        <f>IF(H305&gt;H309,"Ast(moment)  &gt;  Ast(shrinkage)","Ast(moment)  &lt;  Ast(shrinkage)")</f>
        <v>Ast(moment)  &gt;  Ast(shrinkage)</v>
      </c>
      <c r="C310" s="827"/>
      <c r="D310" s="827"/>
      <c r="E310" s="827"/>
      <c r="F310" s="1222" t="s">
        <v>267</v>
      </c>
      <c r="G310" s="827"/>
      <c r="H310" s="997">
        <f>IF(H305&gt;H309,H305,H309)</f>
        <v>3777.0648802701367</v>
      </c>
      <c r="I310" s="1222" t="s">
        <v>89</v>
      </c>
      <c r="J310" s="827"/>
      <c r="K310" s="827"/>
    </row>
    <row r="311" spans="1:19" x14ac:dyDescent="0.2">
      <c r="A311" s="827"/>
      <c r="B311" s="1277" t="s">
        <v>79</v>
      </c>
      <c r="C311" s="1031">
        <v>25</v>
      </c>
      <c r="D311" s="1277" t="s">
        <v>71</v>
      </c>
      <c r="E311" s="1031">
        <v>125</v>
      </c>
      <c r="F311" s="1277" t="s">
        <v>80</v>
      </c>
      <c r="G311" s="851"/>
      <c r="H311" s="1031">
        <f>785.4*C311^2/E311</f>
        <v>3927</v>
      </c>
      <c r="I311" s="1277" t="s">
        <v>81</v>
      </c>
      <c r="J311" s="851"/>
      <c r="K311" s="1288"/>
    </row>
    <row r="312" spans="1:19" x14ac:dyDescent="0.2">
      <c r="A312" s="827"/>
      <c r="B312" s="827"/>
      <c r="C312" s="827"/>
      <c r="D312" s="827"/>
      <c r="E312" s="827"/>
      <c r="F312" s="827"/>
      <c r="G312" s="827"/>
      <c r="H312" s="827"/>
      <c r="I312" s="827"/>
      <c r="J312" s="827"/>
      <c r="K312" s="827"/>
    </row>
    <row r="313" spans="1:19" ht="13.5" x14ac:dyDescent="0.25">
      <c r="A313" s="827"/>
      <c r="B313" s="1276" t="s">
        <v>93</v>
      </c>
      <c r="C313" s="827"/>
      <c r="D313" s="827"/>
      <c r="E313" s="827"/>
      <c r="F313" s="827"/>
      <c r="G313" s="827"/>
      <c r="H313" s="827"/>
      <c r="I313" s="827"/>
      <c r="J313" s="827"/>
      <c r="K313" s="827"/>
    </row>
    <row r="314" spans="1:19" x14ac:dyDescent="0.2">
      <c r="A314" s="827"/>
      <c r="B314" s="1222" t="s">
        <v>382</v>
      </c>
      <c r="C314" s="827"/>
      <c r="D314" s="827"/>
      <c r="E314" s="827"/>
      <c r="F314" s="827"/>
      <c r="G314" s="827"/>
      <c r="H314" s="827"/>
      <c r="I314" s="827"/>
      <c r="J314" s="827"/>
      <c r="K314" s="827"/>
    </row>
    <row r="315" spans="1:19" x14ac:dyDescent="0.2">
      <c r="A315" s="827"/>
      <c r="B315" s="1222"/>
      <c r="C315" s="827"/>
      <c r="D315" s="827"/>
      <c r="E315" s="827"/>
      <c r="F315" s="827"/>
      <c r="G315" s="827"/>
      <c r="H315" s="827"/>
      <c r="I315" s="827"/>
      <c r="J315" s="827"/>
      <c r="K315" s="827"/>
    </row>
    <row r="316" spans="1:19" ht="13.5" x14ac:dyDescent="0.25">
      <c r="A316" s="827"/>
      <c r="B316" s="1276" t="s">
        <v>94</v>
      </c>
      <c r="C316" s="827"/>
      <c r="D316" s="827"/>
      <c r="E316" s="827"/>
      <c r="F316" s="827"/>
      <c r="G316" s="827"/>
      <c r="H316" s="827"/>
      <c r="I316" s="827"/>
      <c r="J316" s="827"/>
      <c r="K316" s="827"/>
    </row>
    <row r="317" spans="1:19" x14ac:dyDescent="0.2">
      <c r="A317" s="827"/>
      <c r="B317" s="1222" t="s">
        <v>325</v>
      </c>
      <c r="C317" s="827"/>
      <c r="D317" s="827"/>
      <c r="E317" s="827"/>
      <c r="F317" s="827"/>
      <c r="G317" s="827"/>
      <c r="H317" s="827"/>
      <c r="I317" s="827"/>
      <c r="J317" s="827"/>
      <c r="K317" s="827"/>
    </row>
    <row r="318" spans="1:19" x14ac:dyDescent="0.2">
      <c r="A318" s="827"/>
      <c r="B318" s="1222" t="s">
        <v>324</v>
      </c>
      <c r="C318" s="827"/>
      <c r="D318" s="827"/>
      <c r="E318" s="827"/>
      <c r="F318" s="827"/>
      <c r="G318" s="827"/>
      <c r="H318" s="827"/>
      <c r="I318" s="827"/>
      <c r="J318" s="827"/>
      <c r="K318" s="827"/>
    </row>
    <row r="319" spans="1:19" x14ac:dyDescent="0.2">
      <c r="A319" s="827"/>
      <c r="B319" s="827"/>
      <c r="C319" s="827"/>
      <c r="D319" s="827"/>
      <c r="E319" s="827"/>
      <c r="F319" s="827"/>
      <c r="G319" s="827"/>
      <c r="H319" s="827"/>
      <c r="I319" s="827"/>
      <c r="J319" s="827"/>
      <c r="K319" s="827"/>
    </row>
    <row r="320" spans="1:19" x14ac:dyDescent="0.2">
      <c r="A320" s="827"/>
      <c r="B320" s="1222" t="s">
        <v>268</v>
      </c>
      <c r="C320" s="827"/>
      <c r="D320" s="827"/>
      <c r="E320" s="827"/>
      <c r="F320" s="1272"/>
      <c r="G320" s="1229">
        <f>G256/2</f>
        <v>223.37649597878837</v>
      </c>
      <c r="H320" s="1222" t="s">
        <v>58</v>
      </c>
      <c r="I320" s="827"/>
      <c r="J320" s="827"/>
      <c r="K320" s="827"/>
    </row>
    <row r="321" spans="1:11" x14ac:dyDescent="0.2">
      <c r="A321" s="827"/>
      <c r="B321" s="827"/>
      <c r="C321" s="827"/>
      <c r="D321" s="827"/>
      <c r="E321" s="827"/>
      <c r="F321" s="827"/>
      <c r="G321" s="827"/>
      <c r="H321" s="827"/>
      <c r="I321" s="827"/>
      <c r="J321" s="827"/>
      <c r="K321" s="827"/>
    </row>
    <row r="322" spans="1:11" ht="15" x14ac:dyDescent="0.2">
      <c r="A322" s="827"/>
      <c r="B322" s="1222" t="s">
        <v>2532</v>
      </c>
      <c r="C322" s="827"/>
      <c r="D322" s="827"/>
      <c r="E322" s="827"/>
      <c r="F322" s="827"/>
      <c r="G322" s="827"/>
      <c r="H322" s="827"/>
      <c r="I322" s="827"/>
      <c r="J322" s="827"/>
      <c r="K322" s="827"/>
    </row>
    <row r="323" spans="1:11" x14ac:dyDescent="0.2">
      <c r="A323" s="827"/>
      <c r="B323" s="1222"/>
      <c r="C323" s="827"/>
      <c r="D323" s="827"/>
      <c r="E323" s="827"/>
      <c r="F323" s="827"/>
      <c r="G323" s="827"/>
      <c r="H323" s="827"/>
      <c r="I323" s="827"/>
      <c r="J323" s="827"/>
      <c r="K323" s="827"/>
    </row>
    <row r="324" spans="1:11" x14ac:dyDescent="0.2">
      <c r="A324" s="827"/>
      <c r="B324" s="1229">
        <f>G320</f>
        <v>223.37649597878837</v>
      </c>
      <c r="C324" s="1222" t="s">
        <v>55</v>
      </c>
      <c r="D324" s="1229">
        <f>G256</f>
        <v>446.75299195757674</v>
      </c>
      <c r="E324" s="1222" t="s">
        <v>111</v>
      </c>
      <c r="F324" s="1272">
        <f>G252</f>
        <v>94.320000000000022</v>
      </c>
      <c r="G324" s="1222" t="s">
        <v>127</v>
      </c>
      <c r="H324" s="1272">
        <f>G254</f>
        <v>75.456000000000017</v>
      </c>
      <c r="I324" s="1222" t="s">
        <v>128</v>
      </c>
      <c r="J324" s="827"/>
      <c r="K324" s="827"/>
    </row>
    <row r="325" spans="1:11" x14ac:dyDescent="0.2">
      <c r="A325" s="827"/>
      <c r="B325" s="1272">
        <v>0</v>
      </c>
      <c r="C325" s="1222" t="s">
        <v>55</v>
      </c>
      <c r="D325" s="1272">
        <f>D324-B324</f>
        <v>223.37649597878837</v>
      </c>
      <c r="E325" s="1222" t="s">
        <v>111</v>
      </c>
      <c r="F325" s="1272">
        <f>F324</f>
        <v>94.320000000000022</v>
      </c>
      <c r="G325" s="1222" t="s">
        <v>127</v>
      </c>
      <c r="H325" s="1272">
        <f>H324/2</f>
        <v>37.728000000000009</v>
      </c>
      <c r="I325" s="1222" t="s">
        <v>129</v>
      </c>
      <c r="J325" s="827"/>
      <c r="K325" s="827"/>
    </row>
    <row r="326" spans="1:11" x14ac:dyDescent="0.2">
      <c r="A326" s="827"/>
      <c r="B326" s="827"/>
      <c r="C326" s="827"/>
      <c r="D326" s="827"/>
      <c r="E326" s="827"/>
      <c r="F326" s="827"/>
      <c r="G326" s="827"/>
      <c r="H326" s="827"/>
      <c r="I326" s="827"/>
      <c r="J326" s="827"/>
      <c r="K326" s="827"/>
    </row>
    <row r="327" spans="1:11" x14ac:dyDescent="0.2">
      <c r="A327" s="827"/>
      <c r="B327" s="1222" t="s">
        <v>383</v>
      </c>
      <c r="C327" s="827"/>
      <c r="D327" s="827"/>
      <c r="E327" s="827"/>
      <c r="F327" s="827"/>
      <c r="G327" s="827"/>
      <c r="H327" s="827"/>
      <c r="I327" s="1222" t="s">
        <v>270</v>
      </c>
      <c r="J327" s="1229">
        <f>IF(F325^2-4*D325*H325&lt;0,$J$32/2,(F325-SQRT(F325^2-4*H325*D325))/2/H325)</f>
        <v>1.25</v>
      </c>
      <c r="K327" s="1222" t="s">
        <v>24</v>
      </c>
    </row>
    <row r="328" spans="1:11" x14ac:dyDescent="0.2">
      <c r="A328" s="827"/>
      <c r="B328" s="1222" t="s">
        <v>271</v>
      </c>
      <c r="C328" s="827"/>
      <c r="D328" s="827"/>
      <c r="E328" s="827"/>
      <c r="F328" s="827"/>
      <c r="G328" s="827"/>
      <c r="H328" s="827"/>
      <c r="I328" s="827"/>
      <c r="J328" s="827"/>
      <c r="K328" s="827"/>
    </row>
    <row r="329" spans="1:11" x14ac:dyDescent="0.2">
      <c r="A329" s="827"/>
      <c r="B329" s="827"/>
      <c r="C329" s="827"/>
      <c r="D329" s="827"/>
      <c r="E329" s="1272" t="str">
        <f>IF(J327=$J$32/2,"There is no solution to the quadratic equation.","")</f>
        <v>There is no solution to the quadratic equation.</v>
      </c>
      <c r="F329" s="827"/>
      <c r="G329" s="827"/>
      <c r="H329" s="827"/>
      <c r="I329" s="827"/>
      <c r="J329" s="827"/>
      <c r="K329" s="827"/>
    </row>
    <row r="330" spans="1:11" x14ac:dyDescent="0.2">
      <c r="A330" s="827"/>
      <c r="B330" s="1222" t="s">
        <v>132</v>
      </c>
      <c r="C330" s="827"/>
      <c r="D330" s="827"/>
      <c r="E330" s="827"/>
      <c r="F330" s="827"/>
      <c r="G330" s="997">
        <f>$E$32</f>
        <v>700</v>
      </c>
      <c r="H330" s="1222" t="s">
        <v>43</v>
      </c>
      <c r="I330" s="827"/>
      <c r="J330" s="827"/>
      <c r="K330" s="827"/>
    </row>
    <row r="331" spans="1:11" x14ac:dyDescent="0.2">
      <c r="A331" s="827"/>
      <c r="B331" s="1222" t="s">
        <v>384</v>
      </c>
      <c r="C331" s="827"/>
      <c r="D331" s="827"/>
      <c r="E331" s="827"/>
      <c r="F331" s="827"/>
      <c r="G331" s="827"/>
      <c r="H331" s="827"/>
      <c r="I331" s="827"/>
      <c r="J331" s="827"/>
      <c r="K331" s="827"/>
    </row>
    <row r="332" spans="1:11" x14ac:dyDescent="0.2">
      <c r="A332" s="827"/>
      <c r="B332" s="1222" t="s">
        <v>256</v>
      </c>
      <c r="C332" s="827"/>
      <c r="D332" s="827"/>
      <c r="E332" s="997"/>
      <c r="F332" s="1222"/>
      <c r="G332" s="997">
        <f>12*C311</f>
        <v>300</v>
      </c>
      <c r="H332" s="1222" t="s">
        <v>43</v>
      </c>
      <c r="I332" s="827"/>
      <c r="J332" s="827"/>
      <c r="K332" s="827"/>
    </row>
    <row r="333" spans="1:11" x14ac:dyDescent="0.2">
      <c r="A333" s="827"/>
      <c r="B333" s="1222" t="s">
        <v>272</v>
      </c>
      <c r="C333" s="827"/>
      <c r="D333" s="827"/>
      <c r="E333" s="827"/>
      <c r="F333" s="827"/>
      <c r="G333" s="997">
        <f>G292</f>
        <v>675</v>
      </c>
      <c r="H333" s="1222" t="s">
        <v>43</v>
      </c>
      <c r="I333" s="827"/>
      <c r="J333" s="827"/>
      <c r="K333" s="827"/>
    </row>
    <row r="334" spans="1:11" x14ac:dyDescent="0.2">
      <c r="A334" s="827"/>
      <c r="B334" s="1222" t="s">
        <v>273</v>
      </c>
      <c r="C334" s="827"/>
      <c r="D334" s="827"/>
      <c r="E334" s="827"/>
      <c r="F334" s="827"/>
      <c r="G334" s="878">
        <f>J327-G330/2000+MAX(G332:G333)/1000</f>
        <v>1.5750000000000002</v>
      </c>
      <c r="H334" s="1222" t="s">
        <v>24</v>
      </c>
      <c r="I334" s="827"/>
      <c r="J334" s="827"/>
      <c r="K334" s="827"/>
    </row>
    <row r="335" spans="1:11" x14ac:dyDescent="0.2">
      <c r="A335" s="827"/>
      <c r="B335" s="1222" t="s">
        <v>274</v>
      </c>
      <c r="C335" s="827"/>
      <c r="D335" s="827"/>
      <c r="E335" s="827"/>
      <c r="F335" s="827"/>
      <c r="G335" s="827"/>
      <c r="H335" s="827"/>
      <c r="I335" s="827"/>
      <c r="J335" s="827"/>
      <c r="K335" s="827"/>
    </row>
    <row r="336" spans="1:11" x14ac:dyDescent="0.2">
      <c r="A336" s="827"/>
      <c r="B336" s="1222" t="s">
        <v>133</v>
      </c>
      <c r="C336" s="827"/>
      <c r="D336" s="878">
        <f>H32/2-G334</f>
        <v>-0.67500000000000016</v>
      </c>
      <c r="E336" s="827" t="str">
        <f>IF(D336&gt;=1,"&gt;1m  Curtailment should be made","&lt;1m  No curtailment x=B/2")</f>
        <v>&lt;1m  No curtailment x=B/2</v>
      </c>
      <c r="F336" s="827"/>
      <c r="G336" s="827"/>
      <c r="H336" s="827"/>
      <c r="I336" s="827"/>
      <c r="J336" s="827"/>
      <c r="K336" s="827"/>
    </row>
    <row r="337" spans="1:11" x14ac:dyDescent="0.2">
      <c r="A337" s="1222"/>
      <c r="B337" s="827"/>
      <c r="C337" s="827"/>
      <c r="D337" s="827"/>
      <c r="E337" s="827"/>
      <c r="F337" s="827"/>
      <c r="G337" s="827"/>
      <c r="H337" s="827"/>
      <c r="I337" s="827"/>
      <c r="J337" s="827"/>
      <c r="K337" s="827"/>
    </row>
    <row r="338" spans="1:11" ht="13.5" x14ac:dyDescent="0.25">
      <c r="A338" s="827"/>
      <c r="B338" s="1276" t="s">
        <v>87</v>
      </c>
      <c r="C338" s="827"/>
      <c r="D338" s="827"/>
      <c r="E338" s="827"/>
      <c r="F338" s="827"/>
      <c r="G338" s="827"/>
      <c r="H338" s="827"/>
      <c r="I338" s="827"/>
      <c r="J338" s="827"/>
      <c r="K338" s="827"/>
    </row>
    <row r="339" spans="1:11" x14ac:dyDescent="0.2">
      <c r="A339" s="827"/>
      <c r="B339" s="827"/>
      <c r="C339" s="827"/>
      <c r="D339" s="827"/>
      <c r="E339" s="827"/>
      <c r="F339" s="827"/>
      <c r="G339" s="827"/>
      <c r="H339" s="827"/>
      <c r="I339" s="827"/>
      <c r="J339" s="827"/>
      <c r="K339" s="827"/>
    </row>
    <row r="340" spans="1:11" x14ac:dyDescent="0.2">
      <c r="A340" s="827"/>
      <c r="B340" s="1222" t="s">
        <v>395</v>
      </c>
      <c r="C340" s="827"/>
      <c r="D340" s="827"/>
      <c r="E340" s="827"/>
      <c r="F340" s="827"/>
      <c r="G340" s="827"/>
      <c r="H340" s="869">
        <f>1/2*H311</f>
        <v>1963.5</v>
      </c>
      <c r="I340" s="1222" t="s">
        <v>78</v>
      </c>
      <c r="J340" s="827"/>
      <c r="K340" s="827"/>
    </row>
    <row r="341" spans="1:11" x14ac:dyDescent="0.2">
      <c r="A341" s="827"/>
      <c r="B341" s="1222" t="s">
        <v>253</v>
      </c>
      <c r="C341" s="827"/>
      <c r="D341" s="827"/>
      <c r="E341" s="827"/>
      <c r="F341" s="1222"/>
      <c r="G341" s="997"/>
      <c r="H341" s="997">
        <f>H309</f>
        <v>380</v>
      </c>
      <c r="I341" s="1222" t="s">
        <v>78</v>
      </c>
      <c r="J341" s="827"/>
      <c r="K341" s="827"/>
    </row>
    <row r="342" spans="1:11" x14ac:dyDescent="0.2">
      <c r="A342" s="827"/>
      <c r="B342" s="1272" t="str">
        <f>IF(H340&gt;=H341,"Ast(moment)  &gt;  Ast(shrinkage)","Ast(moment)  &lt;  Ast(shrinkage)")</f>
        <v>Ast(moment)  &gt;  Ast(shrinkage)</v>
      </c>
      <c r="C342" s="827"/>
      <c r="D342" s="827"/>
      <c r="E342" s="827"/>
      <c r="F342" s="1278" t="s">
        <v>396</v>
      </c>
      <c r="G342" s="1279"/>
      <c r="H342" s="1280">
        <f>IF(OR(D336&lt;1,H340&lt;H341),$H$32/2,G334)</f>
        <v>0.9</v>
      </c>
      <c r="I342" s="1278" t="s">
        <v>115</v>
      </c>
      <c r="J342" s="827"/>
      <c r="K342" s="827"/>
    </row>
    <row r="343" spans="1:11" x14ac:dyDescent="0.2">
      <c r="A343" s="827"/>
      <c r="B343" s="827"/>
      <c r="C343" s="827"/>
      <c r="D343" s="827"/>
      <c r="E343" s="827"/>
      <c r="F343" s="827"/>
      <c r="G343" s="827"/>
      <c r="H343" s="827"/>
      <c r="I343" s="827"/>
      <c r="J343" s="827"/>
      <c r="K343" s="827"/>
    </row>
    <row r="344" spans="1:11" ht="13.5" x14ac:dyDescent="0.25">
      <c r="A344" s="827"/>
      <c r="B344" s="1276" t="s">
        <v>116</v>
      </c>
      <c r="C344" s="827"/>
      <c r="D344" s="827"/>
      <c r="E344" s="827"/>
      <c r="F344" s="827"/>
      <c r="G344" s="827"/>
      <c r="H344" s="827"/>
      <c r="I344" s="827"/>
      <c r="J344" s="827"/>
      <c r="K344" s="827"/>
    </row>
    <row r="345" spans="1:11" x14ac:dyDescent="0.2">
      <c r="A345" s="827"/>
      <c r="B345" s="1222" t="s">
        <v>275</v>
      </c>
      <c r="C345" s="827"/>
      <c r="D345" s="827"/>
      <c r="E345" s="827"/>
      <c r="F345" s="1272"/>
      <c r="G345" s="1229">
        <f>G256/4</f>
        <v>111.68824798939418</v>
      </c>
      <c r="H345" s="1222" t="s">
        <v>58</v>
      </c>
      <c r="I345" s="827"/>
      <c r="J345" s="827"/>
      <c r="K345" s="827"/>
    </row>
    <row r="346" spans="1:11" ht="15" x14ac:dyDescent="0.2">
      <c r="A346" s="827"/>
      <c r="B346" s="1222" t="s">
        <v>2533</v>
      </c>
      <c r="C346" s="827"/>
      <c r="D346" s="827"/>
      <c r="E346" s="827"/>
      <c r="F346" s="827"/>
      <c r="G346" s="827"/>
      <c r="H346" s="827"/>
      <c r="I346" s="827"/>
      <c r="J346" s="827"/>
      <c r="K346" s="827"/>
    </row>
    <row r="347" spans="1:11" x14ac:dyDescent="0.2">
      <c r="A347" s="827"/>
      <c r="B347" s="827"/>
      <c r="C347" s="827"/>
      <c r="D347" s="827"/>
      <c r="E347" s="827"/>
      <c r="F347" s="827"/>
      <c r="G347" s="827"/>
      <c r="H347" s="827"/>
      <c r="I347" s="827"/>
      <c r="J347" s="827"/>
      <c r="K347" s="827"/>
    </row>
    <row r="348" spans="1:11" x14ac:dyDescent="0.2">
      <c r="A348" s="827"/>
      <c r="B348" s="1229">
        <f>G345</f>
        <v>111.68824798939418</v>
      </c>
      <c r="C348" s="1222" t="s">
        <v>55</v>
      </c>
      <c r="D348" s="1229">
        <f>G256</f>
        <v>446.75299195757674</v>
      </c>
      <c r="E348" s="1222" t="s">
        <v>111</v>
      </c>
      <c r="F348" s="1272">
        <f>G252</f>
        <v>94.320000000000022</v>
      </c>
      <c r="G348" s="1222" t="s">
        <v>127</v>
      </c>
      <c r="H348" s="1272">
        <f>G254</f>
        <v>75.456000000000017</v>
      </c>
      <c r="I348" s="1222" t="s">
        <v>128</v>
      </c>
      <c r="J348" s="827"/>
      <c r="K348" s="827"/>
    </row>
    <row r="349" spans="1:11" x14ac:dyDescent="0.2">
      <c r="A349" s="827"/>
      <c r="B349" s="1222" t="s">
        <v>130</v>
      </c>
      <c r="C349" s="827"/>
      <c r="D349" s="827"/>
      <c r="E349" s="827"/>
      <c r="F349" s="827"/>
      <c r="G349" s="827"/>
      <c r="H349" s="827"/>
      <c r="I349" s="827"/>
      <c r="J349" s="827"/>
      <c r="K349" s="827"/>
    </row>
    <row r="350" spans="1:11" x14ac:dyDescent="0.2">
      <c r="A350" s="827"/>
      <c r="B350" s="827"/>
      <c r="C350" s="827"/>
      <c r="D350" s="827"/>
      <c r="E350" s="827"/>
      <c r="F350" s="827"/>
      <c r="G350" s="1289" t="str">
        <f>IF(C351=$J$32/2,"There is no solution to the quadratic equation.","")</f>
        <v>There is no solution to the quadratic equation.</v>
      </c>
      <c r="H350" s="1290"/>
      <c r="I350" s="1290"/>
      <c r="J350" s="1290"/>
      <c r="K350" s="827"/>
    </row>
    <row r="351" spans="1:11" x14ac:dyDescent="0.2">
      <c r="A351" s="827"/>
      <c r="B351" s="1222" t="s">
        <v>131</v>
      </c>
      <c r="C351" s="1229">
        <f>IF(F348^2-2*H348*(D348-B348)&lt;0,$J$32/2,(F348-SQRT(F348^2-2*H348*(D348-B348)))/H348)</f>
        <v>1.25</v>
      </c>
      <c r="D351" s="1222" t="s">
        <v>24</v>
      </c>
      <c r="E351" s="827"/>
      <c r="F351" s="827"/>
      <c r="G351" s="1289" t="str">
        <f>IF(C351=$J$32/2,"No curtailment should be made:   d  =  B'/2","")</f>
        <v>No curtailment should be made:   d  =  B'/2</v>
      </c>
      <c r="H351" s="1290"/>
      <c r="I351" s="1290"/>
      <c r="J351" s="1290"/>
      <c r="K351" s="827"/>
    </row>
    <row r="352" spans="1:11" x14ac:dyDescent="0.2">
      <c r="A352" s="827"/>
      <c r="B352" s="827"/>
      <c r="C352" s="827"/>
      <c r="D352" s="827"/>
      <c r="E352" s="827"/>
      <c r="F352" s="827"/>
      <c r="G352" s="827"/>
      <c r="H352" s="827"/>
      <c r="I352" s="827"/>
      <c r="J352" s="827"/>
      <c r="K352" s="827"/>
    </row>
    <row r="353" spans="1:11" x14ac:dyDescent="0.2">
      <c r="A353" s="827"/>
      <c r="B353" s="1222" t="s">
        <v>397</v>
      </c>
      <c r="C353" s="827"/>
      <c r="D353" s="827"/>
      <c r="E353" s="827"/>
      <c r="F353" s="827"/>
      <c r="G353" s="827"/>
      <c r="H353" s="827"/>
      <c r="I353" s="827"/>
      <c r="J353" s="827"/>
      <c r="K353" s="827"/>
    </row>
    <row r="354" spans="1:11" x14ac:dyDescent="0.2">
      <c r="A354" s="827"/>
      <c r="B354" s="1222" t="s">
        <v>132</v>
      </c>
      <c r="C354" s="827"/>
      <c r="D354" s="827"/>
      <c r="E354" s="827"/>
      <c r="F354" s="827"/>
      <c r="G354" s="997">
        <f>$E$32</f>
        <v>700</v>
      </c>
      <c r="H354" s="1222" t="s">
        <v>43</v>
      </c>
      <c r="I354" s="827"/>
      <c r="J354" s="827"/>
      <c r="K354" s="827"/>
    </row>
    <row r="355" spans="1:11" x14ac:dyDescent="0.2">
      <c r="A355" s="827"/>
      <c r="B355" s="827"/>
      <c r="C355" s="827"/>
      <c r="D355" s="827"/>
      <c r="E355" s="827"/>
      <c r="F355" s="827"/>
      <c r="G355" s="827"/>
      <c r="H355" s="827"/>
      <c r="I355" s="827"/>
      <c r="J355" s="827"/>
      <c r="K355" s="827"/>
    </row>
    <row r="356" spans="1:11" x14ac:dyDescent="0.2">
      <c r="A356" s="827"/>
      <c r="B356" s="1222" t="s">
        <v>398</v>
      </c>
      <c r="C356" s="827"/>
      <c r="D356" s="827"/>
      <c r="E356" s="827"/>
      <c r="F356" s="827"/>
      <c r="G356" s="827"/>
      <c r="H356" s="827"/>
      <c r="I356" s="827"/>
      <c r="J356" s="827"/>
      <c r="K356" s="827"/>
    </row>
    <row r="357" spans="1:11" x14ac:dyDescent="0.2">
      <c r="A357" s="827"/>
      <c r="B357" s="1222" t="s">
        <v>272</v>
      </c>
      <c r="C357" s="827"/>
      <c r="D357" s="827"/>
      <c r="E357" s="827"/>
      <c r="F357" s="827"/>
      <c r="G357" s="997">
        <f>G333</f>
        <v>675</v>
      </c>
      <c r="H357" s="1222" t="s">
        <v>43</v>
      </c>
      <c r="I357" s="827"/>
      <c r="J357" s="827"/>
      <c r="K357" s="827"/>
    </row>
    <row r="358" spans="1:11" x14ac:dyDescent="0.2">
      <c r="A358" s="827"/>
      <c r="B358" s="1222" t="s">
        <v>256</v>
      </c>
      <c r="C358" s="827"/>
      <c r="D358" s="827"/>
      <c r="E358" s="997"/>
      <c r="F358" s="1222"/>
      <c r="G358" s="997">
        <f>12*C311</f>
        <v>300</v>
      </c>
      <c r="H358" s="1222" t="s">
        <v>43</v>
      </c>
      <c r="I358" s="827"/>
      <c r="J358" s="827"/>
      <c r="K358" s="827"/>
    </row>
    <row r="359" spans="1:11" x14ac:dyDescent="0.2">
      <c r="A359" s="827"/>
      <c r="B359" s="1272" t="str">
        <f>IF(G357&gt;=G358,"da  &gt;  12 * Bar Diameter","da  &lt;  12 * Bar Diameter")</f>
        <v>da  &gt;  12 * Bar Diameter</v>
      </c>
      <c r="C359" s="827"/>
      <c r="D359" s="827"/>
      <c r="E359" s="1222" t="s">
        <v>251</v>
      </c>
      <c r="F359" s="827"/>
      <c r="G359" s="997">
        <f>IF(G357&gt;G358,G357,G358)</f>
        <v>675</v>
      </c>
      <c r="H359" s="1222" t="s">
        <v>62</v>
      </c>
      <c r="I359" s="827"/>
      <c r="J359" s="827"/>
      <c r="K359" s="827"/>
    </row>
    <row r="360" spans="1:11" x14ac:dyDescent="0.2">
      <c r="A360" s="827"/>
      <c r="B360" s="1222" t="s">
        <v>110</v>
      </c>
      <c r="C360" s="1272"/>
      <c r="D360" s="1222"/>
      <c r="E360" s="1272"/>
      <c r="F360" s="1222"/>
      <c r="G360" s="878">
        <f>C351-G354/2000+G359/1000</f>
        <v>1.5750000000000002</v>
      </c>
      <c r="H360" s="1222" t="s">
        <v>24</v>
      </c>
      <c r="I360" s="827"/>
      <c r="J360" s="827"/>
      <c r="K360" s="827"/>
    </row>
    <row r="361" spans="1:11" x14ac:dyDescent="0.2">
      <c r="A361" s="827"/>
      <c r="B361" s="1222" t="s">
        <v>326</v>
      </c>
      <c r="C361" s="827"/>
      <c r="D361" s="827"/>
      <c r="E361" s="827"/>
      <c r="F361" s="827"/>
      <c r="G361" s="827"/>
      <c r="H361" s="827"/>
      <c r="I361" s="827"/>
      <c r="J361" s="827"/>
      <c r="K361" s="827"/>
    </row>
    <row r="362" spans="1:11" x14ac:dyDescent="0.2">
      <c r="A362" s="827"/>
      <c r="B362" s="1222" t="s">
        <v>133</v>
      </c>
      <c r="C362" s="1272">
        <f>H32/2-G360</f>
        <v>-0.67500000000000016</v>
      </c>
      <c r="D362" s="1272" t="str">
        <f>IF(C362&gt;=1," &gt;  1 m        Curtailment should be made."," &lt;  1 m        Curtailment should not be made:   x  =  B/2")</f>
        <v xml:space="preserve"> &lt;  1 m        Curtailment should not be made:   x  =  B/2</v>
      </c>
      <c r="E362" s="827"/>
      <c r="F362" s="827"/>
      <c r="G362" s="827"/>
      <c r="H362" s="827"/>
      <c r="I362" s="827"/>
      <c r="J362" s="827"/>
      <c r="K362" s="827"/>
    </row>
    <row r="363" spans="1:11" x14ac:dyDescent="0.2">
      <c r="A363" s="827"/>
      <c r="B363" s="827"/>
      <c r="C363" s="827"/>
      <c r="D363" s="827"/>
      <c r="E363" s="827"/>
      <c r="F363" s="827"/>
      <c r="G363" s="827"/>
      <c r="H363" s="827"/>
      <c r="I363" s="827"/>
      <c r="J363" s="827"/>
      <c r="K363" s="827"/>
    </row>
    <row r="364" spans="1:11" x14ac:dyDescent="0.2">
      <c r="A364" s="827"/>
      <c r="B364" s="1222" t="s">
        <v>87</v>
      </c>
      <c r="C364" s="827"/>
      <c r="D364" s="827"/>
      <c r="E364" s="827"/>
      <c r="F364" s="827"/>
      <c r="G364" s="827"/>
      <c r="H364" s="827"/>
      <c r="I364" s="827"/>
      <c r="J364" s="827"/>
      <c r="K364" s="827"/>
    </row>
    <row r="365" spans="1:11" x14ac:dyDescent="0.2">
      <c r="A365" s="827"/>
      <c r="B365" s="827"/>
      <c r="C365" s="827"/>
      <c r="D365" s="827"/>
      <c r="E365" s="827"/>
      <c r="F365" s="827"/>
      <c r="G365" s="827"/>
      <c r="H365" s="827"/>
      <c r="I365" s="827"/>
      <c r="J365" s="827"/>
      <c r="K365" s="827"/>
    </row>
    <row r="366" spans="1:11" x14ac:dyDescent="0.2">
      <c r="A366" s="827"/>
      <c r="B366" s="1222" t="s">
        <v>277</v>
      </c>
      <c r="C366" s="827"/>
      <c r="D366" s="827"/>
      <c r="E366" s="827"/>
      <c r="F366" s="827"/>
      <c r="G366" s="827"/>
      <c r="H366" s="869">
        <f>1/4*H305</f>
        <v>944.26622006753416</v>
      </c>
      <c r="I366" s="1222" t="s">
        <v>78</v>
      </c>
      <c r="J366" s="827"/>
      <c r="K366" s="827"/>
    </row>
    <row r="367" spans="1:11" x14ac:dyDescent="0.2">
      <c r="A367" s="827"/>
      <c r="B367" s="1222" t="s">
        <v>113</v>
      </c>
      <c r="C367" s="827"/>
      <c r="D367" s="827"/>
      <c r="E367" s="827"/>
      <c r="F367" s="1222"/>
      <c r="G367" s="997"/>
      <c r="H367" s="997">
        <f>H309</f>
        <v>380</v>
      </c>
      <c r="I367" s="1222" t="s">
        <v>78</v>
      </c>
      <c r="J367" s="827"/>
      <c r="K367" s="827"/>
    </row>
    <row r="368" spans="1:11" x14ac:dyDescent="0.2">
      <c r="A368" s="827"/>
      <c r="B368" s="1272" t="str">
        <f>IF(H366&gt;=H367,"Ast(moment)  &gt;  Ast(shrinkage)","Ast(moment)  &lt;  Ast(shrinkage)")</f>
        <v>Ast(moment)  &gt;  Ast(shrinkage)</v>
      </c>
      <c r="C368" s="827"/>
      <c r="D368" s="827"/>
      <c r="E368" s="827"/>
      <c r="F368" s="1278" t="s">
        <v>278</v>
      </c>
      <c r="G368" s="1279"/>
      <c r="H368" s="1280">
        <f>IF(OR(C362&lt;1,H366&lt;H367),$H$32/2,G360)</f>
        <v>0.9</v>
      </c>
      <c r="I368" s="1278" t="s">
        <v>115</v>
      </c>
      <c r="J368" s="827"/>
      <c r="K368" s="827"/>
    </row>
    <row r="369" spans="1:19" x14ac:dyDescent="0.2">
      <c r="A369" s="827"/>
      <c r="B369" s="827"/>
      <c r="C369" s="827"/>
      <c r="D369" s="827"/>
      <c r="E369" s="827"/>
      <c r="F369" s="827"/>
      <c r="G369" s="827"/>
      <c r="H369" s="827"/>
      <c r="I369" s="827"/>
      <c r="J369" s="827"/>
      <c r="K369" s="827"/>
    </row>
    <row r="370" spans="1:19" ht="13.5" x14ac:dyDescent="0.25">
      <c r="A370" s="1284" t="s">
        <v>134</v>
      </c>
      <c r="B370" s="826"/>
      <c r="C370" s="826"/>
      <c r="D370" s="826"/>
      <c r="E370" s="827"/>
      <c r="F370" s="827"/>
      <c r="G370" s="827"/>
      <c r="H370" s="827"/>
      <c r="I370" s="827"/>
      <c r="J370" s="827"/>
      <c r="K370" s="827"/>
    </row>
    <row r="371" spans="1:19" x14ac:dyDescent="0.2">
      <c r="A371" s="827"/>
      <c r="B371" s="827"/>
      <c r="C371" s="827"/>
      <c r="D371" s="827"/>
      <c r="E371" s="827"/>
      <c r="F371" s="827"/>
      <c r="G371" s="827"/>
      <c r="H371" s="827"/>
      <c r="I371" s="827"/>
      <c r="J371" s="827"/>
      <c r="K371" s="827"/>
    </row>
    <row r="372" spans="1:19" ht="13.5" x14ac:dyDescent="0.25">
      <c r="A372" s="1286" t="s">
        <v>54</v>
      </c>
      <c r="B372" s="827"/>
      <c r="C372" s="827"/>
      <c r="D372" s="827"/>
      <c r="E372" s="827"/>
      <c r="F372" s="827"/>
      <c r="G372" s="827"/>
      <c r="H372" s="827"/>
      <c r="I372" s="827"/>
      <c r="J372" s="827"/>
      <c r="K372" s="827"/>
    </row>
    <row r="373" spans="1:19" x14ac:dyDescent="0.2">
      <c r="A373" s="827"/>
      <c r="B373" s="827"/>
      <c r="C373" s="1222" t="s">
        <v>135</v>
      </c>
      <c r="D373" s="827"/>
      <c r="E373" s="827"/>
      <c r="F373" s="827"/>
      <c r="G373" s="1229">
        <f>$H$49*$F$33*$G$46</f>
        <v>59.490277871547406</v>
      </c>
      <c r="H373" s="1222" t="s">
        <v>35</v>
      </c>
      <c r="I373" s="827"/>
      <c r="J373" s="827"/>
      <c r="K373" s="827"/>
    </row>
    <row r="374" spans="1:19" x14ac:dyDescent="0.2">
      <c r="A374" s="827"/>
      <c r="B374" s="827"/>
      <c r="C374" s="1222" t="s">
        <v>136</v>
      </c>
      <c r="D374" s="827"/>
      <c r="E374" s="827"/>
      <c r="F374" s="827"/>
      <c r="G374" s="1229">
        <f>G373*$F$33/2</f>
        <v>171.03454888069879</v>
      </c>
      <c r="H374" s="1222" t="s">
        <v>57</v>
      </c>
      <c r="I374" s="827"/>
      <c r="J374" s="827"/>
      <c r="K374" s="827"/>
    </row>
    <row r="375" spans="1:19" x14ac:dyDescent="0.2">
      <c r="A375" s="827"/>
      <c r="B375" s="827"/>
      <c r="C375" s="1222" t="s">
        <v>137</v>
      </c>
      <c r="D375" s="827"/>
      <c r="E375" s="827"/>
      <c r="F375" s="827"/>
      <c r="G375" s="1229">
        <f>G373*$F$33^2/6</f>
        <v>327.81621868800602</v>
      </c>
      <c r="H375" s="1222" t="s">
        <v>58</v>
      </c>
      <c r="I375" s="827"/>
      <c r="J375" s="827"/>
      <c r="K375" s="827"/>
    </row>
    <row r="376" spans="1:19" x14ac:dyDescent="0.2">
      <c r="A376" s="827"/>
      <c r="B376" s="827"/>
      <c r="C376" s="827"/>
      <c r="D376" s="827"/>
      <c r="E376" s="827"/>
      <c r="F376" s="827"/>
      <c r="G376" s="827"/>
      <c r="H376" s="827"/>
      <c r="I376" s="827"/>
      <c r="J376" s="827"/>
      <c r="K376" s="827"/>
    </row>
    <row r="377" spans="1:19" ht="13.5" x14ac:dyDescent="0.25">
      <c r="A377" s="827"/>
      <c r="B377" s="1276" t="s">
        <v>59</v>
      </c>
      <c r="C377" s="827"/>
      <c r="D377" s="827"/>
      <c r="E377" s="827"/>
      <c r="F377" s="827"/>
      <c r="G377" s="827"/>
      <c r="H377" s="827"/>
      <c r="I377" s="827"/>
      <c r="J377" s="827"/>
      <c r="K377" s="827"/>
    </row>
    <row r="378" spans="1:19" x14ac:dyDescent="0.2">
      <c r="A378" s="827"/>
      <c r="B378" s="1222" t="s">
        <v>279</v>
      </c>
      <c r="C378" s="827"/>
      <c r="D378" s="827"/>
      <c r="E378" s="827"/>
      <c r="F378" s="997">
        <f>SQRT(G375/$G$71)*1000</f>
        <v>511.49418245561327</v>
      </c>
      <c r="G378" s="1222" t="s">
        <v>43</v>
      </c>
      <c r="H378" s="827"/>
      <c r="I378" s="827"/>
      <c r="J378" s="827"/>
      <c r="K378" s="827"/>
    </row>
    <row r="379" spans="1:19" x14ac:dyDescent="0.2">
      <c r="A379" s="827"/>
      <c r="B379" s="1222" t="s">
        <v>280</v>
      </c>
      <c r="C379" s="827"/>
      <c r="D379" s="827"/>
      <c r="E379" s="827"/>
      <c r="F379" s="997">
        <f>G374/$H$57*1000</f>
        <v>399.00162398557023</v>
      </c>
      <c r="G379" s="1222" t="s">
        <v>43</v>
      </c>
      <c r="H379" s="827"/>
      <c r="I379" s="827"/>
      <c r="J379" s="827"/>
      <c r="K379" s="827"/>
      <c r="M379" s="6" t="s">
        <v>66</v>
      </c>
      <c r="O379" s="30">
        <v>12</v>
      </c>
      <c r="P379" s="30">
        <v>16</v>
      </c>
      <c r="Q379" s="30">
        <v>20</v>
      </c>
      <c r="R379" s="30">
        <v>22</v>
      </c>
      <c r="S379" s="30">
        <v>25</v>
      </c>
    </row>
    <row r="380" spans="1:19" x14ac:dyDescent="0.2">
      <c r="A380" s="827"/>
      <c r="B380" s="1222" t="s">
        <v>281</v>
      </c>
      <c r="C380" s="827"/>
      <c r="D380" s="827"/>
      <c r="E380" s="827"/>
      <c r="F380" s="997">
        <f>MAX(F378:F379)+$H$65</f>
        <v>586.49418245561333</v>
      </c>
      <c r="G380" s="1222" t="s">
        <v>43</v>
      </c>
      <c r="H380" s="827"/>
      <c r="I380" s="827"/>
      <c r="J380" s="827"/>
      <c r="K380" s="827"/>
      <c r="M380" s="6" t="s">
        <v>67</v>
      </c>
      <c r="O380" s="30">
        <f>IF(H386=0,100000000,TRUNC(785.4*O379^2/H386/25)*25)</f>
        <v>100</v>
      </c>
      <c r="P380" s="30">
        <f>IF(H386=0,100000000,TRUNC(785.4*P379^2/H386/25)*25)</f>
        <v>200</v>
      </c>
      <c r="Q380" s="30">
        <f>IF(H386=0,100000000,TRUNC(785.4*Q379^2/H386/25)*25)</f>
        <v>325</v>
      </c>
      <c r="R380" s="30">
        <f>IF(H386=0,100000000,TRUNC(785.4*R379^2/H386/25)*25)</f>
        <v>400</v>
      </c>
      <c r="S380" s="30">
        <f>IF(H386=0,100000000,TRUNC(785.4*S379^2/H386/25)*25)</f>
        <v>500</v>
      </c>
    </row>
    <row r="381" spans="1:19" x14ac:dyDescent="0.2">
      <c r="A381" s="827"/>
      <c r="B381" s="1222" t="s">
        <v>139</v>
      </c>
      <c r="C381" s="827"/>
      <c r="D381" s="827"/>
      <c r="E381" s="827"/>
      <c r="F381" s="997">
        <f>$E$33</f>
        <v>700</v>
      </c>
      <c r="G381" s="1222" t="s">
        <v>43</v>
      </c>
      <c r="H381" s="827"/>
      <c r="I381" s="827"/>
      <c r="J381" s="827"/>
      <c r="K381" s="827"/>
      <c r="M381" s="6" t="s">
        <v>68</v>
      </c>
      <c r="O381" s="30">
        <f>785.4*O379^2/O380</f>
        <v>1130.9759999999999</v>
      </c>
      <c r="P381" s="30">
        <f>785.4*P379^2/P380</f>
        <v>1005.312</v>
      </c>
      <c r="Q381" s="30">
        <f>785.4*Q379^2/Q380</f>
        <v>966.64615384615388</v>
      </c>
      <c r="R381" s="30">
        <f>785.4*R379^2/R380</f>
        <v>950.33399999999995</v>
      </c>
      <c r="S381" s="30">
        <f>785.4*S379^2/S380</f>
        <v>981.75</v>
      </c>
    </row>
    <row r="382" spans="1:19" x14ac:dyDescent="0.2">
      <c r="A382" s="827"/>
      <c r="B382" s="1272" t="str">
        <f>IF(F381&gt;=F380,"ta  &gt;  tr     Design is OK.","ta  &lt;  tr     Design is Not OK.")</f>
        <v>ta  &gt;  tr     Design is OK.</v>
      </c>
      <c r="C382" s="827"/>
      <c r="D382" s="827"/>
      <c r="E382" s="827"/>
      <c r="F382" s="1222" t="s">
        <v>64</v>
      </c>
      <c r="G382" s="827"/>
      <c r="H382" s="827"/>
      <c r="I382" s="827"/>
      <c r="J382" s="827"/>
      <c r="K382" s="827"/>
      <c r="M382" s="6" t="s">
        <v>69</v>
      </c>
      <c r="O382" s="30">
        <f>IF(OR(O380&gt;300,O380&lt;100),100000000,O381-H386)</f>
        <v>180.97599999999977</v>
      </c>
      <c r="P382" s="30">
        <f>IF(OR(P380&gt;300,P380&lt;100),100000001,P381-H386)</f>
        <v>55.311999999999898</v>
      </c>
      <c r="Q382" s="30">
        <f>IF(OR(Q380&gt;300,Q380&lt;100),100000001,Q381-H386)</f>
        <v>100000001</v>
      </c>
      <c r="R382" s="30">
        <f>IF(OR(R380&gt;300,R380&lt;100),100000001,R381-H386)</f>
        <v>100000001</v>
      </c>
      <c r="S382" s="30">
        <f>IF(OR(S380&gt;300,S380&lt;100),100000001,S381-H386)</f>
        <v>100000001</v>
      </c>
    </row>
    <row r="383" spans="1:19" x14ac:dyDescent="0.2">
      <c r="A383" s="827"/>
      <c r="B383" s="827"/>
      <c r="C383" s="827"/>
      <c r="D383" s="827"/>
      <c r="E383" s="827"/>
      <c r="F383" s="827"/>
      <c r="G383" s="827"/>
      <c r="H383" s="827"/>
      <c r="I383" s="827"/>
      <c r="J383" s="827"/>
      <c r="K383" s="827"/>
      <c r="M383" s="6" t="s">
        <v>70</v>
      </c>
      <c r="O383" s="30">
        <f>IF(S380&lt;100,25,IF(MIN(O382:S382)=O382,12,IF(MIN(O382:S382)=P382,16,IF(MIN(O382:S382)=Q382,20,IF(MIN(O382:S382)=R382,22,IF(MIN(O382:S382)=S382,25,0))))))</f>
        <v>16</v>
      </c>
      <c r="P383" s="6" t="s">
        <v>71</v>
      </c>
      <c r="Q383" s="30">
        <f>IF(O383=12,O380,IF(O383=16,P380,IF(O383=20,Q380,IF(O383=22,R380,IF(O383=25,S380,0)))))</f>
        <v>200</v>
      </c>
      <c r="R383" s="6" t="s">
        <v>72</v>
      </c>
    </row>
    <row r="384" spans="1:19" ht="13.5" x14ac:dyDescent="0.25">
      <c r="A384" s="827"/>
      <c r="B384" s="1276" t="s">
        <v>123</v>
      </c>
      <c r="C384" s="827"/>
      <c r="D384" s="827"/>
      <c r="E384" s="827"/>
      <c r="F384" s="827"/>
      <c r="G384" s="827"/>
      <c r="H384" s="827"/>
      <c r="I384" s="827"/>
      <c r="J384" s="827"/>
      <c r="K384" s="827"/>
    </row>
    <row r="385" spans="1:19" x14ac:dyDescent="0.2">
      <c r="A385" s="827"/>
      <c r="B385" s="1222" t="s">
        <v>140</v>
      </c>
      <c r="C385" s="827"/>
      <c r="D385" s="827"/>
      <c r="E385" s="827"/>
      <c r="F385" s="827"/>
      <c r="G385" s="1229">
        <f>$G$42</f>
        <v>16.322989922192562</v>
      </c>
      <c r="H385" s="1222" t="s">
        <v>24</v>
      </c>
      <c r="I385" s="827"/>
      <c r="J385" s="827"/>
      <c r="K385" s="827"/>
    </row>
    <row r="386" spans="1:19" x14ac:dyDescent="0.2">
      <c r="A386" s="827"/>
      <c r="B386" s="1222" t="s">
        <v>141</v>
      </c>
      <c r="C386" s="827"/>
      <c r="D386" s="827"/>
      <c r="E386" s="827"/>
      <c r="F386" s="827"/>
      <c r="G386" s="827"/>
      <c r="H386" s="997">
        <f>IF(G385&lt;=9,C157,C158)*IF(F381&lt;=380,F381,380)*1000</f>
        <v>950.00000000000011</v>
      </c>
      <c r="I386" s="1222" t="s">
        <v>78</v>
      </c>
      <c r="J386" s="827"/>
      <c r="K386" s="827"/>
    </row>
    <row r="387" spans="1:19" x14ac:dyDescent="0.2">
      <c r="A387" s="827"/>
      <c r="B387" s="1222" t="s">
        <v>79</v>
      </c>
      <c r="C387" s="997">
        <f>IF(D974=0,O383,D974)</f>
        <v>16</v>
      </c>
      <c r="D387" s="1222" t="s">
        <v>71</v>
      </c>
      <c r="E387" s="997">
        <f>IF(D974=0,IF(Q383&gt;300,300,Q383),E974)</f>
        <v>200</v>
      </c>
      <c r="F387" s="1222" t="s">
        <v>80</v>
      </c>
      <c r="G387" s="827"/>
      <c r="H387" s="997">
        <f>785.4*C387^2/E387</f>
        <v>1005.312</v>
      </c>
      <c r="I387" s="1222" t="s">
        <v>81</v>
      </c>
      <c r="J387" s="827"/>
      <c r="K387" s="827"/>
      <c r="M387" s="6" t="s">
        <v>66</v>
      </c>
      <c r="O387" s="30">
        <v>12</v>
      </c>
      <c r="P387" s="30">
        <v>16</v>
      </c>
      <c r="Q387" s="30">
        <v>20</v>
      </c>
      <c r="R387" s="30">
        <v>22</v>
      </c>
      <c r="S387" s="30">
        <v>25</v>
      </c>
    </row>
    <row r="388" spans="1:19" x14ac:dyDescent="0.2">
      <c r="A388" s="827"/>
      <c r="B388" s="1222" t="s">
        <v>142</v>
      </c>
      <c r="C388" s="827"/>
      <c r="D388" s="827"/>
      <c r="E388" s="827"/>
      <c r="F388" s="827"/>
      <c r="G388" s="827"/>
      <c r="H388" s="997">
        <f>IF(G385&lt;=9,D157,D158)*IF(F381&lt;=380,F381,380)*1000</f>
        <v>570.00000000000011</v>
      </c>
      <c r="I388" s="1222" t="s">
        <v>78</v>
      </c>
      <c r="J388" s="827"/>
      <c r="K388" s="827"/>
      <c r="M388" s="6" t="s">
        <v>67</v>
      </c>
      <c r="O388" s="30">
        <f>IF(H388=0,100000000,TRUNC(785.4*O387^2/H388/25)*25)</f>
        <v>175</v>
      </c>
      <c r="P388" s="30">
        <f>IF(H388=0,100000000,TRUNC(785.4*P387^2/H388/25)*25)</f>
        <v>350</v>
      </c>
      <c r="Q388" s="30">
        <f>IF(H388=0,100000000,TRUNC(785.4*Q387^2/H388/25)*25)</f>
        <v>550</v>
      </c>
      <c r="R388" s="30">
        <f>IF(H388=0,100000000,TRUNC(785.4*R387^2/H388/25)*25)</f>
        <v>650</v>
      </c>
      <c r="S388" s="30">
        <f>IF(H388=0,100000000,TRUNC(785.4*S387^2/H388/25)*25)</f>
        <v>850</v>
      </c>
    </row>
    <row r="389" spans="1:19" x14ac:dyDescent="0.2">
      <c r="A389" s="827"/>
      <c r="B389" s="1222" t="s">
        <v>79</v>
      </c>
      <c r="C389" s="997">
        <v>16</v>
      </c>
      <c r="D389" s="1222" t="s">
        <v>71</v>
      </c>
      <c r="E389" s="997">
        <v>250</v>
      </c>
      <c r="F389" s="1222" t="s">
        <v>80</v>
      </c>
      <c r="G389" s="827"/>
      <c r="H389" s="997">
        <f>785.4*C389^2/E389</f>
        <v>804.24959999999999</v>
      </c>
      <c r="I389" s="1222" t="s">
        <v>81</v>
      </c>
      <c r="J389" s="827"/>
      <c r="K389" s="827"/>
      <c r="M389" s="6" t="s">
        <v>68</v>
      </c>
      <c r="O389" s="30">
        <f>785.4*O387^2/O388</f>
        <v>646.27199999999993</v>
      </c>
      <c r="P389" s="30">
        <f>785.4*P387^2/P388</f>
        <v>574.46399999999994</v>
      </c>
      <c r="Q389" s="30">
        <f>785.4*Q387^2/Q388</f>
        <v>571.20000000000005</v>
      </c>
      <c r="R389" s="30">
        <f>785.4*R387^2/R388</f>
        <v>584.82092307692301</v>
      </c>
      <c r="S389" s="30">
        <f>785.4*S387^2/S388</f>
        <v>577.5</v>
      </c>
    </row>
    <row r="390" spans="1:19" x14ac:dyDescent="0.2">
      <c r="A390" s="827"/>
      <c r="B390" s="827"/>
      <c r="C390" s="827"/>
      <c r="D390" s="827"/>
      <c r="E390" s="827"/>
      <c r="F390" s="827"/>
      <c r="G390" s="827"/>
      <c r="H390" s="827"/>
      <c r="I390" s="827"/>
      <c r="J390" s="827"/>
      <c r="K390" s="827"/>
      <c r="M390" s="6" t="s">
        <v>69</v>
      </c>
      <c r="O390" s="30">
        <f>IF(OR(O388&gt;300,O388&lt;100),100000000,O389-H388)</f>
        <v>76.271999999999821</v>
      </c>
      <c r="P390" s="30">
        <f>IF(OR(P388&gt;300,P388&lt;100),100000001,P389-H388)</f>
        <v>100000001</v>
      </c>
      <c r="Q390" s="30">
        <f>IF(OR(Q388&gt;300,Q388&lt;100),100000001,Q389-H388)</f>
        <v>100000001</v>
      </c>
      <c r="R390" s="30">
        <f>IF(OR(R388&gt;300,R388&lt;100),100000001,R389-H388)</f>
        <v>100000001</v>
      </c>
      <c r="S390" s="30">
        <f>IF(OR(S388&gt;300,S388&lt;100),100000001,S389-H388)</f>
        <v>100000001</v>
      </c>
    </row>
    <row r="391" spans="1:19" ht="13.5" x14ac:dyDescent="0.25">
      <c r="A391" s="827"/>
      <c r="B391" s="1276" t="s">
        <v>143</v>
      </c>
      <c r="C391" s="827"/>
      <c r="D391" s="827"/>
      <c r="E391" s="827"/>
      <c r="F391" s="827"/>
      <c r="G391" s="827"/>
      <c r="H391" s="827"/>
      <c r="I391" s="827"/>
      <c r="J391" s="827"/>
      <c r="K391" s="827"/>
      <c r="M391" s="6" t="s">
        <v>70</v>
      </c>
      <c r="O391" s="30">
        <f>IF(S388&lt;100,25,IF(MIN(O390:S390)=O390,12,IF(MIN(O390:S390)=P390,16,IF(MIN(O390:S390)=Q390,20,IF(MIN(O390:S390)=R390,22,IF(MIN(O390:S390)=S390,25,0))))))</f>
        <v>12</v>
      </c>
      <c r="P391" s="6" t="s">
        <v>71</v>
      </c>
      <c r="Q391" s="30">
        <f>IF(O391=12,O388,IF(O391=16,P388,IF(O391=20,Q388,IF(O391=22,R388,IF(O391=25,S388,0)))))</f>
        <v>175</v>
      </c>
      <c r="R391" s="6" t="s">
        <v>72</v>
      </c>
    </row>
    <row r="392" spans="1:19" x14ac:dyDescent="0.2">
      <c r="A392" s="827"/>
      <c r="B392" s="1222" t="s">
        <v>144</v>
      </c>
      <c r="C392" s="827"/>
      <c r="D392" s="827"/>
      <c r="E392" s="827"/>
      <c r="F392" s="827"/>
      <c r="G392" s="1229">
        <f>$F$33+$G$33/1000</f>
        <v>6.5</v>
      </c>
      <c r="H392" s="1222" t="s">
        <v>24</v>
      </c>
      <c r="I392" s="827"/>
      <c r="J392" s="827"/>
      <c r="K392" s="827"/>
    </row>
    <row r="393" spans="1:19" x14ac:dyDescent="0.2">
      <c r="A393" s="827"/>
      <c r="B393" s="827"/>
      <c r="C393" s="1222" t="s">
        <v>84</v>
      </c>
      <c r="D393" s="827"/>
      <c r="E393" s="827"/>
      <c r="F393" s="827"/>
      <c r="G393" s="827"/>
      <c r="H393" s="997">
        <f>IF(AND(G392&lt;=9,F381&lt;380),$C$157*F381*1000,IF(G392&lt;=9,$C$157*380000,IF(F381&lt;380,$C$158*F381*1000,$C$158*380000)))</f>
        <v>760</v>
      </c>
      <c r="I393" s="1222" t="s">
        <v>78</v>
      </c>
      <c r="J393" s="827"/>
      <c r="K393" s="827"/>
    </row>
    <row r="394" spans="1:19" x14ac:dyDescent="0.2">
      <c r="A394" s="827"/>
      <c r="B394" s="1222" t="s">
        <v>79</v>
      </c>
      <c r="C394" s="997">
        <f>IF(D994=0,O399,D994)</f>
        <v>16</v>
      </c>
      <c r="D394" s="1222" t="s">
        <v>71</v>
      </c>
      <c r="E394" s="997">
        <v>200</v>
      </c>
      <c r="F394" s="1222" t="s">
        <v>80</v>
      </c>
      <c r="G394" s="827"/>
      <c r="H394" s="997">
        <f>785.4*C394^2/E394</f>
        <v>1005.312</v>
      </c>
      <c r="I394" s="1222" t="s">
        <v>81</v>
      </c>
      <c r="J394" s="827"/>
      <c r="K394" s="827"/>
    </row>
    <row r="395" spans="1:19" x14ac:dyDescent="0.2">
      <c r="A395" s="827"/>
      <c r="B395" s="827"/>
      <c r="C395" s="827"/>
      <c r="D395" s="827"/>
      <c r="E395" s="827"/>
      <c r="F395" s="827"/>
      <c r="G395" s="827"/>
      <c r="H395" s="827"/>
      <c r="I395" s="827"/>
      <c r="J395" s="827"/>
      <c r="K395" s="827"/>
      <c r="M395" s="6" t="s">
        <v>66</v>
      </c>
      <c r="O395" s="30">
        <v>12</v>
      </c>
      <c r="P395" s="30">
        <v>16</v>
      </c>
      <c r="Q395" s="30">
        <v>20</v>
      </c>
      <c r="R395" s="30">
        <v>22</v>
      </c>
      <c r="S395" s="30">
        <v>25</v>
      </c>
    </row>
    <row r="396" spans="1:19" ht="13.5" x14ac:dyDescent="0.25">
      <c r="A396" s="827"/>
      <c r="B396" s="1276" t="s">
        <v>145</v>
      </c>
      <c r="C396" s="827"/>
      <c r="D396" s="827"/>
      <c r="E396" s="827"/>
      <c r="F396" s="827"/>
      <c r="G396" s="827"/>
      <c r="H396" s="827"/>
      <c r="I396" s="827"/>
      <c r="J396" s="827"/>
      <c r="K396" s="827"/>
      <c r="M396" s="6" t="s">
        <v>67</v>
      </c>
      <c r="O396" s="30">
        <f>IF(H393=0,100000000,TRUNC(785.4*O395^2/H393/25)*25)</f>
        <v>125</v>
      </c>
      <c r="P396" s="30">
        <f>IF(H393=0,100000000,TRUNC(785.4*P395^2/H393/25)*25)</f>
        <v>250</v>
      </c>
      <c r="Q396" s="30">
        <f>IF(H393=0,100000000,TRUNC(785.4*Q395^2/H393/25)*25)</f>
        <v>400</v>
      </c>
      <c r="R396" s="30">
        <f>IF(H393=0,100000000,TRUNC(785.4*R395^2/H393/25)*25)</f>
        <v>500</v>
      </c>
      <c r="S396" s="30">
        <f>IF(H393=0,100000000,TRUNC(785.4*S395^2/H393/25)*25)</f>
        <v>625</v>
      </c>
    </row>
    <row r="397" spans="1:19" x14ac:dyDescent="0.2">
      <c r="A397" s="827"/>
      <c r="B397" s="1222" t="s">
        <v>146</v>
      </c>
      <c r="C397" s="827"/>
      <c r="D397" s="827"/>
      <c r="E397" s="827"/>
      <c r="F397" s="827"/>
      <c r="G397" s="997">
        <f>G375/$H$54/$G$70/(F381-$H$65)*1000000000</f>
        <v>3149.9132610808501</v>
      </c>
      <c r="H397" s="1222" t="s">
        <v>78</v>
      </c>
      <c r="I397" s="827"/>
      <c r="J397" s="827"/>
      <c r="K397" s="827"/>
      <c r="M397" s="6" t="s">
        <v>68</v>
      </c>
      <c r="O397" s="30">
        <f>785.4*O395^2/O396</f>
        <v>904.78079999999989</v>
      </c>
      <c r="P397" s="30">
        <f>785.4*P395^2/P396</f>
        <v>804.24959999999999</v>
      </c>
      <c r="Q397" s="30">
        <f>785.4*Q395^2/Q396</f>
        <v>785.4</v>
      </c>
      <c r="R397" s="30">
        <f>785.4*R395^2/R396</f>
        <v>760.2672</v>
      </c>
      <c r="S397" s="30">
        <f>785.4*S395^2/S396</f>
        <v>785.4</v>
      </c>
    </row>
    <row r="398" spans="1:19" x14ac:dyDescent="0.2">
      <c r="A398" s="827"/>
      <c r="B398" s="1222" t="s">
        <v>147</v>
      </c>
      <c r="C398" s="827"/>
      <c r="D398" s="827"/>
      <c r="E398" s="827"/>
      <c r="F398" s="827"/>
      <c r="G398" s="997">
        <f>IF(AND(G392&lt;=9,F381&lt;380),$D$157*F381*1000,IF(G392&lt;=9,$D$157*380000,IF(F381&lt;380,$D$158*F381*1000,$D$158*380000)))</f>
        <v>380</v>
      </c>
      <c r="H398" s="1222" t="s">
        <v>78</v>
      </c>
      <c r="I398" s="827"/>
      <c r="J398" s="827"/>
      <c r="K398" s="827"/>
      <c r="M398" s="6" t="s">
        <v>69</v>
      </c>
      <c r="O398" s="30">
        <f>IF(OR(O396&gt;300,O396&lt;100),100000000,O397-H393)</f>
        <v>144.78079999999989</v>
      </c>
      <c r="P398" s="30">
        <f>IF(OR(P396&gt;300,P396&lt;100),100000001,P397-H393)</f>
        <v>44.249599999999987</v>
      </c>
      <c r="Q398" s="30">
        <f>IF(OR(Q396&gt;300,Q396&lt;100),100000001,Q397-H393)</f>
        <v>100000001</v>
      </c>
      <c r="R398" s="30">
        <f>IF(OR(R396&gt;300,R396&lt;100),100000001,R397-H393)</f>
        <v>100000001</v>
      </c>
      <c r="S398" s="30">
        <f>IF(OR(S396&gt;300,S396&lt;100),100000001,S397-H393)</f>
        <v>100000001</v>
      </c>
    </row>
    <row r="399" spans="1:19" x14ac:dyDescent="0.2">
      <c r="A399" s="827"/>
      <c r="B399" s="1222" t="s">
        <v>88</v>
      </c>
      <c r="C399" s="827"/>
      <c r="D399" s="827"/>
      <c r="E399" s="827"/>
      <c r="F399" s="827"/>
      <c r="G399" s="827"/>
      <c r="H399" s="997">
        <f>MAX(G397:G398)</f>
        <v>3149.9132610808501</v>
      </c>
      <c r="I399" s="1222" t="s">
        <v>89</v>
      </c>
      <c r="J399" s="827"/>
      <c r="K399" s="827"/>
      <c r="M399" s="6" t="s">
        <v>70</v>
      </c>
      <c r="O399" s="30">
        <f>IF(S396&lt;100,25,IF(MIN(O398:S398)=O398,12,IF(MIN(O398:S398)=P398,16,IF(MIN(O398:S398)=Q398,20,IF(MIN(O398:S398)=R398,22,IF(MIN(O398:S398)=S398,25,0))))))</f>
        <v>16</v>
      </c>
      <c r="P399" s="6" t="s">
        <v>71</v>
      </c>
      <c r="Q399" s="30">
        <f>IF(O399=12,O396,IF(O399=16,P396,IF(O399=20,Q396,IF(O399=22,R396,IF(O399=25,S396,0)))))</f>
        <v>250</v>
      </c>
      <c r="R399" s="6" t="s">
        <v>72</v>
      </c>
    </row>
    <row r="400" spans="1:19" x14ac:dyDescent="0.2">
      <c r="A400" s="827"/>
      <c r="B400" s="1277" t="s">
        <v>79</v>
      </c>
      <c r="C400" s="1031">
        <v>25</v>
      </c>
      <c r="D400" s="1277" t="s">
        <v>71</v>
      </c>
      <c r="E400" s="1031">
        <v>125</v>
      </c>
      <c r="F400" s="1277" t="s">
        <v>80</v>
      </c>
      <c r="G400" s="851"/>
      <c r="H400" s="1031">
        <f>785.4*C400^2/E400</f>
        <v>3927</v>
      </c>
      <c r="I400" s="1277" t="s">
        <v>81</v>
      </c>
      <c r="J400" s="851"/>
      <c r="K400" s="851"/>
    </row>
    <row r="401" spans="1:20" ht="13.5" x14ac:dyDescent="0.25">
      <c r="A401" s="827"/>
      <c r="B401" s="1291" t="s">
        <v>90</v>
      </c>
      <c r="C401" s="827"/>
      <c r="D401" s="827"/>
      <c r="E401" s="827"/>
      <c r="F401" s="827"/>
      <c r="G401" s="827"/>
      <c r="H401" s="827"/>
      <c r="I401" s="827"/>
      <c r="J401" s="827"/>
      <c r="K401" s="827"/>
    </row>
    <row r="402" spans="1:20" x14ac:dyDescent="0.2">
      <c r="A402" s="827"/>
      <c r="B402" s="1222" t="s">
        <v>148</v>
      </c>
      <c r="C402" s="827"/>
      <c r="D402" s="1230">
        <f>$H$59/C400</f>
        <v>672.79752674931865</v>
      </c>
      <c r="E402" s="1222" t="s">
        <v>149</v>
      </c>
      <c r="F402" s="997">
        <f>$H$60</f>
        <v>1103</v>
      </c>
      <c r="G402" s="1222" t="s">
        <v>35</v>
      </c>
      <c r="H402" s="1222" t="s">
        <v>150</v>
      </c>
      <c r="I402" s="827"/>
      <c r="J402" s="1229">
        <f>MIN(D402,F402)</f>
        <v>672.79752674931865</v>
      </c>
      <c r="K402" s="1222" t="s">
        <v>35</v>
      </c>
    </row>
    <row r="403" spans="1:20" x14ac:dyDescent="0.2">
      <c r="A403" s="827"/>
      <c r="B403" s="1222" t="s">
        <v>151</v>
      </c>
      <c r="C403" s="827"/>
      <c r="D403" s="1229">
        <f>G374/(PI()*C400/E400)/$G$70/(F381-$H$65)*1000</f>
        <v>487.28718636900078</v>
      </c>
      <c r="E403" s="1222" t="s">
        <v>35</v>
      </c>
      <c r="F403" s="1272" t="str">
        <f>IF(J402&gt;=D403,"bs(allow)  &gt;  bs(actual)    Design is OK.  &lt;-----","bs(allow)  &lt;  bs(actual)    Design is not OK.  &lt;-----")</f>
        <v>bs(allow)  &gt;  bs(actual)    Design is OK.  &lt;-----</v>
      </c>
      <c r="G403" s="827"/>
      <c r="H403" s="827"/>
      <c r="I403" s="827"/>
      <c r="J403" s="827"/>
      <c r="K403" s="827"/>
      <c r="M403" s="6" t="s">
        <v>66</v>
      </c>
      <c r="O403" s="30">
        <v>12</v>
      </c>
      <c r="P403" s="30">
        <v>16</v>
      </c>
      <c r="Q403" s="30">
        <v>20</v>
      </c>
      <c r="R403" s="30">
        <v>22</v>
      </c>
      <c r="S403" s="30">
        <v>25</v>
      </c>
    </row>
    <row r="404" spans="1:20" x14ac:dyDescent="0.2">
      <c r="A404" s="827"/>
      <c r="B404" s="827"/>
      <c r="C404" s="827"/>
      <c r="D404" s="827"/>
      <c r="E404" s="827"/>
      <c r="F404" s="827"/>
      <c r="G404" s="827"/>
      <c r="H404" s="827"/>
      <c r="I404" s="827"/>
      <c r="J404" s="827"/>
      <c r="K404" s="827"/>
      <c r="M404" s="6" t="s">
        <v>67</v>
      </c>
      <c r="O404" s="30">
        <f>IF(H399=0,100000000,TRUNC(785.4*O403^2/H399/25)*25)</f>
        <v>25</v>
      </c>
      <c r="P404" s="30">
        <f>IF(H399=0,100000000,TRUNC(785.4*P403^2/H399/25)*25)</f>
        <v>50</v>
      </c>
      <c r="Q404" s="30">
        <f>IF(H399=0,100000000,TRUNC(785.4*Q403^2/H399/25)*25)</f>
        <v>75</v>
      </c>
      <c r="R404" s="30">
        <f>IF(H399=0,100000000,TRUNC(785.4*R403^2/H399/25)*25)</f>
        <v>100</v>
      </c>
      <c r="S404" s="30">
        <f>IF(H399=0,100000000,TRUNC(785.4*S403^2/H399/25)*25)</f>
        <v>150</v>
      </c>
    </row>
    <row r="405" spans="1:20" ht="13.5" x14ac:dyDescent="0.25">
      <c r="A405" s="827"/>
      <c r="B405" s="1271" t="s">
        <v>93</v>
      </c>
      <c r="C405" s="827"/>
      <c r="D405" s="827"/>
      <c r="E405" s="827"/>
      <c r="F405" s="827"/>
      <c r="G405" s="827"/>
      <c r="H405" s="827"/>
      <c r="I405" s="827"/>
      <c r="J405" s="827"/>
      <c r="K405" s="827"/>
      <c r="M405" s="6" t="s">
        <v>68</v>
      </c>
      <c r="O405" s="30">
        <f>785.4*O403^2/O404</f>
        <v>4523.9039999999995</v>
      </c>
      <c r="P405" s="30">
        <f>785.4*P403^2/P404</f>
        <v>4021.248</v>
      </c>
      <c r="Q405" s="30">
        <f>785.4*Q403^2/Q404</f>
        <v>4188.8</v>
      </c>
      <c r="R405" s="30">
        <f>785.4*R403^2/R404</f>
        <v>3801.3359999999998</v>
      </c>
      <c r="S405" s="30">
        <f>785.4*S403^2/S404</f>
        <v>3272.5</v>
      </c>
    </row>
    <row r="406" spans="1:20" x14ac:dyDescent="0.2">
      <c r="A406" s="827"/>
      <c r="B406" s="827"/>
      <c r="C406" s="827"/>
      <c r="D406" s="827"/>
      <c r="E406" s="827"/>
      <c r="F406" s="827"/>
      <c r="G406" s="827"/>
      <c r="H406" s="827"/>
      <c r="I406" s="827"/>
      <c r="J406" s="827"/>
      <c r="K406" s="827"/>
      <c r="M406" s="6" t="s">
        <v>69</v>
      </c>
      <c r="O406" s="30">
        <f>IF(OR(O404&gt;300,O404&lt;100),100000000,O405-H399)</f>
        <v>100000000</v>
      </c>
      <c r="P406" s="30">
        <f>IF(OR(P404&gt;300,P404&lt;100),100000001,P405-H399)</f>
        <v>100000001</v>
      </c>
      <c r="Q406" s="30">
        <f>IF(OR(Q404&gt;300,Q404&lt;100),100000001,Q405-H399)</f>
        <v>100000001</v>
      </c>
      <c r="R406" s="30">
        <f>IF(OR(R404&gt;300,R404&lt;100),100000001,R405-H399)</f>
        <v>651.42273891914965</v>
      </c>
      <c r="S406" s="30">
        <f>IF(OR(S404&gt;300,S404&lt;100),100000001,S405-H399)</f>
        <v>122.58673891914987</v>
      </c>
    </row>
    <row r="407" spans="1:20" ht="13.5" x14ac:dyDescent="0.25">
      <c r="A407" s="827"/>
      <c r="B407" s="1276" t="s">
        <v>94</v>
      </c>
      <c r="C407" s="827"/>
      <c r="D407" s="827"/>
      <c r="E407" s="827"/>
      <c r="F407" s="827"/>
      <c r="G407" s="827"/>
      <c r="H407" s="827"/>
      <c r="I407" s="827"/>
      <c r="J407" s="827"/>
      <c r="K407" s="827"/>
      <c r="M407" s="6" t="s">
        <v>70</v>
      </c>
      <c r="O407" s="30">
        <f>IF(S404&lt;100,25,IF(MIN(O406:S406)=O406,12,IF(MIN(O406:S406)=P406,16,IF(MIN(O406:S406)=Q406,20,IF(MIN(O406:S406)=R406,22,IF(MIN(O406:S406)=S406,25,0))))))</f>
        <v>25</v>
      </c>
      <c r="P407" s="6" t="s">
        <v>71</v>
      </c>
      <c r="Q407" s="30">
        <f>IF(O407=12,O404,IF(O407=16,P404,IF(O407=20,Q404,IF(O407=22,R404,IF(O407=25,S404,0)))))</f>
        <v>150</v>
      </c>
      <c r="R407" s="6" t="s">
        <v>72</v>
      </c>
    </row>
    <row r="408" spans="1:20" x14ac:dyDescent="0.2">
      <c r="A408" s="827"/>
      <c r="B408" s="1222" t="s">
        <v>156</v>
      </c>
      <c r="C408" s="827"/>
      <c r="D408" s="1282">
        <f>1/2*H400*$H$54*$G$70*($D$33-$H$65)/1000000000</f>
        <v>73.563985143607496</v>
      </c>
      <c r="E408" s="1222" t="s">
        <v>99</v>
      </c>
      <c r="F408" s="1282">
        <f>1/2*H400*$H$54*$G$70*($E$33-$D$33)/$F$33/1000000000</f>
        <v>22.744420527492178</v>
      </c>
      <c r="G408" s="1222" t="s">
        <v>417</v>
      </c>
      <c r="H408" s="827">
        <v>1.2717000000000001</v>
      </c>
      <c r="I408" s="1222" t="s">
        <v>104</v>
      </c>
      <c r="J408" s="827"/>
      <c r="K408" s="827"/>
    </row>
    <row r="409" spans="1:20" x14ac:dyDescent="0.2">
      <c r="A409" s="827"/>
      <c r="B409" s="1222" t="s">
        <v>158</v>
      </c>
      <c r="C409" s="827"/>
      <c r="D409" s="1282">
        <f>$H$49*$G$46/6</f>
        <v>1.7243558803347074</v>
      </c>
      <c r="E409" s="1222" t="s">
        <v>104</v>
      </c>
      <c r="F409" s="827"/>
      <c r="G409" s="827"/>
      <c r="H409" s="827"/>
      <c r="I409" s="827"/>
      <c r="J409" s="827"/>
      <c r="K409" s="827"/>
    </row>
    <row r="410" spans="1:20" x14ac:dyDescent="0.2">
      <c r="A410" s="827"/>
      <c r="B410" s="1222" t="s">
        <v>159</v>
      </c>
      <c r="C410" s="827"/>
      <c r="D410" s="827"/>
      <c r="E410" s="827"/>
      <c r="F410" s="994">
        <f>T420</f>
        <v>5.3544000000000009</v>
      </c>
      <c r="G410" s="1222" t="s">
        <v>107</v>
      </c>
      <c r="H410" s="827"/>
      <c r="I410" s="827"/>
      <c r="J410" s="827"/>
      <c r="K410" s="827"/>
    </row>
    <row r="411" spans="1:20" x14ac:dyDescent="0.2">
      <c r="A411" s="827"/>
      <c r="B411" s="1222" t="s">
        <v>160</v>
      </c>
      <c r="C411" s="827"/>
      <c r="D411" s="827"/>
      <c r="E411" s="827"/>
      <c r="F411" s="1229">
        <f>IF($D$33+($E$33-$D$33)*F410/$F$33-$H$65&gt;12*C400,$F$33-F410+($D$33+($E$33-$D$33)*F410/$F$33-$H$65)/1000,$F$33-F410+(12*C400)/1000)</f>
        <v>0.99307999999999907</v>
      </c>
      <c r="G411" s="1222" t="s">
        <v>24</v>
      </c>
      <c r="H411" s="827"/>
      <c r="I411" s="827"/>
      <c r="J411" s="827"/>
      <c r="K411" s="827"/>
    </row>
    <row r="412" spans="1:20" x14ac:dyDescent="0.2">
      <c r="A412" s="827"/>
      <c r="B412" s="1222" t="s">
        <v>288</v>
      </c>
      <c r="C412" s="827"/>
      <c r="D412" s="827"/>
      <c r="E412" s="827"/>
      <c r="F412" s="1229">
        <f>$F$33-F411</f>
        <v>4.7569200000000009</v>
      </c>
      <c r="G412" s="1272" t="str">
        <f>IF(F412&gt;=1,"m &gt; 1 m   Curtailment should be made.","m &lt; 1 m    Curtailment should not be made.")</f>
        <v>m &gt; 1 m   Curtailment should be made.</v>
      </c>
      <c r="H412" s="827"/>
      <c r="I412" s="827"/>
      <c r="J412" s="827"/>
      <c r="K412" s="827"/>
    </row>
    <row r="413" spans="1:20" x14ac:dyDescent="0.2">
      <c r="A413" s="827"/>
      <c r="B413" s="827"/>
      <c r="C413" s="827"/>
      <c r="D413" s="827"/>
      <c r="E413" s="827"/>
      <c r="F413" s="827"/>
      <c r="G413" s="827"/>
      <c r="H413" s="827"/>
      <c r="I413" s="827"/>
      <c r="J413" s="827"/>
      <c r="K413" s="827"/>
      <c r="M413" s="6" t="s">
        <v>152</v>
      </c>
      <c r="O413" s="6" t="s">
        <v>153</v>
      </c>
      <c r="Q413" s="6" t="s">
        <v>154</v>
      </c>
      <c r="S413" s="6" t="s">
        <v>155</v>
      </c>
    </row>
    <row r="414" spans="1:20" ht="13.5" x14ac:dyDescent="0.25">
      <c r="A414" s="827"/>
      <c r="B414" s="1276" t="s">
        <v>87</v>
      </c>
      <c r="C414" s="827"/>
      <c r="D414" s="827"/>
      <c r="E414" s="827"/>
      <c r="F414" s="827"/>
      <c r="G414" s="827"/>
      <c r="H414" s="827"/>
      <c r="I414" s="827"/>
      <c r="J414" s="827"/>
      <c r="K414" s="827"/>
      <c r="M414" s="6" t="s">
        <v>157</v>
      </c>
      <c r="O414" s="6" t="s">
        <v>157</v>
      </c>
      <c r="Q414" s="6" t="s">
        <v>157</v>
      </c>
      <c r="S414" s="6" t="s">
        <v>157</v>
      </c>
    </row>
    <row r="415" spans="1:20" x14ac:dyDescent="0.2">
      <c r="A415" s="827"/>
      <c r="B415" s="1222" t="s">
        <v>287</v>
      </c>
      <c r="C415" s="827"/>
      <c r="D415" s="827"/>
      <c r="E415" s="827"/>
      <c r="F415" s="997">
        <f>G397/2</f>
        <v>1574.9566305404251</v>
      </c>
      <c r="G415" s="1222" t="s">
        <v>78</v>
      </c>
      <c r="H415" s="827"/>
      <c r="I415" s="827"/>
      <c r="J415" s="827"/>
      <c r="K415" s="827"/>
      <c r="M415" s="27">
        <f>D535*N415^3-F534*N415</f>
        <v>0</v>
      </c>
      <c r="N415" s="25">
        <v>0</v>
      </c>
      <c r="O415" s="43">
        <f>H408*P415^3-F408*P415</f>
        <v>19.157856773536011</v>
      </c>
      <c r="P415" s="25">
        <f>N421</f>
        <v>4.6000000000000005</v>
      </c>
      <c r="Q415" s="44">
        <f>H408*R415^3-F408*R415</f>
        <v>67.939255450866483</v>
      </c>
      <c r="R415" s="25">
        <f>P420</f>
        <v>5.2900000000000009</v>
      </c>
      <c r="S415" s="44">
        <f>H408*T415^3-F408*T415</f>
        <v>71.846899180617029</v>
      </c>
      <c r="T415" s="25">
        <f>R420</f>
        <v>5.3360000000000012</v>
      </c>
    </row>
    <row r="416" spans="1:20" x14ac:dyDescent="0.2">
      <c r="A416" s="827"/>
      <c r="B416" s="1272" t="str">
        <f>IF(F415&gt;=G398,"Ast(moment) &gt; Ast(shrinkage)","Ast(moment) &lt; Ast(shrinkage)")</f>
        <v>Ast(moment) &gt; Ast(shrinkage)</v>
      </c>
      <c r="C416" s="827"/>
      <c r="D416" s="827"/>
      <c r="E416" s="827"/>
      <c r="F416" s="1278" t="s">
        <v>114</v>
      </c>
      <c r="G416" s="1279"/>
      <c r="H416" s="1280">
        <f>IF(OR(F412&lt;1,F415&lt;G398),$F$33,F411)</f>
        <v>0.99307999999999907</v>
      </c>
      <c r="I416" s="1278" t="s">
        <v>115</v>
      </c>
      <c r="J416" s="827"/>
      <c r="K416" s="827"/>
      <c r="M416" s="43">
        <f>H408*N416^3-F408*N416</f>
        <v>-24.221986869116009</v>
      </c>
      <c r="N416" s="25">
        <f>0.2*$F$33</f>
        <v>1.1500000000000001</v>
      </c>
      <c r="O416" s="43">
        <f>H408*P416^3-F408*P416</f>
        <v>33.437807940112847</v>
      </c>
      <c r="P416" s="25">
        <f>N421+0.04*$F$33</f>
        <v>4.830000000000001</v>
      </c>
      <c r="Q416" s="44">
        <f>H408*R416^3-F408*R416</f>
        <v>71.846899180617029</v>
      </c>
      <c r="R416" s="25">
        <f>P420+0.008*$F$33</f>
        <v>5.3360000000000012</v>
      </c>
      <c r="S416" s="44">
        <f>H408*T416^3-F408*T416</f>
        <v>72.638742448995473</v>
      </c>
      <c r="T416" s="25">
        <f>R420+0.0016*$F$33</f>
        <v>5.3452000000000011</v>
      </c>
    </row>
    <row r="417" spans="1:20" x14ac:dyDescent="0.2">
      <c r="A417" s="827"/>
      <c r="B417" s="827"/>
      <c r="C417" s="827"/>
      <c r="D417" s="827"/>
      <c r="E417" s="827"/>
      <c r="F417" s="827"/>
      <c r="G417" s="827"/>
      <c r="H417" s="827"/>
      <c r="I417" s="827"/>
      <c r="J417" s="827"/>
      <c r="K417" s="827"/>
      <c r="M417" s="43">
        <f>H408*N417^3-F408*N417</f>
        <v>-36.839393313232009</v>
      </c>
      <c r="N417" s="25">
        <f>0.4*$F$33</f>
        <v>2.3000000000000003</v>
      </c>
      <c r="O417" s="43">
        <f>H408*P417^3-F408*P417</f>
        <v>49.667328618089599</v>
      </c>
      <c r="P417" s="25">
        <f>N421+0.08*$F$33</f>
        <v>5.0600000000000005</v>
      </c>
      <c r="Q417" s="44">
        <f>H408*R417^3-F408*R417</f>
        <v>75.840695315442758</v>
      </c>
      <c r="R417" s="25">
        <f>P420+0.016*$F$33</f>
        <v>5.3820000000000006</v>
      </c>
      <c r="S417" s="44">
        <f>H408*T417^3-F408*T417</f>
        <v>73.434037755122077</v>
      </c>
      <c r="T417" s="25">
        <f>R420+0.0032*$F$33</f>
        <v>5.3544000000000009</v>
      </c>
    </row>
    <row r="418" spans="1:20" ht="13.5" x14ac:dyDescent="0.25">
      <c r="A418" s="827"/>
      <c r="B418" s="1276" t="s">
        <v>116</v>
      </c>
      <c r="C418" s="827"/>
      <c r="D418" s="827"/>
      <c r="E418" s="827"/>
      <c r="F418" s="827"/>
      <c r="G418" s="827"/>
      <c r="H418" s="827"/>
      <c r="I418" s="827"/>
      <c r="J418" s="827"/>
      <c r="K418" s="827"/>
      <c r="M418" s="43">
        <f>H408*N418^3-F408*N418</f>
        <v>-26.247638907348026</v>
      </c>
      <c r="N418" s="25">
        <f>0.6*$F$33</f>
        <v>3.4499999999999997</v>
      </c>
      <c r="O418" s="43">
        <f>H408*P418^3-F408*P418</f>
        <v>67.939255450866483</v>
      </c>
      <c r="P418" s="25">
        <f>N421+0.12*$F$33</f>
        <v>5.2900000000000009</v>
      </c>
      <c r="Q418" s="44">
        <f>H408*R418^3-F408*R418</f>
        <v>79.921386548490943</v>
      </c>
      <c r="R418" s="25">
        <f>P420+0.024*$F$33</f>
        <v>5.4280000000000008</v>
      </c>
      <c r="S418" s="44">
        <f>H408*T418^3-F408*T418</f>
        <v>74.23279104054204</v>
      </c>
      <c r="T418" s="25">
        <f>R420+0.0048*$F$33</f>
        <v>5.3636000000000008</v>
      </c>
    </row>
    <row r="419" spans="1:20" x14ac:dyDescent="0.2">
      <c r="A419" s="827"/>
      <c r="B419" s="1222" t="s">
        <v>156</v>
      </c>
      <c r="C419" s="827"/>
      <c r="D419" s="1282">
        <f>1/4*H400*$H$54*$G$70*($D$33-$H$65)/1000000000</f>
        <v>36.781992571803748</v>
      </c>
      <c r="E419" s="1222" t="s">
        <v>99</v>
      </c>
      <c r="F419" s="1282">
        <f>1/4*H400*$H$54*$G$70*($E$33-$D$33)/$F$33/1000000000</f>
        <v>11.372210263746089</v>
      </c>
      <c r="G419" s="1222" t="s">
        <v>417</v>
      </c>
      <c r="H419" s="827">
        <v>1.2717000000000001</v>
      </c>
      <c r="I419" s="1222" t="s">
        <v>104</v>
      </c>
      <c r="J419" s="827"/>
      <c r="K419" s="827"/>
      <c r="M419" s="43">
        <f>H408*N419^3-F408*N419</f>
        <v>19.157856773536011</v>
      </c>
      <c r="N419" s="25">
        <f>0.8*$F$33</f>
        <v>4.6000000000000005</v>
      </c>
      <c r="O419" s="43">
        <f>H408*P419^3-F408*P419</f>
        <v>88.34642508184325</v>
      </c>
      <c r="P419" s="25">
        <f>N421+0.16*$F$33</f>
        <v>5.5200000000000005</v>
      </c>
      <c r="Q419" s="44">
        <f>H408*R419^3-F408*R419</f>
        <v>84.089715572908702</v>
      </c>
      <c r="R419" s="25">
        <f>P420+0.032*$F$33</f>
        <v>5.4740000000000011</v>
      </c>
      <c r="S419" s="44">
        <f>H408*T419^3-F408*T419</f>
        <v>75.035008246800587</v>
      </c>
      <c r="T419" s="25">
        <f>R420+0.0064*$F$33</f>
        <v>5.3728000000000016</v>
      </c>
    </row>
    <row r="420" spans="1:20" x14ac:dyDescent="0.2">
      <c r="A420" s="827"/>
      <c r="B420" s="1222" t="s">
        <v>158</v>
      </c>
      <c r="C420" s="827"/>
      <c r="D420" s="1282">
        <f>$H$49*$G$46/6</f>
        <v>1.7243558803347074</v>
      </c>
      <c r="E420" s="1222" t="s">
        <v>104</v>
      </c>
      <c r="F420" s="827"/>
      <c r="G420" s="827"/>
      <c r="H420" s="827"/>
      <c r="I420" s="827"/>
      <c r="J420" s="827"/>
      <c r="K420" s="827"/>
      <c r="M420" s="43">
        <f>H408*N420^3-F408*N420</f>
        <v>110.98167415441998</v>
      </c>
      <c r="N420" s="25">
        <f>$F$33</f>
        <v>5.75</v>
      </c>
      <c r="P420" s="25">
        <f>IF(O416&gt;O415,VLOOKUP(D408,O415:P419,2),IF(O417&gt;O416,VLOOKUP(D408,O416:P419,2),IF(O418&gt;O417,VLOOKUP(D408,O417:P419,2),IF(O419&gt;O418,VLOOKUP(D408,O418:P419,2),P419))))</f>
        <v>5.2900000000000009</v>
      </c>
      <c r="R420" s="25">
        <f>IF(Q416&gt;Q415,VLOOKUP(D408,Q415:R419,2),IF(Q417&gt;Q416,VLOOKUP(D408,Q416:R419,2),IF(Q418&gt;Q417,VLOOKUP(D408,Q417:R419,2),IF(Q419&gt;Q418,VLOOKUP(D408,Q418:R419,2),R419))))</f>
        <v>5.3360000000000012</v>
      </c>
      <c r="T420" s="25">
        <f>IF(S416&gt;S415,VLOOKUP(D408,S415:T419,2),IF(S417&gt;S416,VLOOKUP(D408,S416:T419,2),IF(S418&gt;S417,VLOOKUP(D408,S417:T419,2),IF(S419&gt;S418,VLOOKUP(D408,S418:T419,2),T419))))</f>
        <v>5.3544000000000009</v>
      </c>
    </row>
    <row r="421" spans="1:20" x14ac:dyDescent="0.2">
      <c r="A421" s="827"/>
      <c r="B421" s="1222" t="s">
        <v>159</v>
      </c>
      <c r="C421" s="827"/>
      <c r="D421" s="827"/>
      <c r="E421" s="827"/>
      <c r="F421" s="994">
        <f>T430</f>
        <v>4.0111999999999997</v>
      </c>
      <c r="G421" s="1222" t="s">
        <v>107</v>
      </c>
      <c r="H421" s="827"/>
      <c r="I421" s="827"/>
      <c r="J421" s="827"/>
      <c r="K421" s="827"/>
      <c r="N421" s="25">
        <f>IF(M416&gt;M415,VLOOKUP(D408,M415:N420,2),IF(M417&gt;M416,VLOOKUP(D408,M416:N420,2),IF(M418&gt;M417,VLOOKUP(D408,M417:N420,2),IF(M419&gt;M418,VLOOKUP(D408,M418:N420,2),IF(M420&gt;M419,VLOOKUP(D408,M419:N420,2),N420)))))</f>
        <v>4.6000000000000005</v>
      </c>
    </row>
    <row r="422" spans="1:20" x14ac:dyDescent="0.2">
      <c r="A422" s="827"/>
      <c r="B422" s="1222" t="s">
        <v>160</v>
      </c>
      <c r="C422" s="827"/>
      <c r="D422" s="827"/>
      <c r="E422" s="827"/>
      <c r="F422" s="1229">
        <f>IF($D$33+($E$33-$D$33)*F421/$F$33-$H$65&gt;12*C400,$F$33-F421+($D$33+($E$33-$D$33)*F421/$F$33-$H$65)/1000,$F$33-F421+(12*C400)/1000)</f>
        <v>2.2428400000000002</v>
      </c>
      <c r="G422" s="1222" t="s">
        <v>24</v>
      </c>
      <c r="H422" s="827"/>
      <c r="I422" s="827"/>
      <c r="J422" s="827"/>
      <c r="K422" s="827"/>
    </row>
    <row r="423" spans="1:20" x14ac:dyDescent="0.2">
      <c r="A423" s="827"/>
      <c r="B423" s="1222" t="s">
        <v>112</v>
      </c>
      <c r="C423" s="827"/>
      <c r="D423" s="827"/>
      <c r="E423" s="827"/>
      <c r="F423" s="1229">
        <f>$F$33-F422</f>
        <v>3.5071599999999998</v>
      </c>
      <c r="G423" s="1272" t="str">
        <f>IF(F423&gt;=1,"m &gt; 1 m   Curtailment should be made."," m&lt; 1 m   Curtailment should not be made.")</f>
        <v>m &gt; 1 m   Curtailment should be made.</v>
      </c>
      <c r="H423" s="827"/>
      <c r="I423" s="827"/>
      <c r="J423" s="827"/>
      <c r="K423" s="827"/>
      <c r="M423" s="6" t="s">
        <v>152</v>
      </c>
      <c r="O423" s="6" t="s">
        <v>153</v>
      </c>
      <c r="Q423" s="6" t="s">
        <v>154</v>
      </c>
      <c r="S423" s="6" t="s">
        <v>155</v>
      </c>
    </row>
    <row r="424" spans="1:20" x14ac:dyDescent="0.2">
      <c r="A424" s="827"/>
      <c r="B424" s="827"/>
      <c r="C424" s="827"/>
      <c r="D424" s="827"/>
      <c r="E424" s="827"/>
      <c r="F424" s="827"/>
      <c r="G424" s="827"/>
      <c r="H424" s="827"/>
      <c r="I424" s="827"/>
      <c r="J424" s="827"/>
      <c r="K424" s="827"/>
      <c r="M424" s="6" t="s">
        <v>157</v>
      </c>
      <c r="O424" s="6" t="s">
        <v>157</v>
      </c>
      <c r="Q424" s="6" t="s">
        <v>157</v>
      </c>
      <c r="S424" s="6" t="s">
        <v>157</v>
      </c>
    </row>
    <row r="425" spans="1:20" ht="13.5" x14ac:dyDescent="0.25">
      <c r="A425" s="827"/>
      <c r="B425" s="1276" t="s">
        <v>87</v>
      </c>
      <c r="C425" s="827"/>
      <c r="D425" s="827"/>
      <c r="E425" s="827"/>
      <c r="F425" s="827"/>
      <c r="G425" s="827"/>
      <c r="H425" s="827"/>
      <c r="I425" s="827"/>
      <c r="J425" s="827"/>
      <c r="K425" s="827"/>
      <c r="M425" s="27">
        <f>F419*N425^3-H419*N425</f>
        <v>0</v>
      </c>
      <c r="N425" s="25">
        <v>0</v>
      </c>
      <c r="O425" s="43">
        <f>H419*P425^3-F419*P425</f>
        <v>12.986486502575978</v>
      </c>
      <c r="P425" s="25">
        <f>N431</f>
        <v>3.4499999999999997</v>
      </c>
      <c r="Q425" s="44">
        <f>H419*R425^3-F419*R425</f>
        <v>31.55239603945278</v>
      </c>
      <c r="R425" s="25">
        <f>P430</f>
        <v>3.9099999999999997</v>
      </c>
      <c r="S425" s="44">
        <f>H419*T425^3-F419*T425</f>
        <v>35.999358776261751</v>
      </c>
      <c r="T425" s="25">
        <f>R430</f>
        <v>4.0019999999999998</v>
      </c>
    </row>
    <row r="426" spans="1:20" x14ac:dyDescent="0.2">
      <c r="A426" s="827"/>
      <c r="B426" s="1222" t="s">
        <v>287</v>
      </c>
      <c r="C426" s="827"/>
      <c r="D426" s="827"/>
      <c r="E426" s="827"/>
      <c r="F426" s="997">
        <f>G397/4</f>
        <v>787.47831527021253</v>
      </c>
      <c r="G426" s="1222" t="s">
        <v>78</v>
      </c>
      <c r="H426" s="827"/>
      <c r="I426" s="827"/>
      <c r="J426" s="827"/>
      <c r="K426" s="827"/>
      <c r="M426" s="27">
        <f>H419*N426^3-F419*N426</f>
        <v>-11.143945065808003</v>
      </c>
      <c r="N426" s="25">
        <f>0.2*$F$33</f>
        <v>1.1500000000000001</v>
      </c>
      <c r="O426" s="43">
        <f>H419*P426^3-F419*P426</f>
        <v>21.526748123814386</v>
      </c>
      <c r="P426" s="25">
        <f>N431+0.04*$F$33</f>
        <v>3.6799999999999997</v>
      </c>
      <c r="Q426" s="44">
        <f>H419*R426^3-F419*R426</f>
        <v>33.743941602527649</v>
      </c>
      <c r="R426" s="25">
        <f>P430+0.008*$F$33</f>
        <v>3.9559999999999995</v>
      </c>
      <c r="S426" s="44">
        <f>H419*T426^3-F419*T426</f>
        <v>36.458172161284615</v>
      </c>
      <c r="T426" s="25">
        <f>R430+0.0016*$F$33</f>
        <v>4.0111999999999997</v>
      </c>
    </row>
    <row r="427" spans="1:20" x14ac:dyDescent="0.2">
      <c r="A427" s="827"/>
      <c r="B427" s="1272" t="str">
        <f>IF(F426&gt;=G398,"Ast(moment)  &gt;  Ast(shrinkage)","Ast(moment)  &lt;  Ast(shrinkage)")</f>
        <v>Ast(moment)  &gt;  Ast(shrinkage)</v>
      </c>
      <c r="C427" s="827"/>
      <c r="D427" s="827"/>
      <c r="E427" s="827"/>
      <c r="F427" s="1278" t="s">
        <v>114</v>
      </c>
      <c r="G427" s="1279"/>
      <c r="H427" s="1280">
        <f>IF(OR(F423&lt;1,F426&lt;G398),$F$33,F422)</f>
        <v>2.2428400000000002</v>
      </c>
      <c r="I427" s="1278" t="s">
        <v>115</v>
      </c>
      <c r="J427" s="827"/>
      <c r="K427" s="827"/>
      <c r="M427" s="27">
        <f>H419*N427^3-F419*N427</f>
        <v>-10.683309706616003</v>
      </c>
      <c r="N427" s="25">
        <f>0.4*$F$33</f>
        <v>2.3000000000000003</v>
      </c>
      <c r="O427" s="43">
        <f>H419*P427^3-F419*P427</f>
        <v>31.55239603945278</v>
      </c>
      <c r="P427" s="25">
        <f>N431+0.08*$F$33</f>
        <v>3.9099999999999997</v>
      </c>
      <c r="Q427" s="44">
        <f>H419*R427^3-F419*R427</f>
        <v>35.999358776261751</v>
      </c>
      <c r="R427" s="25">
        <f>P430+0.016*$F$33</f>
        <v>4.0019999999999998</v>
      </c>
      <c r="S427" s="44">
        <f>H419*T427^3-F419*T427</f>
        <v>36.919576060004914</v>
      </c>
      <c r="T427" s="25">
        <f>R430+0.0032*$F$33</f>
        <v>4.0203999999999995</v>
      </c>
    </row>
    <row r="428" spans="1:20" x14ac:dyDescent="0.2">
      <c r="A428" s="827"/>
      <c r="B428" s="827"/>
      <c r="C428" s="827"/>
      <c r="D428" s="827"/>
      <c r="E428" s="827"/>
      <c r="F428" s="827"/>
      <c r="G428" s="827"/>
      <c r="H428" s="827"/>
      <c r="I428" s="827"/>
      <c r="J428" s="827"/>
      <c r="K428" s="827"/>
      <c r="M428" s="27">
        <f>H419*N428^3-F419*N428</f>
        <v>12.986486502575978</v>
      </c>
      <c r="N428" s="25">
        <f>0.6*$F$33</f>
        <v>3.4499999999999997</v>
      </c>
      <c r="O428" s="43">
        <f>H419*P428^3-F419*P428</f>
        <v>43.156266892891175</v>
      </c>
      <c r="P428" s="25">
        <f>N431+0.12*$F$33</f>
        <v>4.1399999999999997</v>
      </c>
      <c r="Q428" s="44">
        <f>H419*R428^3-F419*R428</f>
        <v>38.31939025380224</v>
      </c>
      <c r="R428" s="25">
        <f>P430+0.024*$F$33</f>
        <v>4.048</v>
      </c>
      <c r="S428" s="44">
        <f>H419*T428^3-F419*T428</f>
        <v>37.38357641396783</v>
      </c>
      <c r="T428" s="25">
        <f>R430+0.0048*$F$33</f>
        <v>4.0295999999999994</v>
      </c>
    </row>
    <row r="429" spans="1:20" ht="13.5" x14ac:dyDescent="0.25">
      <c r="A429" s="1284" t="s">
        <v>162</v>
      </c>
      <c r="B429" s="827"/>
      <c r="C429" s="827"/>
      <c r="D429" s="827"/>
      <c r="E429" s="827"/>
      <c r="F429" s="827"/>
      <c r="G429" s="827"/>
      <c r="H429" s="827"/>
      <c r="I429" s="827"/>
      <c r="J429" s="827"/>
      <c r="K429" s="827"/>
      <c r="M429" s="27">
        <f>H419*N429^3-F419*N429</f>
        <v>71.470023986768027</v>
      </c>
      <c r="N429" s="25">
        <f>0.8*$F$33</f>
        <v>4.6000000000000005</v>
      </c>
      <c r="O429" s="43">
        <f>H419*P429^3-F419*P429</f>
        <v>56.43119732752961</v>
      </c>
      <c r="P429" s="25">
        <f>N431+0.16*$F$33</f>
        <v>4.37</v>
      </c>
      <c r="Q429" s="44">
        <f>H419*R429^3-F419*R429</f>
        <v>40.704778728296283</v>
      </c>
      <c r="R429" s="25">
        <f>P430+0.032*$F$33</f>
        <v>4.0939999999999994</v>
      </c>
      <c r="S429" s="44">
        <f>H419*T429^3-F419*T429</f>
        <v>37.850179164718554</v>
      </c>
      <c r="T429" s="25">
        <f>R430+0.0064*$F$33</f>
        <v>4.0388000000000002</v>
      </c>
    </row>
    <row r="430" spans="1:20" x14ac:dyDescent="0.2">
      <c r="A430" s="827"/>
      <c r="B430" s="827"/>
      <c r="C430" s="827"/>
      <c r="D430" s="827"/>
      <c r="E430" s="827"/>
      <c r="F430" s="827"/>
      <c r="G430" s="827"/>
      <c r="H430" s="827"/>
      <c r="I430" s="827"/>
      <c r="J430" s="827"/>
      <c r="K430" s="827"/>
      <c r="M430" s="27">
        <f>H419*N430^3-F419*N430</f>
        <v>176.37188317095999</v>
      </c>
      <c r="N430" s="25">
        <f>$F$33</f>
        <v>5.75</v>
      </c>
      <c r="P430" s="25">
        <f>IF(O426&gt;O425,VLOOKUP(D419,O425:P429,2),IF(O427&gt;O426,VLOOKUP(D419,O426:P429,2),IF(O428&gt;O427,VLOOKUP(D419,O427:P429,2),IF(O429&gt;O428,VLOOKUP(D419,O428:P429,2),P429))))</f>
        <v>3.9099999999999997</v>
      </c>
      <c r="R430" s="25">
        <f>IF(Q426&gt;Q425,VLOOKUP(D419,Q425:R429,2),IF(Q427&gt;Q426,VLOOKUP(D419,Q426:R429,2),IF(Q428&gt;Q427,VLOOKUP(D419,Q427:R429,2),IF(Q429&gt;Q428,VLOOKUP(D419,Q428:R429,2),R429))))</f>
        <v>4.0019999999999998</v>
      </c>
      <c r="T430" s="25">
        <f>IF(S426&gt;S425,VLOOKUP(D419,S425:T429,2),IF(S427&gt;S426,VLOOKUP(D419,S426:T429,2),IF(S428&gt;S427,VLOOKUP(D419,S427:T429,2),IF(S429&gt;S428,VLOOKUP(D419,S428:T429,2),T429))))</f>
        <v>4.0111999999999997</v>
      </c>
    </row>
    <row r="431" spans="1:20" ht="13.5" x14ac:dyDescent="0.25">
      <c r="A431" s="827"/>
      <c r="B431" s="1276" t="s">
        <v>54</v>
      </c>
      <c r="C431" s="827"/>
      <c r="D431" s="827"/>
      <c r="E431" s="827"/>
      <c r="F431" s="827"/>
      <c r="G431" s="827"/>
      <c r="H431" s="827"/>
      <c r="I431" s="827"/>
      <c r="J431" s="827"/>
      <c r="K431" s="827"/>
      <c r="N431" s="25">
        <f>IF(M426&gt;M425,VLOOKUP(D419,M425:N430,2),IF(M427&gt;M426,VLOOKUP(D419,M426:N430,2),IF(M428&gt;M427,VLOOKUP(D419,M427:N430,2),IF(M429&gt;M428,VLOOKUP(D419,M428:N430,2),IF(M430&gt;M429,VLOOKUP(D419,M429:N430,2),N430)))))</f>
        <v>3.4499999999999997</v>
      </c>
    </row>
    <row r="432" spans="1:20" x14ac:dyDescent="0.2">
      <c r="A432" s="827"/>
      <c r="B432" s="1222" t="s">
        <v>163</v>
      </c>
      <c r="C432" s="827"/>
      <c r="D432" s="827"/>
      <c r="E432" s="827"/>
      <c r="F432" s="1229">
        <f>($D$33+$E$33)/2000*$F$33*$G$45+($E$33-$D$33)/2000*$F$33*$G$46</f>
        <v>90.390000000000015</v>
      </c>
      <c r="G432" s="1222" t="s">
        <v>57</v>
      </c>
      <c r="H432" s="827"/>
      <c r="I432" s="827"/>
      <c r="J432" s="827"/>
      <c r="K432" s="827"/>
    </row>
    <row r="433" spans="1:19" x14ac:dyDescent="0.2">
      <c r="A433" s="827"/>
      <c r="B433" s="1222" t="s">
        <v>164</v>
      </c>
      <c r="C433" s="827"/>
      <c r="D433" s="827"/>
      <c r="E433" s="827"/>
      <c r="F433" s="1229">
        <f>2*F432/$J$33</f>
        <v>53.934364640883985</v>
      </c>
      <c r="G433" s="1222" t="s">
        <v>120</v>
      </c>
      <c r="H433" s="827"/>
      <c r="I433" s="827"/>
      <c r="J433" s="827"/>
      <c r="K433" s="827"/>
    </row>
    <row r="434" spans="1:19" x14ac:dyDescent="0.2">
      <c r="A434" s="827"/>
      <c r="B434" s="1222" t="s">
        <v>165</v>
      </c>
      <c r="C434" s="827"/>
      <c r="D434" s="827"/>
      <c r="E434" s="827"/>
      <c r="F434" s="1229">
        <f>$H$49*$I$33^3/6*$G$46</f>
        <v>396.22801751073825</v>
      </c>
      <c r="G434" s="1222" t="s">
        <v>58</v>
      </c>
      <c r="H434" s="827"/>
      <c r="I434" s="827"/>
      <c r="J434" s="827"/>
      <c r="K434" s="827"/>
    </row>
    <row r="435" spans="1:19" x14ac:dyDescent="0.2">
      <c r="A435" s="827"/>
      <c r="B435" s="1222" t="s">
        <v>166</v>
      </c>
      <c r="C435" s="827"/>
      <c r="D435" s="827"/>
      <c r="E435" s="827"/>
      <c r="F435" s="827"/>
      <c r="G435" s="827"/>
      <c r="H435" s="1229">
        <f>(($E$33-$D$33)*$F$33/2*(2/3*$D$33+$E$33/3)+$D$33*$F$33*$D$33/2)/(($D$33+$E$33)/2*$F$33)/1000</f>
        <v>0.26333333333333336</v>
      </c>
      <c r="I435" s="1222" t="s">
        <v>24</v>
      </c>
      <c r="J435" s="827"/>
      <c r="K435" s="827"/>
    </row>
    <row r="436" spans="1:19" x14ac:dyDescent="0.2">
      <c r="A436" s="827"/>
      <c r="B436" s="1222" t="s">
        <v>167</v>
      </c>
      <c r="C436" s="827"/>
      <c r="D436" s="827"/>
      <c r="E436" s="827"/>
      <c r="F436" s="1229">
        <f>F434-F432*H435+F433*H435^2/2</f>
        <v>374.29534178698134</v>
      </c>
      <c r="G436" s="1222" t="s">
        <v>58</v>
      </c>
      <c r="H436" s="827"/>
      <c r="I436" s="827"/>
      <c r="J436" s="827"/>
      <c r="K436" s="827"/>
    </row>
    <row r="437" spans="1:19" x14ac:dyDescent="0.2">
      <c r="A437" s="827"/>
      <c r="B437" s="1222" t="s">
        <v>168</v>
      </c>
      <c r="C437" s="827"/>
      <c r="D437" s="827"/>
      <c r="E437" s="827"/>
      <c r="F437" s="1229">
        <f>F434-F432*($H$33/2+H435)+F433*$J$33^2/8</f>
        <v>328.31834528851601</v>
      </c>
      <c r="G437" s="1222" t="s">
        <v>58</v>
      </c>
      <c r="H437" s="827"/>
      <c r="I437" s="827"/>
      <c r="J437" s="827"/>
      <c r="K437" s="827"/>
    </row>
    <row r="438" spans="1:19" x14ac:dyDescent="0.2">
      <c r="A438" s="827"/>
      <c r="B438" s="827"/>
      <c r="C438" s="827"/>
      <c r="D438" s="827"/>
      <c r="E438" s="827"/>
      <c r="F438" s="827"/>
      <c r="G438" s="827"/>
      <c r="H438" s="827"/>
      <c r="I438" s="827"/>
      <c r="J438" s="827"/>
      <c r="K438" s="827"/>
    </row>
    <row r="439" spans="1:19" x14ac:dyDescent="0.2">
      <c r="A439" s="827"/>
      <c r="B439" s="1222" t="s">
        <v>169</v>
      </c>
      <c r="C439" s="827"/>
      <c r="D439" s="827"/>
      <c r="E439" s="1272">
        <f>IF(F437&gt;0,0,-F437)</f>
        <v>0</v>
      </c>
      <c r="F439" s="1222" t="s">
        <v>58</v>
      </c>
      <c r="G439" s="1272" t="str">
        <f>IF(F437&gt;0,"(Moment at Midspan produces Bottom Tension)","")</f>
        <v>(Moment at Midspan produces Bottom Tension)</v>
      </c>
      <c r="H439" s="827"/>
      <c r="I439" s="827"/>
      <c r="J439" s="827"/>
      <c r="K439" s="827"/>
    </row>
    <row r="440" spans="1:19" x14ac:dyDescent="0.2">
      <c r="A440" s="827"/>
      <c r="B440" s="1222" t="s">
        <v>170</v>
      </c>
      <c r="C440" s="827"/>
      <c r="D440" s="827"/>
      <c r="E440" s="1229">
        <f>F436</f>
        <v>374.29534178698134</v>
      </c>
      <c r="F440" s="1222" t="s">
        <v>57</v>
      </c>
      <c r="G440" s="827"/>
      <c r="H440" s="827"/>
      <c r="I440" s="827"/>
      <c r="J440" s="827"/>
      <c r="K440" s="827"/>
    </row>
    <row r="441" spans="1:19" x14ac:dyDescent="0.2">
      <c r="A441" s="827"/>
      <c r="B441" s="1222" t="s">
        <v>171</v>
      </c>
      <c r="C441" s="827"/>
      <c r="D441" s="827"/>
      <c r="E441" s="1229">
        <f>F432</f>
        <v>90.390000000000015</v>
      </c>
      <c r="F441" s="1222" t="s">
        <v>58</v>
      </c>
      <c r="G441" s="827"/>
      <c r="H441" s="827"/>
      <c r="I441" s="827"/>
      <c r="J441" s="827"/>
      <c r="K441" s="827"/>
    </row>
    <row r="442" spans="1:19" x14ac:dyDescent="0.2">
      <c r="A442" s="827"/>
      <c r="B442" s="827"/>
      <c r="C442" s="827"/>
      <c r="D442" s="827"/>
      <c r="E442" s="827"/>
      <c r="F442" s="827"/>
      <c r="G442" s="827"/>
      <c r="H442" s="827"/>
      <c r="I442" s="827"/>
      <c r="J442" s="827"/>
      <c r="K442" s="827"/>
    </row>
    <row r="443" spans="1:19" ht="13.5" x14ac:dyDescent="0.25">
      <c r="A443" s="827"/>
      <c r="B443" s="1276" t="s">
        <v>59</v>
      </c>
      <c r="C443" s="827"/>
      <c r="D443" s="827"/>
      <c r="E443" s="827"/>
      <c r="F443" s="827"/>
      <c r="G443" s="827"/>
      <c r="H443" s="827"/>
      <c r="I443" s="827"/>
      <c r="J443" s="827"/>
      <c r="K443" s="827"/>
    </row>
    <row r="444" spans="1:19" x14ac:dyDescent="0.2">
      <c r="A444" s="827"/>
      <c r="B444" s="1222" t="s">
        <v>279</v>
      </c>
      <c r="C444" s="827"/>
      <c r="D444" s="827"/>
      <c r="E444" s="827"/>
      <c r="F444" s="997">
        <f>SQRT(MAX(E439:E440)/$G$71)*1000</f>
        <v>546.55351471145264</v>
      </c>
      <c r="G444" s="1222" t="s">
        <v>43</v>
      </c>
      <c r="H444" s="827"/>
      <c r="I444" s="827"/>
      <c r="J444" s="827"/>
      <c r="K444" s="827"/>
    </row>
    <row r="445" spans="1:19" x14ac:dyDescent="0.2">
      <c r="A445" s="827"/>
      <c r="B445" s="1222" t="s">
        <v>280</v>
      </c>
      <c r="C445" s="827"/>
      <c r="D445" s="827"/>
      <c r="E445" s="827"/>
      <c r="F445" s="997">
        <f>E441/$H$57*1000</f>
        <v>210.86825456073515</v>
      </c>
      <c r="G445" s="1222" t="s">
        <v>43</v>
      </c>
      <c r="H445" s="827"/>
      <c r="I445" s="827"/>
      <c r="J445" s="827"/>
      <c r="K445" s="827"/>
    </row>
    <row r="446" spans="1:19" x14ac:dyDescent="0.2">
      <c r="A446" s="827"/>
      <c r="B446" s="827"/>
      <c r="C446" s="827"/>
      <c r="D446" s="827"/>
      <c r="E446" s="827"/>
      <c r="F446" s="827"/>
      <c r="G446" s="827"/>
      <c r="H446" s="827"/>
      <c r="I446" s="827"/>
      <c r="J446" s="827"/>
      <c r="K446" s="827"/>
    </row>
    <row r="447" spans="1:19" x14ac:dyDescent="0.2">
      <c r="A447" s="827"/>
      <c r="B447" s="1222" t="s">
        <v>138</v>
      </c>
      <c r="C447" s="827"/>
      <c r="D447" s="827"/>
      <c r="E447" s="827"/>
      <c r="F447" s="997">
        <f>MAX(F444:F445)+$H$65</f>
        <v>621.55351471145264</v>
      </c>
      <c r="G447" s="1222" t="s">
        <v>43</v>
      </c>
      <c r="H447" s="827"/>
      <c r="I447" s="827"/>
      <c r="J447" s="827"/>
      <c r="K447" s="827"/>
      <c r="M447" s="6" t="s">
        <v>66</v>
      </c>
      <c r="O447" s="30">
        <v>12</v>
      </c>
      <c r="P447" s="30">
        <v>16</v>
      </c>
      <c r="Q447" s="30">
        <v>20</v>
      </c>
      <c r="R447" s="30">
        <v>22</v>
      </c>
      <c r="S447" s="30">
        <v>25</v>
      </c>
    </row>
    <row r="448" spans="1:19" x14ac:dyDescent="0.2">
      <c r="A448" s="827"/>
      <c r="B448" s="1222" t="s">
        <v>139</v>
      </c>
      <c r="C448" s="827"/>
      <c r="D448" s="827"/>
      <c r="E448" s="827"/>
      <c r="F448" s="997">
        <f>$G$33</f>
        <v>750</v>
      </c>
      <c r="G448" s="1222" t="s">
        <v>43</v>
      </c>
      <c r="H448" s="827"/>
      <c r="I448" s="827"/>
      <c r="J448" s="827"/>
      <c r="K448" s="827"/>
      <c r="M448" s="6" t="s">
        <v>67</v>
      </c>
      <c r="O448" s="30">
        <f>IF(H453=0,100000000,TRUNC(785.4*O447^2/H453/25)*25)</f>
        <v>100</v>
      </c>
      <c r="P448" s="30">
        <f>IF(H453=0,100000000,TRUNC(785.4*P447^2/H453/25)*25)</f>
        <v>200</v>
      </c>
      <c r="Q448" s="30">
        <f>IF(H453=0,100000000,TRUNC(785.4*Q447^2/H453/25)*25)</f>
        <v>325</v>
      </c>
      <c r="R448" s="30">
        <f>IF(H453=0,100000000,TRUNC(785.4*R447^2/H453/25)*25)</f>
        <v>400</v>
      </c>
      <c r="S448" s="30">
        <f>IF(H453=0,100000000,TRUNC(785.4*S447^2/H453/25)*25)</f>
        <v>500</v>
      </c>
    </row>
    <row r="449" spans="1:19" x14ac:dyDescent="0.2">
      <c r="A449" s="827"/>
      <c r="B449" s="1272" t="str">
        <f>IF(F448&gt;=F447,"ta  &gt;  tr     Design is OK.","ta  &lt;  tr     Design is Not OK.")</f>
        <v>ta  &gt;  tr     Design is OK.</v>
      </c>
      <c r="C449" s="827"/>
      <c r="D449" s="827"/>
      <c r="E449" s="1222" t="s">
        <v>64</v>
      </c>
      <c r="F449" s="827"/>
      <c r="G449" s="827"/>
      <c r="H449" s="827"/>
      <c r="I449" s="827"/>
      <c r="J449" s="827"/>
      <c r="K449" s="827"/>
      <c r="M449" s="6" t="s">
        <v>68</v>
      </c>
      <c r="O449" s="30">
        <f>785.4*O447^2/O448</f>
        <v>1130.9759999999999</v>
      </c>
      <c r="P449" s="30">
        <f>785.4*P447^2/P448</f>
        <v>1005.312</v>
      </c>
      <c r="Q449" s="30">
        <f>785.4*Q447^2/Q448</f>
        <v>966.64615384615388</v>
      </c>
      <c r="R449" s="30">
        <f>785.4*R447^2/R448</f>
        <v>950.33399999999995</v>
      </c>
      <c r="S449" s="30">
        <f>785.4*S447^2/S448</f>
        <v>981.75</v>
      </c>
    </row>
    <row r="450" spans="1:19" x14ac:dyDescent="0.2">
      <c r="A450" s="827"/>
      <c r="B450" s="1292" t="str">
        <f>IF(F448&gt;1.5*F447,"WARNING:  Actual Member Thickness is considerably larger (&gt;50%) than required.","")</f>
        <v/>
      </c>
      <c r="C450" s="827"/>
      <c r="D450" s="827"/>
      <c r="E450" s="827"/>
      <c r="F450" s="827"/>
      <c r="G450" s="827"/>
      <c r="H450" s="827"/>
      <c r="I450" s="827"/>
      <c r="J450" s="827"/>
      <c r="K450" s="827"/>
      <c r="M450" s="6" t="s">
        <v>69</v>
      </c>
      <c r="O450" s="30">
        <f>IF(OR(O448&gt;300,O448&lt;100),100000000,O449-H453)</f>
        <v>180.97599999999989</v>
      </c>
      <c r="P450" s="30">
        <f>IF(OR(P448&gt;300,P448&lt;100),100000001,P449-H453)</f>
        <v>55.312000000000012</v>
      </c>
      <c r="Q450" s="30">
        <f>IF(OR(Q448&gt;300,Q448&lt;100),100000001,Q449-H453)</f>
        <v>100000001</v>
      </c>
      <c r="R450" s="30">
        <f>IF(OR(R448&gt;300,R448&lt;100),100000001,R449-H453)</f>
        <v>100000001</v>
      </c>
      <c r="S450" s="30">
        <f>IF(OR(S448&gt;300,S448&lt;100),100000001,S449-H453)</f>
        <v>100000001</v>
      </c>
    </row>
    <row r="451" spans="1:19" ht="13.5" x14ac:dyDescent="0.25">
      <c r="A451" s="827"/>
      <c r="B451" s="1293" t="s">
        <v>123</v>
      </c>
      <c r="C451" s="827"/>
      <c r="D451" s="827"/>
      <c r="E451" s="827"/>
      <c r="F451" s="827"/>
      <c r="G451" s="827"/>
      <c r="H451" s="827"/>
      <c r="I451" s="827"/>
      <c r="J451" s="827"/>
      <c r="K451" s="827"/>
      <c r="M451" s="6" t="s">
        <v>70</v>
      </c>
      <c r="O451" s="30">
        <f>IF(S448&lt;100,25,IF(MIN(O450:S450)=O450,12,IF(MIN(O450:S450)=P450,16,IF(MIN(O450:S450)=Q450,20,IF(MIN(O450:S450)=R450,22,IF(MIN(O450:S450)=S450,25,0))))))</f>
        <v>16</v>
      </c>
      <c r="P451" s="6" t="s">
        <v>71</v>
      </c>
      <c r="Q451" s="30">
        <f>IF(O451=12,O448,IF(O451=16,P448,IF(O451=20,Q448,IF(O451=22,R448,IF(O451=25,S448,0)))))</f>
        <v>200</v>
      </c>
      <c r="R451" s="6" t="s">
        <v>72</v>
      </c>
    </row>
    <row r="452" spans="1:19" x14ac:dyDescent="0.2">
      <c r="A452" s="827"/>
      <c r="B452" s="1222" t="s">
        <v>124</v>
      </c>
      <c r="C452" s="827"/>
      <c r="D452" s="827"/>
      <c r="E452" s="827"/>
      <c r="F452" s="1229">
        <f>MAX($C$32:$C$37)</f>
        <v>16.2</v>
      </c>
      <c r="G452" s="1222" t="s">
        <v>24</v>
      </c>
      <c r="H452" s="827"/>
      <c r="I452" s="827"/>
      <c r="J452" s="827"/>
      <c r="K452" s="827"/>
    </row>
    <row r="453" spans="1:19" x14ac:dyDescent="0.2">
      <c r="A453" s="827"/>
      <c r="B453" s="1222" t="s">
        <v>141</v>
      </c>
      <c r="C453" s="827"/>
      <c r="D453" s="827"/>
      <c r="E453" s="827"/>
      <c r="F453" s="827"/>
      <c r="G453" s="827"/>
      <c r="H453" s="997">
        <f>IF(AND(F452&lt;=9,F448&lt;380),$C$157*F448*1000,IF(F452&lt;=9,$C$157*380000,IF(F448&lt;380,$C$158*F448*1000,$C$158*380000)))</f>
        <v>950</v>
      </c>
      <c r="I453" s="1222" t="s">
        <v>78</v>
      </c>
      <c r="J453" s="827"/>
      <c r="K453" s="827"/>
    </row>
    <row r="454" spans="1:19" x14ac:dyDescent="0.2">
      <c r="A454" s="827"/>
      <c r="B454" s="1222" t="s">
        <v>79</v>
      </c>
      <c r="C454" s="997">
        <f>IF(D981=0,O451,D981)</f>
        <v>16</v>
      </c>
      <c r="D454" s="1222" t="s">
        <v>71</v>
      </c>
      <c r="E454" s="997">
        <f>IF(D981=0,IF(Q451&gt;300,300,Q451),E981)</f>
        <v>200</v>
      </c>
      <c r="F454" s="1222" t="s">
        <v>289</v>
      </c>
      <c r="G454" s="827"/>
      <c r="H454" s="997">
        <f>785.4*C454^2/E454</f>
        <v>1005.312</v>
      </c>
      <c r="I454" s="1222" t="s">
        <v>81</v>
      </c>
      <c r="J454" s="827"/>
      <c r="K454" s="827"/>
    </row>
    <row r="455" spans="1:19" x14ac:dyDescent="0.2">
      <c r="A455" s="827"/>
      <c r="B455" s="1222" t="s">
        <v>142</v>
      </c>
      <c r="C455" s="827"/>
      <c r="D455" s="827"/>
      <c r="E455" s="827"/>
      <c r="F455" s="827"/>
      <c r="G455" s="827"/>
      <c r="H455" s="997">
        <f>IF(AND(F452&lt;=9,F448&lt;380),$D$157*F448*1000,IF(F452&lt;=9,$D$157*380000,IF(F448&lt;380,$D$158*F448*1000,$D$158*380000)))</f>
        <v>570</v>
      </c>
      <c r="I455" s="1222" t="s">
        <v>78</v>
      </c>
      <c r="J455" s="827"/>
      <c r="K455" s="827"/>
      <c r="M455" s="6" t="s">
        <v>66</v>
      </c>
      <c r="O455" s="30">
        <v>12</v>
      </c>
      <c r="P455" s="30">
        <v>16</v>
      </c>
      <c r="Q455" s="30">
        <v>20</v>
      </c>
      <c r="R455" s="30">
        <v>22</v>
      </c>
      <c r="S455" s="30">
        <v>25</v>
      </c>
    </row>
    <row r="456" spans="1:19" x14ac:dyDescent="0.2">
      <c r="A456" s="827"/>
      <c r="B456" s="1222" t="s">
        <v>79</v>
      </c>
      <c r="C456" s="997">
        <v>16</v>
      </c>
      <c r="D456" s="1222" t="s">
        <v>71</v>
      </c>
      <c r="E456" s="997">
        <v>250</v>
      </c>
      <c r="F456" s="1222" t="s">
        <v>289</v>
      </c>
      <c r="G456" s="827"/>
      <c r="H456" s="997">
        <f>785.4*C456^2/E456</f>
        <v>804.24959999999999</v>
      </c>
      <c r="I456" s="1222" t="s">
        <v>81</v>
      </c>
      <c r="J456" s="827"/>
      <c r="K456" s="827"/>
      <c r="M456" s="6" t="s">
        <v>67</v>
      </c>
      <c r="O456" s="30">
        <f>IF(H455=0,100000000,TRUNC(785.4*O455^2/H455/25)*25)</f>
        <v>175</v>
      </c>
      <c r="P456" s="30">
        <f>IF(H455=0,100000000,TRUNC(785.4*P455^2/H455/25)*25)</f>
        <v>350</v>
      </c>
      <c r="Q456" s="30">
        <f>IF(H455=0,100000000,TRUNC(785.4*Q455^2/H455/25)*25)</f>
        <v>550</v>
      </c>
      <c r="R456" s="30">
        <f>IF(H455=0,100000000,TRUNC(785.4*R455^2/H455/25)*25)</f>
        <v>650</v>
      </c>
      <c r="S456" s="30">
        <f>IF(H455=0,100000000,TRUNC(785.4*S455^2/H455/25)*25)</f>
        <v>850</v>
      </c>
    </row>
    <row r="457" spans="1:19" x14ac:dyDescent="0.2">
      <c r="A457" s="827"/>
      <c r="B457" s="827"/>
      <c r="C457" s="827"/>
      <c r="D457" s="827"/>
      <c r="E457" s="827"/>
      <c r="F457" s="827"/>
      <c r="G457" s="827"/>
      <c r="H457" s="827"/>
      <c r="I457" s="827"/>
      <c r="J457" s="827"/>
      <c r="K457" s="827"/>
      <c r="M457" s="6" t="s">
        <v>68</v>
      </c>
      <c r="O457" s="30">
        <f>785.4*O455^2/O456</f>
        <v>646.27199999999993</v>
      </c>
      <c r="P457" s="30">
        <f>785.4*P455^2/P456</f>
        <v>574.46399999999994</v>
      </c>
      <c r="Q457" s="30">
        <f>785.4*Q455^2/Q456</f>
        <v>571.20000000000005</v>
      </c>
      <c r="R457" s="30">
        <f>785.4*R455^2/R456</f>
        <v>584.82092307692301</v>
      </c>
      <c r="S457" s="30">
        <f>785.4*S455^2/S456</f>
        <v>577.5</v>
      </c>
    </row>
    <row r="458" spans="1:19" ht="13.5" x14ac:dyDescent="0.25">
      <c r="A458" s="827"/>
      <c r="B458" s="1276" t="s">
        <v>125</v>
      </c>
      <c r="C458" s="827"/>
      <c r="D458" s="827"/>
      <c r="E458" s="827"/>
      <c r="F458" s="827"/>
      <c r="G458" s="827"/>
      <c r="H458" s="827"/>
      <c r="I458" s="827"/>
      <c r="J458" s="827"/>
      <c r="K458" s="827"/>
      <c r="M458" s="6" t="s">
        <v>69</v>
      </c>
      <c r="O458" s="30">
        <f>IF(OR(O456&gt;300,O456&lt;100),100000000,O457-H455)</f>
        <v>76.271999999999935</v>
      </c>
      <c r="P458" s="30">
        <f>IF(OR(P456&gt;300,P456&lt;100),100000001,P457-H455)</f>
        <v>100000001</v>
      </c>
      <c r="Q458" s="30">
        <f>IF(OR(Q456&gt;300,Q456&lt;100),100000001,Q457-H455)</f>
        <v>100000001</v>
      </c>
      <c r="R458" s="30">
        <f>IF(OR(R456&gt;300,R456&lt;100),100000001,R457-H455)</f>
        <v>100000001</v>
      </c>
      <c r="S458" s="30">
        <f>IF(OR(S456&gt;300,S456&lt;100),100000001,S457-H455)</f>
        <v>100000001</v>
      </c>
    </row>
    <row r="459" spans="1:19" x14ac:dyDescent="0.2">
      <c r="A459" s="827"/>
      <c r="B459" s="1222" t="s">
        <v>161</v>
      </c>
      <c r="C459" s="827"/>
      <c r="D459" s="827"/>
      <c r="E459" s="827"/>
      <c r="F459" s="997">
        <f>E439/$H$54/$G$70/(F448-$H$65)*1000000000</f>
        <v>0</v>
      </c>
      <c r="G459" s="1222" t="s">
        <v>78</v>
      </c>
      <c r="H459" s="827"/>
      <c r="I459" s="827"/>
      <c r="J459" s="827"/>
      <c r="K459" s="827"/>
      <c r="M459" s="6" t="s">
        <v>70</v>
      </c>
      <c r="O459" s="30">
        <f>IF(S456&lt;100,25,IF(MIN(O458:S458)=O458,12,IF(MIN(O458:S458)=P458,16,IF(MIN(O458:S458)=Q458,20,IF(MIN(O458:S458)=R458,22,IF(MIN(O458:S458)=S458,25,0))))))</f>
        <v>12</v>
      </c>
      <c r="P459" s="6" t="s">
        <v>71</v>
      </c>
      <c r="Q459" s="30">
        <f>IF(O459=12,O456,IF(O459=16,P456,IF(O459=20,Q456,IF(O459=22,R456,IF(O459=25,S456,0)))))</f>
        <v>175</v>
      </c>
      <c r="R459" s="6" t="s">
        <v>72</v>
      </c>
    </row>
    <row r="460" spans="1:19" x14ac:dyDescent="0.2">
      <c r="A460" s="827"/>
      <c r="B460" s="1222" t="s">
        <v>172</v>
      </c>
      <c r="C460" s="827"/>
      <c r="D460" s="827"/>
      <c r="E460" s="827"/>
      <c r="F460" s="1229">
        <f>$H$33+$E$33/500</f>
        <v>4.0518518518518523</v>
      </c>
      <c r="G460" s="1222" t="s">
        <v>24</v>
      </c>
      <c r="H460" s="827"/>
      <c r="I460" s="827"/>
      <c r="J460" s="827"/>
      <c r="K460" s="827"/>
    </row>
    <row r="461" spans="1:19" x14ac:dyDescent="0.2">
      <c r="A461" s="827"/>
      <c r="B461" s="1222" t="s">
        <v>113</v>
      </c>
      <c r="C461" s="827"/>
      <c r="D461" s="827"/>
      <c r="E461" s="827"/>
      <c r="F461" s="827"/>
      <c r="G461" s="827"/>
      <c r="H461" s="997">
        <f>IF(AND(F460&lt;=9,F448&lt;380),$C$157*F448*1000,IF(F460&lt;=9,$C$157*380000,IF(F448&lt;380,$C$158*F448*1000,$C$158*380000)))</f>
        <v>760</v>
      </c>
      <c r="I461" s="1222" t="s">
        <v>78</v>
      </c>
      <c r="J461" s="827"/>
      <c r="K461" s="827"/>
    </row>
    <row r="462" spans="1:19" x14ac:dyDescent="0.2">
      <c r="A462" s="827"/>
      <c r="B462" s="1222" t="s">
        <v>88</v>
      </c>
      <c r="C462" s="827"/>
      <c r="D462" s="827"/>
      <c r="E462" s="827"/>
      <c r="F462" s="827"/>
      <c r="G462" s="827"/>
      <c r="H462" s="997">
        <f>MAX(F459,H461)</f>
        <v>760</v>
      </c>
      <c r="I462" s="1222" t="s">
        <v>78</v>
      </c>
      <c r="J462" s="827"/>
      <c r="K462" s="827"/>
    </row>
    <row r="463" spans="1:19" x14ac:dyDescent="0.2">
      <c r="A463" s="827"/>
      <c r="B463" s="1294" t="s">
        <v>79</v>
      </c>
      <c r="C463" s="1295">
        <f>IF(D1001=0,O467,D1001)</f>
        <v>16</v>
      </c>
      <c r="D463" s="1294" t="s">
        <v>71</v>
      </c>
      <c r="E463" s="1295">
        <v>200</v>
      </c>
      <c r="F463" s="1294" t="s">
        <v>289</v>
      </c>
      <c r="G463" s="826"/>
      <c r="H463" s="1295">
        <f>785.4*C463^2/E463</f>
        <v>1005.312</v>
      </c>
      <c r="I463" s="1294" t="s">
        <v>81</v>
      </c>
      <c r="J463" s="826"/>
      <c r="K463" s="826"/>
      <c r="M463" s="6" t="s">
        <v>66</v>
      </c>
      <c r="O463" s="30">
        <v>12</v>
      </c>
      <c r="P463" s="30">
        <v>16</v>
      </c>
      <c r="Q463" s="30">
        <v>20</v>
      </c>
      <c r="R463" s="30">
        <v>22</v>
      </c>
      <c r="S463" s="30">
        <v>25</v>
      </c>
    </row>
    <row r="464" spans="1:19" ht="13.5" x14ac:dyDescent="0.25">
      <c r="A464" s="827"/>
      <c r="B464" s="1276" t="s">
        <v>126</v>
      </c>
      <c r="C464" s="827"/>
      <c r="D464" s="827"/>
      <c r="E464" s="827"/>
      <c r="F464" s="827"/>
      <c r="G464" s="827"/>
      <c r="H464" s="827"/>
      <c r="I464" s="827"/>
      <c r="J464" s="827"/>
      <c r="K464" s="827"/>
      <c r="M464" s="6" t="s">
        <v>67</v>
      </c>
      <c r="O464" s="30">
        <f>IF(H462=0,100000000,TRUNC(785.4*O463^2/H462/25)*25)</f>
        <v>125</v>
      </c>
      <c r="P464" s="30">
        <f>IF(H462=0,100000000,TRUNC(785.4*P463^2/H462/25)*25)</f>
        <v>250</v>
      </c>
      <c r="Q464" s="30">
        <f>IF(H462=0,100000000,TRUNC(785.4*Q463^2/H462/25)*25)</f>
        <v>400</v>
      </c>
      <c r="R464" s="30">
        <f>IF(H462=0,100000000,TRUNC(785.4*R463^2/H462/25)*25)</f>
        <v>500</v>
      </c>
      <c r="S464" s="30">
        <f>IF(H462=0,100000000,TRUNC(785.4*S463^2/H462/25)*25)</f>
        <v>625</v>
      </c>
    </row>
    <row r="465" spans="1:19" x14ac:dyDescent="0.2">
      <c r="A465" s="827"/>
      <c r="B465" s="1222" t="s">
        <v>161</v>
      </c>
      <c r="C465" s="827"/>
      <c r="D465" s="827"/>
      <c r="E465" s="827"/>
      <c r="F465" s="827"/>
      <c r="G465" s="827"/>
      <c r="H465" s="997">
        <f>E440/$H$54/$G$70/(F448-$H$65)*1000000000</f>
        <v>3330.1118845227079</v>
      </c>
      <c r="I465" s="1222" t="s">
        <v>78</v>
      </c>
      <c r="J465" s="827"/>
      <c r="K465" s="827"/>
      <c r="M465" s="6" t="s">
        <v>68</v>
      </c>
      <c r="O465" s="30">
        <f>785.4*O463^2/O464</f>
        <v>904.78079999999989</v>
      </c>
      <c r="P465" s="30">
        <f>785.4*P463^2/P464</f>
        <v>804.24959999999999</v>
      </c>
      <c r="Q465" s="30">
        <f>785.4*Q463^2/Q464</f>
        <v>785.4</v>
      </c>
      <c r="R465" s="30">
        <f>785.4*R463^2/R464</f>
        <v>760.2672</v>
      </c>
      <c r="S465" s="30">
        <f>785.4*S463^2/S464</f>
        <v>785.4</v>
      </c>
    </row>
    <row r="466" spans="1:19" x14ac:dyDescent="0.2">
      <c r="A466" s="827"/>
      <c r="B466" s="1222" t="s">
        <v>113</v>
      </c>
      <c r="C466" s="827"/>
      <c r="D466" s="827"/>
      <c r="E466" s="827"/>
      <c r="F466" s="827"/>
      <c r="G466" s="827"/>
      <c r="H466" s="997">
        <f>IF(AND(F460&lt;=9,F448&lt;380),$D$157*F448*1000,IF(F460&lt;=9,$D$157*380000,IF(F448&lt;380,$D$158*F448*1000,$D$158*380000)))</f>
        <v>380</v>
      </c>
      <c r="I466" s="1222" t="s">
        <v>78</v>
      </c>
      <c r="J466" s="827"/>
      <c r="K466" s="827"/>
      <c r="M466" s="6" t="s">
        <v>69</v>
      </c>
      <c r="O466" s="30">
        <f>IF(OR(O464&gt;300,O464&lt;100),100000000,O465-H462)</f>
        <v>144.78079999999989</v>
      </c>
      <c r="P466" s="30">
        <f>IF(OR(P464&gt;300,P464&lt;100),100000001,P465-H462)</f>
        <v>44.249599999999987</v>
      </c>
      <c r="Q466" s="30">
        <f>IF(OR(Q464&gt;300,Q464&lt;100),100000001,Q465-H462)</f>
        <v>100000001</v>
      </c>
      <c r="R466" s="30">
        <f>IF(OR(R464&gt;300,R464&lt;100),100000001,R465-H462)</f>
        <v>100000001</v>
      </c>
      <c r="S466" s="30">
        <f>IF(OR(S464&gt;300,S464&lt;100),100000001,S465-H462)</f>
        <v>100000001</v>
      </c>
    </row>
    <row r="467" spans="1:19" x14ac:dyDescent="0.2">
      <c r="A467" s="827"/>
      <c r="B467" s="1222" t="s">
        <v>88</v>
      </c>
      <c r="C467" s="827"/>
      <c r="D467" s="827"/>
      <c r="E467" s="827"/>
      <c r="F467" s="827"/>
      <c r="G467" s="827"/>
      <c r="H467" s="997">
        <f>MAX(H465:H466)</f>
        <v>3330.1118845227079</v>
      </c>
      <c r="I467" s="1222" t="s">
        <v>89</v>
      </c>
      <c r="J467" s="827"/>
      <c r="K467" s="827"/>
      <c r="M467" s="6" t="s">
        <v>70</v>
      </c>
      <c r="O467" s="30">
        <f>IF(S464&lt;100,25,IF(MIN(O466:S466)=O466,12,IF(MIN(O466:S466)=P466,16,IF(MIN(O466:S466)=Q466,20,IF(MIN(O466:S466)=R466,22,IF(MIN(O466:S466)=S466,25,0))))))</f>
        <v>16</v>
      </c>
      <c r="P467" s="6" t="s">
        <v>71</v>
      </c>
      <c r="Q467" s="30">
        <f>IF(O467=12,O464,IF(O467=16,P464,IF(O467=20,Q464,IF(O467=22,R464,IF(O467=25,S464,0)))))</f>
        <v>250</v>
      </c>
      <c r="R467" s="6" t="s">
        <v>72</v>
      </c>
    </row>
    <row r="468" spans="1:19" x14ac:dyDescent="0.2">
      <c r="A468" s="827"/>
      <c r="B468" s="1277" t="s">
        <v>79</v>
      </c>
      <c r="C468" s="1031">
        <v>25</v>
      </c>
      <c r="D468" s="1277" t="s">
        <v>71</v>
      </c>
      <c r="E468" s="1031">
        <v>125</v>
      </c>
      <c r="F468" s="1277" t="s">
        <v>289</v>
      </c>
      <c r="G468" s="851"/>
      <c r="H468" s="1031">
        <f>785.4*C468^2/E468</f>
        <v>3927</v>
      </c>
      <c r="I468" s="1277" t="s">
        <v>81</v>
      </c>
      <c r="J468" s="851"/>
      <c r="K468" s="827"/>
    </row>
    <row r="469" spans="1:19" x14ac:dyDescent="0.2">
      <c r="A469" s="827"/>
      <c r="B469" s="827"/>
      <c r="C469" s="827"/>
      <c r="D469" s="827"/>
      <c r="E469" s="827"/>
      <c r="F469" s="827"/>
      <c r="G469" s="827"/>
      <c r="H469" s="827"/>
      <c r="I469" s="827"/>
      <c r="J469" s="827"/>
      <c r="K469" s="827"/>
    </row>
    <row r="470" spans="1:19" ht="13.5" x14ac:dyDescent="0.25">
      <c r="A470" s="827"/>
      <c r="B470" s="1271" t="s">
        <v>93</v>
      </c>
      <c r="C470" s="827"/>
      <c r="D470" s="827"/>
      <c r="E470" s="827"/>
      <c r="F470" s="827"/>
      <c r="G470" s="827"/>
      <c r="H470" s="827"/>
      <c r="I470" s="827"/>
      <c r="J470" s="827"/>
      <c r="K470" s="827"/>
    </row>
    <row r="471" spans="1:19" x14ac:dyDescent="0.2">
      <c r="A471" s="827"/>
      <c r="B471" s="827"/>
      <c r="C471" s="827"/>
      <c r="D471" s="827"/>
      <c r="E471" s="827"/>
      <c r="F471" s="827"/>
      <c r="G471" s="827"/>
      <c r="H471" s="827"/>
      <c r="I471" s="827"/>
      <c r="J471" s="827"/>
      <c r="K471" s="827"/>
    </row>
    <row r="472" spans="1:19" ht="13.5" x14ac:dyDescent="0.25">
      <c r="A472" s="827"/>
      <c r="B472" s="1276" t="s">
        <v>94</v>
      </c>
      <c r="C472" s="827"/>
      <c r="D472" s="827"/>
      <c r="E472" s="827"/>
      <c r="F472" s="827"/>
      <c r="G472" s="827"/>
      <c r="H472" s="827"/>
      <c r="I472" s="827"/>
      <c r="J472" s="827"/>
      <c r="K472" s="827"/>
      <c r="M472" s="6" t="s">
        <v>66</v>
      </c>
      <c r="O472" s="30">
        <v>12</v>
      </c>
      <c r="P472" s="30">
        <v>16</v>
      </c>
      <c r="Q472" s="30">
        <v>20</v>
      </c>
      <c r="R472" s="30">
        <v>22</v>
      </c>
      <c r="S472" s="30">
        <v>25</v>
      </c>
    </row>
    <row r="473" spans="1:19" x14ac:dyDescent="0.2">
      <c r="A473" s="827"/>
      <c r="B473" s="1222" t="s">
        <v>173</v>
      </c>
      <c r="C473" s="827"/>
      <c r="D473" s="827"/>
      <c r="E473" s="827"/>
      <c r="F473" s="1282">
        <f>F434/2</f>
        <v>198.11400875536913</v>
      </c>
      <c r="G473" s="1222" t="s">
        <v>111</v>
      </c>
      <c r="H473" s="1272">
        <f>F432</f>
        <v>90.390000000000015</v>
      </c>
      <c r="I473" s="1222" t="s">
        <v>174</v>
      </c>
      <c r="J473" s="1282">
        <f>F433/2</f>
        <v>26.967182320441992</v>
      </c>
      <c r="K473" s="1222" t="s">
        <v>129</v>
      </c>
      <c r="M473" s="6" t="s">
        <v>67</v>
      </c>
      <c r="O473" s="30">
        <f>IF(H467=0,100000000,TRUNC(785.4*O472^2/H467/25)*25)</f>
        <v>25</v>
      </c>
      <c r="P473" s="30">
        <f>IF(H467=0,100000000,TRUNC(785.4*P472^2/H467/25)*25)</f>
        <v>50</v>
      </c>
      <c r="Q473" s="30">
        <f>IF(H467=0,100000000,TRUNC(785.4*Q472^2/H467/25)*25)</f>
        <v>75</v>
      </c>
      <c r="R473" s="30">
        <f>IF(H467=0,100000000,TRUNC(785.4*R472^2/H467/25)*25)</f>
        <v>100</v>
      </c>
      <c r="S473" s="30">
        <f>IF(H467=0,100000000,TRUNC(785.4*S472^2/H467/25)*25)</f>
        <v>125</v>
      </c>
    </row>
    <row r="474" spans="1:19" x14ac:dyDescent="0.2">
      <c r="A474" s="827"/>
      <c r="B474" s="1222" t="s">
        <v>175</v>
      </c>
      <c r="C474" s="827"/>
      <c r="D474" s="827"/>
      <c r="E474" s="1272" t="str">
        <f>IF(F475=$J$33/2,"There is no solution to the quadratic equation.","")</f>
        <v>There is no solution to the quadratic equation.</v>
      </c>
      <c r="F474" s="827"/>
      <c r="G474" s="827"/>
      <c r="H474" s="827"/>
      <c r="I474" s="827"/>
      <c r="J474" s="827"/>
      <c r="K474" s="827"/>
      <c r="M474" s="6" t="s">
        <v>68</v>
      </c>
      <c r="O474" s="30">
        <f>785.4*O472^2/O473</f>
        <v>4523.9039999999995</v>
      </c>
      <c r="P474" s="30">
        <f>785.4*P472^2/P473</f>
        <v>4021.248</v>
      </c>
      <c r="Q474" s="30">
        <f>785.4*Q472^2/Q473</f>
        <v>4188.8</v>
      </c>
      <c r="R474" s="30">
        <f>785.4*R472^2/R473</f>
        <v>3801.3359999999998</v>
      </c>
      <c r="S474" s="30">
        <f>785.4*S472^2/S473</f>
        <v>3927</v>
      </c>
    </row>
    <row r="475" spans="1:19" x14ac:dyDescent="0.2">
      <c r="A475" s="827"/>
      <c r="B475" s="1222" t="s">
        <v>292</v>
      </c>
      <c r="C475" s="827"/>
      <c r="D475" s="827"/>
      <c r="E475" s="827"/>
      <c r="F475" s="1229">
        <f>IF(H473^2-4*J473*F473&lt;0,$J$33/2,(H473-SQRT(H473^2-4*J473*F473))/2/J473)</f>
        <v>1.675925925925926</v>
      </c>
      <c r="G475" s="1222" t="s">
        <v>24</v>
      </c>
      <c r="H475" s="827"/>
      <c r="I475" s="827"/>
      <c r="J475" s="827"/>
      <c r="K475" s="827"/>
      <c r="M475" s="6" t="s">
        <v>69</v>
      </c>
      <c r="O475" s="30">
        <f>IF(OR(O473&gt;300,O473&lt;100),100000000,O474-H467)</f>
        <v>100000000</v>
      </c>
      <c r="P475" s="30">
        <f>IF(OR(P473&gt;300,P473&lt;100),100000001,P474-H467)</f>
        <v>100000001</v>
      </c>
      <c r="Q475" s="30">
        <f>IF(OR(Q473&gt;300,Q473&lt;100),100000001,Q474-H467)</f>
        <v>100000001</v>
      </c>
      <c r="R475" s="30">
        <f>IF(OR(R473&gt;300,R473&lt;100),100000001,R474-H467)</f>
        <v>471.22411547729189</v>
      </c>
      <c r="S475" s="30">
        <f>IF(OR(S473&gt;300,S473&lt;100),100000001,S474-H467)</f>
        <v>596.8881154772921</v>
      </c>
    </row>
    <row r="476" spans="1:19" x14ac:dyDescent="0.2">
      <c r="A476" s="827"/>
      <c r="B476" s="1222" t="s">
        <v>293</v>
      </c>
      <c r="C476" s="827"/>
      <c r="D476" s="827"/>
      <c r="E476" s="827"/>
      <c r="F476" s="1229">
        <f>IF(F448-$H$65&gt;12*C468,F475+(-$E$33/2+F448-$H$65)/1000,F475+(-$E$33/2+12*C468)/1000)</f>
        <v>2.0009259259259262</v>
      </c>
      <c r="G476" s="1222" t="s">
        <v>24</v>
      </c>
      <c r="H476" s="827"/>
      <c r="I476" s="827"/>
      <c r="J476" s="827"/>
      <c r="K476" s="827"/>
      <c r="M476" s="6" t="s">
        <v>70</v>
      </c>
      <c r="O476" s="30">
        <f>IF(S473&lt;100,25,IF(MIN(O475:S475)=O475,12,IF(MIN(O475:S475)=P475,16,IF(MIN(O475:S475)=Q475,20,IF(MIN(O475:S475)=R475,22,IF(MIN(O475:S475)=S475,25,0))))))</f>
        <v>22</v>
      </c>
      <c r="P476" s="6" t="s">
        <v>71</v>
      </c>
      <c r="Q476" s="30">
        <f>IF(O476=12,O473,IF(O476=16,P473,IF(O476=20,Q473,IF(O476=22,R473,IF(O476=25,S473,0)))))</f>
        <v>100</v>
      </c>
      <c r="R476" s="6" t="s">
        <v>72</v>
      </c>
    </row>
    <row r="477" spans="1:19" x14ac:dyDescent="0.2">
      <c r="A477" s="827"/>
      <c r="B477" s="1222" t="s">
        <v>133</v>
      </c>
      <c r="C477" s="827"/>
      <c r="D477" s="827"/>
      <c r="E477" s="827"/>
      <c r="F477" s="1229">
        <f>$H$33/2-F476</f>
        <v>-0.67500000000000027</v>
      </c>
      <c r="G477" s="1272" t="str">
        <f>IF(F477&gt;=1,"m &gt; 1 m   Curtailment should be made."," m&lt; 1 m   Curtailment should not be made:   x  =  B/2")</f>
        <v xml:space="preserve"> m&lt; 1 m   Curtailment should not be made:   x  =  B/2</v>
      </c>
      <c r="H477" s="827"/>
      <c r="I477" s="827"/>
      <c r="J477" s="827"/>
      <c r="K477" s="827"/>
    </row>
    <row r="478" spans="1:19" x14ac:dyDescent="0.2">
      <c r="A478" s="827"/>
      <c r="B478" s="827"/>
      <c r="C478" s="827"/>
      <c r="D478" s="827"/>
      <c r="E478" s="827"/>
      <c r="F478" s="827"/>
      <c r="G478" s="827"/>
      <c r="H478" s="827"/>
      <c r="I478" s="827"/>
      <c r="J478" s="827"/>
      <c r="K478" s="827"/>
    </row>
    <row r="479" spans="1:19" ht="13.5" x14ac:dyDescent="0.25">
      <c r="A479" s="827"/>
      <c r="B479" s="1276" t="s">
        <v>87</v>
      </c>
      <c r="C479" s="827"/>
      <c r="D479" s="827"/>
      <c r="E479" s="827"/>
      <c r="F479" s="827"/>
      <c r="G479" s="827"/>
      <c r="H479" s="827"/>
      <c r="I479" s="827"/>
      <c r="J479" s="827"/>
      <c r="K479" s="827"/>
    </row>
    <row r="480" spans="1:19" x14ac:dyDescent="0.2">
      <c r="A480" s="827"/>
      <c r="B480" s="1222" t="s">
        <v>287</v>
      </c>
      <c r="C480" s="827"/>
      <c r="D480" s="827"/>
      <c r="E480" s="827"/>
      <c r="F480" s="997">
        <f>H465/2</f>
        <v>1665.0559422613539</v>
      </c>
      <c r="G480" s="1222" t="s">
        <v>78</v>
      </c>
      <c r="H480" s="827"/>
      <c r="I480" s="827"/>
      <c r="J480" s="827"/>
      <c r="K480" s="827"/>
    </row>
    <row r="481" spans="1:11" x14ac:dyDescent="0.2">
      <c r="A481" s="827"/>
      <c r="B481" s="1272" t="str">
        <f>IF(F480&gt;=H466,"Ast(moment)  &gt;  Ast(shrinkage)","Ast(moment)  &lt;  Ast(shrinkage)")</f>
        <v>Ast(moment)  &gt;  Ast(shrinkage)</v>
      </c>
      <c r="C481" s="827"/>
      <c r="D481" s="827"/>
      <c r="E481" s="827"/>
      <c r="F481" s="1278" t="s">
        <v>278</v>
      </c>
      <c r="G481" s="1279"/>
      <c r="H481" s="1280">
        <f>IF(OR(F477&lt;1,F480&lt;H466),$H$33/2,F476)</f>
        <v>1.325925925925926</v>
      </c>
      <c r="I481" s="1278" t="s">
        <v>115</v>
      </c>
      <c r="J481" s="827"/>
      <c r="K481" s="827"/>
    </row>
    <row r="482" spans="1:11" x14ac:dyDescent="0.2">
      <c r="A482" s="827"/>
      <c r="B482" s="827"/>
      <c r="C482" s="827"/>
      <c r="D482" s="827"/>
      <c r="E482" s="827"/>
      <c r="F482" s="827"/>
      <c r="G482" s="827"/>
      <c r="H482" s="827"/>
      <c r="I482" s="827"/>
      <c r="J482" s="827"/>
      <c r="K482" s="827"/>
    </row>
    <row r="483" spans="1:11" ht="13.5" x14ac:dyDescent="0.25">
      <c r="A483" s="827"/>
      <c r="B483" s="1276" t="s">
        <v>116</v>
      </c>
      <c r="C483" s="827"/>
      <c r="D483" s="827"/>
      <c r="E483" s="827"/>
      <c r="F483" s="827"/>
      <c r="G483" s="827"/>
      <c r="H483" s="827"/>
      <c r="I483" s="827"/>
      <c r="J483" s="827"/>
      <c r="K483" s="827"/>
    </row>
    <row r="484" spans="1:11" x14ac:dyDescent="0.2">
      <c r="A484" s="827"/>
      <c r="B484" s="1222" t="s">
        <v>173</v>
      </c>
      <c r="C484" s="827"/>
      <c r="D484" s="827"/>
      <c r="E484" s="827"/>
      <c r="F484" s="1281">
        <f>3*F434/4</f>
        <v>297.17101313305369</v>
      </c>
      <c r="G484" s="1222" t="s">
        <v>111</v>
      </c>
      <c r="H484" s="1272">
        <f>F432</f>
        <v>90.390000000000015</v>
      </c>
      <c r="I484" s="1222" t="s">
        <v>174</v>
      </c>
      <c r="J484" s="1282">
        <f>F433/2</f>
        <v>26.967182320441992</v>
      </c>
      <c r="K484" s="1222" t="s">
        <v>129</v>
      </c>
    </row>
    <row r="485" spans="1:11" x14ac:dyDescent="0.2">
      <c r="A485" s="827"/>
      <c r="B485" s="1222" t="s">
        <v>175</v>
      </c>
      <c r="C485" s="827"/>
      <c r="D485" s="827"/>
      <c r="E485" s="1272" t="str">
        <f>IF(F486=$J$33/2,"There is no solution to the quadratic equation.","")</f>
        <v>There is no solution to the quadratic equation.</v>
      </c>
      <c r="F485" s="827"/>
      <c r="G485" s="827"/>
      <c r="H485" s="827"/>
      <c r="I485" s="827"/>
      <c r="J485" s="827"/>
      <c r="K485" s="827"/>
    </row>
    <row r="486" spans="1:11" x14ac:dyDescent="0.2">
      <c r="A486" s="827"/>
      <c r="B486" s="1222" t="s">
        <v>176</v>
      </c>
      <c r="C486" s="827"/>
      <c r="D486" s="827"/>
      <c r="E486" s="827"/>
      <c r="F486" s="1229">
        <f>IF(H484^2-4*J484*F484&lt;0,$J$33/2,(H484-SQRT(H484^2-4*J484*F484))/2/J484)</f>
        <v>1.675925925925926</v>
      </c>
      <c r="G486" s="1222" t="s">
        <v>24</v>
      </c>
      <c r="H486" s="1272" t="str">
        <f>IF(F486=$J$33/2,"No curtailment should be made:   d  =  B'/2","")</f>
        <v>No curtailment should be made:   d  =  B'/2</v>
      </c>
      <c r="I486" s="827"/>
      <c r="J486" s="827"/>
      <c r="K486" s="827"/>
    </row>
    <row r="487" spans="1:11" x14ac:dyDescent="0.2">
      <c r="A487" s="827"/>
      <c r="B487" s="1222" t="s">
        <v>177</v>
      </c>
      <c r="C487" s="827"/>
      <c r="D487" s="827"/>
      <c r="E487" s="827"/>
      <c r="F487" s="1229">
        <f>IF(F448-$H$65&gt;12*C468,F486+(-$E$33/2+F448-$H$65)/1000,F486+(-$E$33/2+12*C468)/1000)</f>
        <v>2.0009259259259262</v>
      </c>
      <c r="G487" s="1222" t="s">
        <v>24</v>
      </c>
      <c r="H487" s="827"/>
      <c r="I487" s="827"/>
      <c r="J487" s="827"/>
      <c r="K487" s="827"/>
    </row>
    <row r="488" spans="1:11" x14ac:dyDescent="0.2">
      <c r="A488" s="827"/>
      <c r="B488" s="1222" t="s">
        <v>133</v>
      </c>
      <c r="C488" s="827"/>
      <c r="D488" s="827"/>
      <c r="E488" s="827"/>
      <c r="F488" s="1229">
        <f>$H$33/2-F487</f>
        <v>-0.67500000000000027</v>
      </c>
      <c r="G488" s="1272" t="str">
        <f>IF(F488&gt;=1,"m &gt; 1 m  Curtailment should be made.","m &lt; 1 m  Curtailment should not be made: x = B/2")</f>
        <v>m &lt; 1 m  Curtailment should not be made: x = B/2</v>
      </c>
      <c r="H488" s="827"/>
      <c r="I488" s="827"/>
      <c r="J488" s="827"/>
      <c r="K488" s="827"/>
    </row>
    <row r="489" spans="1:11" x14ac:dyDescent="0.2">
      <c r="A489" s="827"/>
      <c r="B489" s="827"/>
      <c r="C489" s="827"/>
      <c r="D489" s="827"/>
      <c r="E489" s="827"/>
      <c r="F489" s="827"/>
      <c r="G489" s="827"/>
      <c r="H489" s="827"/>
      <c r="I489" s="827"/>
      <c r="J489" s="827"/>
      <c r="K489" s="827"/>
    </row>
    <row r="490" spans="1:11" ht="13.5" x14ac:dyDescent="0.25">
      <c r="A490" s="827"/>
      <c r="B490" s="1276" t="s">
        <v>87</v>
      </c>
      <c r="C490" s="827"/>
      <c r="D490" s="827"/>
      <c r="E490" s="827"/>
      <c r="F490" s="827"/>
      <c r="G490" s="827"/>
      <c r="H490" s="827"/>
      <c r="I490" s="827"/>
      <c r="J490" s="827"/>
      <c r="K490" s="827"/>
    </row>
    <row r="491" spans="1:11" x14ac:dyDescent="0.2">
      <c r="A491" s="827"/>
      <c r="B491" s="1222" t="s">
        <v>287</v>
      </c>
      <c r="C491" s="827"/>
      <c r="D491" s="827"/>
      <c r="E491" s="827"/>
      <c r="F491" s="997">
        <f>H465/4</f>
        <v>832.52797113067697</v>
      </c>
      <c r="G491" s="1222" t="s">
        <v>78</v>
      </c>
      <c r="H491" s="827"/>
      <c r="I491" s="827"/>
      <c r="J491" s="827"/>
      <c r="K491" s="827"/>
    </row>
    <row r="492" spans="1:11" x14ac:dyDescent="0.2">
      <c r="A492" s="827"/>
      <c r="B492" s="1272" t="str">
        <f>IF(F491&gt;=H466,"Ast(moment)  &gt;  Ast(shrinkage)","Ast(moment)  &lt;  Ast(shrinkage)")</f>
        <v>Ast(moment)  &gt;  Ast(shrinkage)</v>
      </c>
      <c r="C492" s="827"/>
      <c r="D492" s="827"/>
      <c r="E492" s="827"/>
      <c r="F492" s="1278" t="s">
        <v>278</v>
      </c>
      <c r="G492" s="1279"/>
      <c r="H492" s="1280">
        <f>IF(OR(F488&lt;1,F491&lt;H466),$H$33/2,F487)</f>
        <v>1.325925925925926</v>
      </c>
      <c r="I492" s="1278" t="s">
        <v>115</v>
      </c>
      <c r="J492" s="827"/>
      <c r="K492" s="827"/>
    </row>
    <row r="493" spans="1:11" x14ac:dyDescent="0.2">
      <c r="A493" s="827"/>
      <c r="B493" s="827"/>
      <c r="C493" s="827"/>
      <c r="D493" s="827"/>
      <c r="E493" s="827"/>
      <c r="F493" s="827"/>
      <c r="G493" s="827"/>
      <c r="H493" s="827"/>
      <c r="I493" s="827"/>
      <c r="J493" s="827"/>
      <c r="K493" s="827"/>
    </row>
    <row r="494" spans="1:11" ht="13.5" x14ac:dyDescent="0.25">
      <c r="A494" s="1284" t="s">
        <v>178</v>
      </c>
      <c r="B494" s="826"/>
      <c r="C494" s="826"/>
      <c r="D494" s="826"/>
      <c r="E494" s="827"/>
      <c r="F494" s="827"/>
      <c r="G494" s="827"/>
      <c r="H494" s="827"/>
      <c r="I494" s="827"/>
      <c r="J494" s="827"/>
      <c r="K494" s="827"/>
    </row>
    <row r="495" spans="1:11" x14ac:dyDescent="0.2">
      <c r="A495" s="827"/>
      <c r="B495" s="827"/>
      <c r="C495" s="827"/>
      <c r="D495" s="827"/>
      <c r="E495" s="827"/>
      <c r="F495" s="827"/>
      <c r="G495" s="827"/>
      <c r="H495" s="827"/>
      <c r="I495" s="827"/>
      <c r="J495" s="827"/>
      <c r="K495" s="827"/>
    </row>
    <row r="496" spans="1:11" ht="13.5" x14ac:dyDescent="0.25">
      <c r="A496" s="827"/>
      <c r="B496" s="1276" t="s">
        <v>54</v>
      </c>
      <c r="C496" s="827"/>
      <c r="D496" s="827"/>
      <c r="E496" s="827"/>
      <c r="F496" s="827"/>
      <c r="G496" s="827"/>
      <c r="H496" s="827"/>
      <c r="I496" s="827"/>
      <c r="J496" s="827"/>
      <c r="K496" s="827"/>
    </row>
    <row r="497" spans="1:19" x14ac:dyDescent="0.2">
      <c r="A497" s="827"/>
      <c r="B497" s="1222" t="s">
        <v>135</v>
      </c>
      <c r="C497" s="827"/>
      <c r="D497" s="827"/>
      <c r="E497" s="827"/>
      <c r="F497" s="1229">
        <f>$H$49*$F$34*$G$46</f>
        <v>59.490277871547406</v>
      </c>
      <c r="G497" s="1222" t="s">
        <v>35</v>
      </c>
      <c r="H497" s="827"/>
      <c r="I497" s="827"/>
      <c r="J497" s="827"/>
      <c r="K497" s="827"/>
    </row>
    <row r="498" spans="1:19" x14ac:dyDescent="0.2">
      <c r="A498" s="827"/>
      <c r="B498" s="827"/>
      <c r="C498" s="827"/>
      <c r="D498" s="827"/>
      <c r="E498" s="827"/>
      <c r="F498" s="878"/>
      <c r="G498" s="827"/>
      <c r="H498" s="827"/>
      <c r="I498" s="827"/>
      <c r="J498" s="827"/>
      <c r="K498" s="827"/>
    </row>
    <row r="499" spans="1:19" x14ac:dyDescent="0.2">
      <c r="A499" s="827"/>
      <c r="B499" s="1222" t="s">
        <v>136</v>
      </c>
      <c r="C499" s="827"/>
      <c r="D499" s="827"/>
      <c r="E499" s="827"/>
      <c r="F499" s="1229">
        <f>F497*$F$34/2</f>
        <v>171.03454888069879</v>
      </c>
      <c r="G499" s="1222" t="s">
        <v>57</v>
      </c>
      <c r="H499" s="827"/>
      <c r="I499" s="827"/>
      <c r="J499" s="827"/>
      <c r="K499" s="827"/>
    </row>
    <row r="500" spans="1:19" x14ac:dyDescent="0.2">
      <c r="A500" s="827"/>
      <c r="B500" s="1222" t="s">
        <v>137</v>
      </c>
      <c r="C500" s="827"/>
      <c r="D500" s="827"/>
      <c r="E500" s="827"/>
      <c r="F500" s="1229">
        <f>F497*$F$34^2/6</f>
        <v>327.81621868800602</v>
      </c>
      <c r="G500" s="1222" t="s">
        <v>58</v>
      </c>
      <c r="H500" s="827"/>
      <c r="I500" s="827"/>
      <c r="J500" s="827"/>
      <c r="K500" s="827"/>
    </row>
    <row r="501" spans="1:19" x14ac:dyDescent="0.2">
      <c r="A501" s="827"/>
      <c r="B501" s="827"/>
      <c r="C501" s="827"/>
      <c r="D501" s="827"/>
      <c r="E501" s="827"/>
      <c r="F501" s="827"/>
      <c r="G501" s="827"/>
      <c r="H501" s="827"/>
      <c r="I501" s="827"/>
      <c r="J501" s="827"/>
      <c r="K501" s="827"/>
    </row>
    <row r="502" spans="1:19" ht="13.5" x14ac:dyDescent="0.25">
      <c r="A502" s="827"/>
      <c r="B502" s="1276" t="s">
        <v>59</v>
      </c>
      <c r="C502" s="827"/>
      <c r="D502" s="827"/>
      <c r="E502" s="827"/>
      <c r="F502" s="827"/>
      <c r="G502" s="827"/>
      <c r="H502" s="827"/>
      <c r="I502" s="827"/>
      <c r="J502" s="827"/>
      <c r="K502" s="827"/>
    </row>
    <row r="503" spans="1:19" x14ac:dyDescent="0.2">
      <c r="A503" s="827"/>
      <c r="B503" s="1222" t="s">
        <v>279</v>
      </c>
      <c r="C503" s="827"/>
      <c r="D503" s="827"/>
      <c r="E503" s="827"/>
      <c r="F503" s="997">
        <f>SQRT(F500/$G$71)*1000</f>
        <v>511.49418245561327</v>
      </c>
      <c r="G503" s="1222" t="s">
        <v>43</v>
      </c>
      <c r="H503" s="827"/>
      <c r="I503" s="827"/>
      <c r="J503" s="827"/>
      <c r="K503" s="827"/>
    </row>
    <row r="504" spans="1:19" x14ac:dyDescent="0.2">
      <c r="A504" s="827"/>
      <c r="B504" s="1222" t="s">
        <v>280</v>
      </c>
      <c r="C504" s="827"/>
      <c r="D504" s="827"/>
      <c r="E504" s="827"/>
      <c r="F504" s="997">
        <f>F499/$H$57*1000</f>
        <v>399.00162398557023</v>
      </c>
      <c r="G504" s="1222" t="s">
        <v>43</v>
      </c>
      <c r="H504" s="827"/>
      <c r="I504" s="827"/>
      <c r="J504" s="827"/>
      <c r="K504" s="827"/>
    </row>
    <row r="505" spans="1:19" x14ac:dyDescent="0.2">
      <c r="A505" s="827"/>
      <c r="B505" s="827"/>
      <c r="C505" s="827"/>
      <c r="D505" s="827"/>
      <c r="E505" s="827"/>
      <c r="F505" s="827"/>
      <c r="G505" s="827"/>
      <c r="H505" s="827"/>
      <c r="I505" s="827"/>
      <c r="J505" s="827"/>
      <c r="K505" s="827"/>
    </row>
    <row r="506" spans="1:19" x14ac:dyDescent="0.2">
      <c r="A506" s="827"/>
      <c r="B506" s="1222" t="s">
        <v>138</v>
      </c>
      <c r="C506" s="827"/>
      <c r="D506" s="827"/>
      <c r="E506" s="827"/>
      <c r="F506" s="997">
        <f>MAX(F503:F504)+$H$65</f>
        <v>586.49418245561333</v>
      </c>
      <c r="G506" s="1222" t="s">
        <v>43</v>
      </c>
      <c r="H506" s="827"/>
      <c r="I506" s="827"/>
      <c r="J506" s="827"/>
      <c r="K506" s="827"/>
      <c r="M506" s="6" t="s">
        <v>66</v>
      </c>
      <c r="O506" s="30">
        <v>12</v>
      </c>
      <c r="P506" s="30">
        <v>16</v>
      </c>
      <c r="Q506" s="30">
        <v>20</v>
      </c>
      <c r="R506" s="30">
        <v>22</v>
      </c>
      <c r="S506" s="30">
        <v>25</v>
      </c>
    </row>
    <row r="507" spans="1:19" x14ac:dyDescent="0.2">
      <c r="A507" s="827"/>
      <c r="B507" s="1222" t="s">
        <v>139</v>
      </c>
      <c r="C507" s="827"/>
      <c r="D507" s="827"/>
      <c r="E507" s="827"/>
      <c r="F507" s="997">
        <f>$E$34</f>
        <v>684.31372549019613</v>
      </c>
      <c r="G507" s="1222" t="s">
        <v>43</v>
      </c>
      <c r="H507" s="827"/>
      <c r="I507" s="827"/>
      <c r="J507" s="827"/>
      <c r="K507" s="827"/>
      <c r="M507" s="6" t="s">
        <v>67</v>
      </c>
      <c r="O507" s="30">
        <f>IF(H512=0,100000000,TRUNC(785.4*O506^2/H512/25)*25)</f>
        <v>100</v>
      </c>
      <c r="P507" s="30">
        <f>IF(H512=0,100000000,TRUNC(785.4*P506^2/H512/25)*25)</f>
        <v>200</v>
      </c>
      <c r="Q507" s="30">
        <f>IF(H512=0,100000000,TRUNC(785.4*Q506^2/H512/25)*25)</f>
        <v>325</v>
      </c>
      <c r="R507" s="30">
        <f>IF(H512=0,100000000,TRUNC(785.4*R506^2/H512/25)*25)</f>
        <v>400</v>
      </c>
      <c r="S507" s="30">
        <f>IF(H512=0,100000000,TRUNC(785.4*S506^2/H512/25)*25)</f>
        <v>500</v>
      </c>
    </row>
    <row r="508" spans="1:19" x14ac:dyDescent="0.2">
      <c r="A508" s="827"/>
      <c r="B508" s="1272" t="str">
        <f>IF(F507&gt;=F506,"ta  &gt;  tr     Design is OK.","ta  &lt;  tr     Design is Not OK.")</f>
        <v>ta  &gt;  tr     Design is OK.</v>
      </c>
      <c r="C508" s="827"/>
      <c r="D508" s="827"/>
      <c r="E508" s="827"/>
      <c r="F508" s="1222" t="s">
        <v>64</v>
      </c>
      <c r="G508" s="827"/>
      <c r="H508" s="827"/>
      <c r="I508" s="827"/>
      <c r="J508" s="827"/>
      <c r="K508" s="827"/>
      <c r="M508" s="6" t="s">
        <v>68</v>
      </c>
      <c r="O508" s="30">
        <f>785.4*O506^2/O507</f>
        <v>1130.9759999999999</v>
      </c>
      <c r="P508" s="30">
        <f>785.4*P506^2/P507</f>
        <v>1005.312</v>
      </c>
      <c r="Q508" s="30">
        <f>785.4*Q506^2/Q507</f>
        <v>966.64615384615388</v>
      </c>
      <c r="R508" s="30">
        <f>785.4*R506^2/R507</f>
        <v>950.33399999999995</v>
      </c>
      <c r="S508" s="30">
        <f>785.4*S506^2/S507</f>
        <v>981.75</v>
      </c>
    </row>
    <row r="509" spans="1:19" x14ac:dyDescent="0.2">
      <c r="A509" s="827"/>
      <c r="B509" s="1292" t="str">
        <f>IF(F507&gt;1.5*F506,"WARNING:  Actual Member Thickness is considerably larger (&gt;50%) than required.","")</f>
        <v/>
      </c>
      <c r="C509" s="827"/>
      <c r="D509" s="827"/>
      <c r="E509" s="827"/>
      <c r="F509" s="827"/>
      <c r="G509" s="827"/>
      <c r="H509" s="827"/>
      <c r="I509" s="827"/>
      <c r="J509" s="827"/>
      <c r="K509" s="827"/>
      <c r="M509" s="6" t="s">
        <v>69</v>
      </c>
      <c r="O509" s="30">
        <f>IF(OR(O507&gt;300,O507&lt;100),100000000,O508-H512)</f>
        <v>180.97599999999989</v>
      </c>
      <c r="P509" s="30">
        <f>IF(OR(P507&gt;300,P507&lt;100),100000001,P508-H512)</f>
        <v>55.312000000000012</v>
      </c>
      <c r="Q509" s="30">
        <f>IF(OR(Q507&gt;300,Q507&lt;100),100000001,Q508-H512)</f>
        <v>100000001</v>
      </c>
      <c r="R509" s="30">
        <f>IF(OR(R507&gt;300,R507&lt;100),100000001,R508-H512)</f>
        <v>100000001</v>
      </c>
      <c r="S509" s="30">
        <f>IF(OR(S507&gt;300,S507&lt;100),100000001,S508-H512)</f>
        <v>100000001</v>
      </c>
    </row>
    <row r="510" spans="1:19" ht="13.5" x14ac:dyDescent="0.25">
      <c r="A510" s="827"/>
      <c r="B510" s="1293" t="s">
        <v>123</v>
      </c>
      <c r="C510" s="827"/>
      <c r="D510" s="827"/>
      <c r="E510" s="827"/>
      <c r="F510" s="827"/>
      <c r="G510" s="827"/>
      <c r="H510" s="827"/>
      <c r="I510" s="827"/>
      <c r="J510" s="827"/>
      <c r="K510" s="827"/>
      <c r="M510" s="6" t="s">
        <v>70</v>
      </c>
      <c r="O510" s="30">
        <f>IF(S507&lt;100,25,IF(MIN(O509:S509)=O509,12,IF(MIN(O509:S509)=P509,16,IF(MIN(O509:S509)=Q509,20,IF(MIN(O509:S509)=R509,22,IF(MIN(O509:S509)=S509,25,0))))))</f>
        <v>16</v>
      </c>
      <c r="P510" s="6" t="s">
        <v>71</v>
      </c>
      <c r="Q510" s="30">
        <f>IF(O510=12,O507,IF(O510=16,P507,IF(O510=20,Q507,IF(O510=22,R507,IF(O510=25,S507,0)))))</f>
        <v>200</v>
      </c>
      <c r="R510" s="6" t="s">
        <v>72</v>
      </c>
    </row>
    <row r="511" spans="1:19" x14ac:dyDescent="0.2">
      <c r="A511" s="827"/>
      <c r="B511" s="1222" t="s">
        <v>140</v>
      </c>
      <c r="C511" s="827"/>
      <c r="D511" s="827"/>
      <c r="E511" s="827"/>
      <c r="F511" s="1229">
        <f>$G$42</f>
        <v>16.322989922192562</v>
      </c>
      <c r="G511" s="1222" t="s">
        <v>24</v>
      </c>
      <c r="H511" s="827"/>
      <c r="I511" s="827"/>
      <c r="J511" s="827"/>
      <c r="K511" s="827"/>
    </row>
    <row r="512" spans="1:19" x14ac:dyDescent="0.2">
      <c r="A512" s="827"/>
      <c r="B512" s="1222" t="s">
        <v>141</v>
      </c>
      <c r="C512" s="827"/>
      <c r="D512" s="827"/>
      <c r="E512" s="827"/>
      <c r="F512" s="827"/>
      <c r="G512" s="827"/>
      <c r="H512" s="997">
        <f>IF(AND(F511&lt;=9,F507&lt;380),$C$157*F507*1000,IF(F511&lt;=9,$C$157*380000,IF(F507&lt;380,$C$158*F507*1000,$C$158*380000)))</f>
        <v>950</v>
      </c>
      <c r="I512" s="1222" t="s">
        <v>78</v>
      </c>
      <c r="J512" s="827"/>
      <c r="K512" s="827"/>
    </row>
    <row r="513" spans="1:19" x14ac:dyDescent="0.2">
      <c r="A513" s="827"/>
      <c r="B513" s="1222" t="s">
        <v>79</v>
      </c>
      <c r="C513" s="997">
        <f>IF(D975=0,O510,D975)</f>
        <v>16</v>
      </c>
      <c r="D513" s="1222" t="s">
        <v>71</v>
      </c>
      <c r="E513" s="997">
        <f>IF(D975=0,IF(Q510&gt;300,300,Q510),E975)</f>
        <v>200</v>
      </c>
      <c r="F513" s="1222" t="s">
        <v>290</v>
      </c>
      <c r="G513" s="827"/>
      <c r="H513" s="997">
        <f>785.4*C513^2/E513</f>
        <v>1005.312</v>
      </c>
      <c r="I513" s="1222" t="s">
        <v>81</v>
      </c>
      <c r="J513" s="827"/>
      <c r="K513" s="827"/>
    </row>
    <row r="514" spans="1:19" x14ac:dyDescent="0.2">
      <c r="A514" s="827"/>
      <c r="B514" s="1222" t="s">
        <v>142</v>
      </c>
      <c r="C514" s="827"/>
      <c r="D514" s="827"/>
      <c r="E514" s="827"/>
      <c r="F514" s="827"/>
      <c r="G514" s="827"/>
      <c r="H514" s="997">
        <f>IF(AND(F511&lt;=9,F507&lt;380),$D$157*F507*1000,IF(F511&lt;=9,$D$157*380000,IF(F507&lt;380,$D$158*F507*1000,$D$158*380000)))</f>
        <v>570</v>
      </c>
      <c r="I514" s="1222" t="s">
        <v>78</v>
      </c>
      <c r="J514" s="827"/>
      <c r="K514" s="827"/>
      <c r="M514" s="6" t="s">
        <v>66</v>
      </c>
      <c r="O514" s="30">
        <v>12</v>
      </c>
      <c r="P514" s="30">
        <v>16</v>
      </c>
      <c r="Q514" s="30">
        <v>20</v>
      </c>
      <c r="R514" s="30">
        <v>22</v>
      </c>
      <c r="S514" s="30">
        <v>25</v>
      </c>
    </row>
    <row r="515" spans="1:19" x14ac:dyDescent="0.2">
      <c r="A515" s="827"/>
      <c r="B515" s="1222" t="s">
        <v>79</v>
      </c>
      <c r="C515" s="997">
        <v>16</v>
      </c>
      <c r="D515" s="1222" t="s">
        <v>71</v>
      </c>
      <c r="E515" s="997">
        <v>250</v>
      </c>
      <c r="F515" s="1222" t="s">
        <v>290</v>
      </c>
      <c r="G515" s="827"/>
      <c r="H515" s="997">
        <f>785.4*C515^2/E515</f>
        <v>804.24959999999999</v>
      </c>
      <c r="I515" s="1222" t="s">
        <v>81</v>
      </c>
      <c r="J515" s="827"/>
      <c r="K515" s="827"/>
      <c r="M515" s="6" t="s">
        <v>67</v>
      </c>
      <c r="O515" s="30">
        <f>IF(H514=0,100000000,TRUNC(785.4*O514^2/H514/25)*25)</f>
        <v>175</v>
      </c>
      <c r="P515" s="30">
        <f>IF(H514=0,100000000,TRUNC(785.4*P514^2/H514/25)*25)</f>
        <v>350</v>
      </c>
      <c r="Q515" s="30">
        <f>IF(H514=0,100000000,TRUNC(785.4*Q514^2/H514/25)*25)</f>
        <v>550</v>
      </c>
      <c r="R515" s="30">
        <f>IF(H514=0,100000000,TRUNC(785.4*R514^2/H514/25)*25)</f>
        <v>650</v>
      </c>
      <c r="S515" s="30">
        <f>IF(H514=0,100000000,TRUNC(785.4*S514^2/H514/25)*25)</f>
        <v>850</v>
      </c>
    </row>
    <row r="516" spans="1:19" x14ac:dyDescent="0.2">
      <c r="A516" s="827"/>
      <c r="B516" s="827"/>
      <c r="C516" s="827"/>
      <c r="D516" s="827"/>
      <c r="E516" s="827"/>
      <c r="F516" s="827"/>
      <c r="G516" s="827"/>
      <c r="H516" s="827"/>
      <c r="I516" s="827"/>
      <c r="J516" s="827"/>
      <c r="K516" s="827"/>
      <c r="M516" s="6" t="s">
        <v>68</v>
      </c>
      <c r="O516" s="30">
        <f>785.4*O514^2/O515</f>
        <v>646.27199999999993</v>
      </c>
      <c r="P516" s="30">
        <f>785.4*P514^2/P515</f>
        <v>574.46399999999994</v>
      </c>
      <c r="Q516" s="30">
        <f>785.4*Q514^2/Q515</f>
        <v>571.20000000000005</v>
      </c>
      <c r="R516" s="30">
        <f>785.4*R514^2/R515</f>
        <v>584.82092307692301</v>
      </c>
      <c r="S516" s="30">
        <f>785.4*S514^2/S515</f>
        <v>577.5</v>
      </c>
    </row>
    <row r="517" spans="1:19" ht="13.5" x14ac:dyDescent="0.25">
      <c r="A517" s="827"/>
      <c r="B517" s="1276" t="s">
        <v>143</v>
      </c>
      <c r="C517" s="827"/>
      <c r="D517" s="827"/>
      <c r="E517" s="827"/>
      <c r="F517" s="827"/>
      <c r="G517" s="827"/>
      <c r="H517" s="827"/>
      <c r="I517" s="827"/>
      <c r="J517" s="827"/>
      <c r="K517" s="827"/>
      <c r="M517" s="6" t="s">
        <v>69</v>
      </c>
      <c r="O517" s="30">
        <f>IF(OR(O515&gt;300,O515&lt;100),100000000,O516-H514)</f>
        <v>76.271999999999935</v>
      </c>
      <c r="P517" s="30">
        <f>IF(OR(P515&gt;300,P515&lt;100),100000001,P516-H514)</f>
        <v>100000001</v>
      </c>
      <c r="Q517" s="30">
        <f>IF(OR(Q515&gt;300,Q515&lt;100),100000001,Q516-H514)</f>
        <v>100000001</v>
      </c>
      <c r="R517" s="30">
        <f>IF(OR(R515&gt;300,R515&lt;100),100000001,R516-H514)</f>
        <v>100000001</v>
      </c>
      <c r="S517" s="30">
        <f>IF(OR(S515&gt;300,S515&lt;100),100000001,S516-H514)</f>
        <v>100000001</v>
      </c>
    </row>
    <row r="518" spans="1:19" x14ac:dyDescent="0.2">
      <c r="A518" s="827"/>
      <c r="B518" s="1222" t="s">
        <v>144</v>
      </c>
      <c r="C518" s="827"/>
      <c r="D518" s="827"/>
      <c r="E518" s="827"/>
      <c r="F518" s="1229">
        <f>$F$34+$G$34/1000</f>
        <v>6.4843137254901961</v>
      </c>
      <c r="G518" s="1222" t="s">
        <v>24</v>
      </c>
      <c r="H518" s="827"/>
      <c r="I518" s="827"/>
      <c r="J518" s="827"/>
      <c r="K518" s="827"/>
      <c r="M518" s="6" t="s">
        <v>70</v>
      </c>
      <c r="O518" s="30">
        <f>IF(S515&lt;100,25,IF(MIN(O517:S517)=O517,12,IF(MIN(O517:S517)=P517,16,IF(MIN(O517:S517)=Q517,20,IF(MIN(O517:S517)=R517,22,IF(MIN(O517:S517)=S517,25,0))))))</f>
        <v>12</v>
      </c>
      <c r="P518" s="6" t="s">
        <v>71</v>
      </c>
      <c r="Q518" s="30">
        <f>IF(O518=12,O515,IF(O518=16,P515,IF(O518=20,Q515,IF(O518=22,R515,IF(O518=25,S515,0)))))</f>
        <v>175</v>
      </c>
      <c r="R518" s="6" t="s">
        <v>72</v>
      </c>
    </row>
    <row r="519" spans="1:19" x14ac:dyDescent="0.2">
      <c r="A519" s="827"/>
      <c r="B519" s="1222" t="s">
        <v>84</v>
      </c>
      <c r="C519" s="827"/>
      <c r="D519" s="827"/>
      <c r="E519" s="827"/>
      <c r="F519" s="827"/>
      <c r="G519" s="827"/>
      <c r="H519" s="997">
        <f>IF(AND(F518&lt;=9,F507&lt;380),$C$157*F507*1000,IF(F518&lt;=9,$C$157*380000,IF(F507&lt;380,$C$158*F507*1000,$C$158*380000)))</f>
        <v>760</v>
      </c>
      <c r="I519" s="1222" t="s">
        <v>78</v>
      </c>
      <c r="J519" s="827"/>
      <c r="K519" s="827"/>
    </row>
    <row r="520" spans="1:19" x14ac:dyDescent="0.2">
      <c r="A520" s="827"/>
      <c r="B520" s="1222" t="s">
        <v>79</v>
      </c>
      <c r="C520" s="997">
        <f>IF(D995=0,O526,D995)</f>
        <v>16</v>
      </c>
      <c r="D520" s="1222" t="s">
        <v>71</v>
      </c>
      <c r="E520" s="997">
        <v>200</v>
      </c>
      <c r="F520" s="1222" t="s">
        <v>290</v>
      </c>
      <c r="G520" s="827"/>
      <c r="H520" s="997">
        <f>785.4*C520^2/E520</f>
        <v>1005.312</v>
      </c>
      <c r="I520" s="1222" t="s">
        <v>81</v>
      </c>
      <c r="J520" s="827"/>
      <c r="K520" s="827"/>
    </row>
    <row r="521" spans="1:19" x14ac:dyDescent="0.2">
      <c r="A521" s="827"/>
      <c r="B521" s="827"/>
      <c r="C521" s="827"/>
      <c r="D521" s="827"/>
      <c r="E521" s="827"/>
      <c r="F521" s="827"/>
      <c r="G521" s="827"/>
      <c r="H521" s="827"/>
      <c r="I521" s="827"/>
      <c r="J521" s="827"/>
      <c r="K521" s="827"/>
    </row>
    <row r="522" spans="1:19" ht="13.5" x14ac:dyDescent="0.25">
      <c r="A522" s="827"/>
      <c r="B522" s="1276" t="s">
        <v>145</v>
      </c>
      <c r="C522" s="827"/>
      <c r="D522" s="827"/>
      <c r="E522" s="827"/>
      <c r="F522" s="827"/>
      <c r="G522" s="827"/>
      <c r="H522" s="827"/>
      <c r="I522" s="827"/>
      <c r="J522" s="827"/>
      <c r="K522" s="827"/>
      <c r="M522" s="6" t="s">
        <v>66</v>
      </c>
      <c r="O522" s="30">
        <v>12</v>
      </c>
      <c r="P522" s="30">
        <v>16</v>
      </c>
      <c r="Q522" s="30">
        <v>20</v>
      </c>
      <c r="R522" s="30">
        <v>22</v>
      </c>
      <c r="S522" s="30">
        <v>25</v>
      </c>
    </row>
    <row r="523" spans="1:19" x14ac:dyDescent="0.2">
      <c r="A523" s="827"/>
      <c r="B523" s="1222" t="s">
        <v>146</v>
      </c>
      <c r="C523" s="827"/>
      <c r="D523" s="827"/>
      <c r="E523" s="827"/>
      <c r="F523" s="997">
        <f>F500/$H$54/$G$70/(F507-$H$65)*1000000000</f>
        <v>3231.0051551714264</v>
      </c>
      <c r="G523" s="1222" t="s">
        <v>78</v>
      </c>
      <c r="H523" s="827"/>
      <c r="I523" s="827"/>
      <c r="J523" s="827"/>
      <c r="K523" s="827"/>
      <c r="M523" s="6" t="s">
        <v>67</v>
      </c>
      <c r="O523" s="30">
        <f>IF(H519=0,100000000,TRUNC(785.4*O522^2/H519/25)*25)</f>
        <v>125</v>
      </c>
      <c r="P523" s="30">
        <f>IF(H519=0,100000000,TRUNC(785.4*P522^2/H519/25)*25)</f>
        <v>250</v>
      </c>
      <c r="Q523" s="30">
        <f>IF(H519=0,100000000,TRUNC(785.4*Q522^2/H519/25)*25)</f>
        <v>400</v>
      </c>
      <c r="R523" s="30">
        <f>IF(H519=0,100000000,TRUNC(785.4*R522^2/H519/25)*25)</f>
        <v>500</v>
      </c>
      <c r="S523" s="30">
        <f>IF(H519=0,100000000,TRUNC(785.4*S522^2/H519/25)*25)</f>
        <v>625</v>
      </c>
    </row>
    <row r="524" spans="1:19" x14ac:dyDescent="0.2">
      <c r="A524" s="827"/>
      <c r="B524" s="1222" t="s">
        <v>147</v>
      </c>
      <c r="C524" s="827"/>
      <c r="D524" s="827"/>
      <c r="E524" s="827"/>
      <c r="F524" s="997">
        <f>IF(AND(F518&lt;=9,F507&lt;380),$D$157*F507*1000,IF(F518&lt;=9,$D$157*380000,IF(F507&lt;380,$D$158*F507*1000,$D$158*380000)))</f>
        <v>380</v>
      </c>
      <c r="G524" s="1222" t="s">
        <v>78</v>
      </c>
      <c r="H524" s="827"/>
      <c r="I524" s="827"/>
      <c r="J524" s="827"/>
      <c r="K524" s="827"/>
      <c r="M524" s="6" t="s">
        <v>68</v>
      </c>
      <c r="O524" s="30">
        <f>785.4*O522^2/O523</f>
        <v>904.78079999999989</v>
      </c>
      <c r="P524" s="30">
        <f>785.4*P522^2/P523</f>
        <v>804.24959999999999</v>
      </c>
      <c r="Q524" s="30">
        <f>785.4*Q522^2/Q523</f>
        <v>785.4</v>
      </c>
      <c r="R524" s="30">
        <f>785.4*R522^2/R523</f>
        <v>760.2672</v>
      </c>
      <c r="S524" s="30">
        <f>785.4*S522^2/S523</f>
        <v>785.4</v>
      </c>
    </row>
    <row r="525" spans="1:19" x14ac:dyDescent="0.2">
      <c r="A525" s="827"/>
      <c r="B525" s="1222" t="s">
        <v>88</v>
      </c>
      <c r="C525" s="827"/>
      <c r="D525" s="827"/>
      <c r="E525" s="827"/>
      <c r="F525" s="827"/>
      <c r="G525" s="827"/>
      <c r="H525" s="997">
        <f>MAX(F523:F524)</f>
        <v>3231.0051551714264</v>
      </c>
      <c r="I525" s="1222" t="s">
        <v>89</v>
      </c>
      <c r="J525" s="827"/>
      <c r="K525" s="827"/>
      <c r="M525" s="6" t="s">
        <v>69</v>
      </c>
      <c r="O525" s="30">
        <f>IF(OR(O523&gt;300,O523&lt;100),100000000,O524-H519)</f>
        <v>144.78079999999989</v>
      </c>
      <c r="P525" s="30">
        <f>IF(OR(P523&gt;300,P523&lt;100),100000001,P524-H519)</f>
        <v>44.249599999999987</v>
      </c>
      <c r="Q525" s="30">
        <f>IF(OR(Q523&gt;300,Q523&lt;100),100000001,Q524-H519)</f>
        <v>100000001</v>
      </c>
      <c r="R525" s="30">
        <f>IF(OR(R523&gt;300,R523&lt;100),100000001,R524-H519)</f>
        <v>100000001</v>
      </c>
      <c r="S525" s="30">
        <f>IF(OR(S523&gt;300,S523&lt;100),100000001,S524-H519)</f>
        <v>100000001</v>
      </c>
    </row>
    <row r="526" spans="1:19" x14ac:dyDescent="0.2">
      <c r="A526" s="827"/>
      <c r="B526" s="1277" t="s">
        <v>79</v>
      </c>
      <c r="C526" s="1031">
        <v>25</v>
      </c>
      <c r="D526" s="1277" t="s">
        <v>71</v>
      </c>
      <c r="E526" s="1031">
        <v>125</v>
      </c>
      <c r="F526" s="1277" t="s">
        <v>80</v>
      </c>
      <c r="G526" s="851"/>
      <c r="H526" s="1031">
        <f>785.4*C526^2/E526</f>
        <v>3927</v>
      </c>
      <c r="I526" s="1277" t="s">
        <v>81</v>
      </c>
      <c r="J526" s="851"/>
      <c r="K526" s="827"/>
      <c r="M526" s="6" t="s">
        <v>70</v>
      </c>
      <c r="O526" s="30">
        <f>IF(S523&lt;100,25,IF(MIN(O525:S525)=O525,12,IF(MIN(O525:S525)=P525,16,IF(MIN(O525:S525)=Q525,20,IF(MIN(O525:S525)=R525,22,IF(MIN(O525:S525)=S525,25,0))))))</f>
        <v>16</v>
      </c>
      <c r="P526" s="6" t="s">
        <v>71</v>
      </c>
      <c r="Q526" s="30">
        <f>IF(O526=12,O523,IF(O526=16,P523,IF(O526=20,Q523,IF(O526=22,R523,IF(O526=25,S523,0)))))</f>
        <v>250</v>
      </c>
      <c r="R526" s="6" t="s">
        <v>72</v>
      </c>
    </row>
    <row r="527" spans="1:19" x14ac:dyDescent="0.2">
      <c r="A527" s="827"/>
      <c r="B527" s="827"/>
      <c r="C527" s="827"/>
      <c r="D527" s="827"/>
      <c r="E527" s="827"/>
      <c r="F527" s="827"/>
      <c r="G527" s="827"/>
      <c r="H527" s="827"/>
      <c r="I527" s="827"/>
      <c r="J527" s="827"/>
      <c r="K527" s="827"/>
    </row>
    <row r="528" spans="1:19" ht="13.5" x14ac:dyDescent="0.25">
      <c r="A528" s="827"/>
      <c r="B528" s="1276" t="s">
        <v>90</v>
      </c>
      <c r="C528" s="827"/>
      <c r="D528" s="827"/>
      <c r="E528" s="827"/>
      <c r="F528" s="827"/>
      <c r="G528" s="827"/>
      <c r="H528" s="827"/>
      <c r="I528" s="827"/>
      <c r="J528" s="827"/>
      <c r="K528" s="827"/>
    </row>
    <row r="529" spans="1:19" x14ac:dyDescent="0.2">
      <c r="A529" s="827"/>
      <c r="B529" s="1222" t="s">
        <v>148</v>
      </c>
      <c r="C529" s="827"/>
      <c r="D529" s="1229">
        <f>$H$59/C526</f>
        <v>672.79752674931865</v>
      </c>
      <c r="E529" s="1222" t="s">
        <v>149</v>
      </c>
      <c r="F529" s="997">
        <f>$H$60</f>
        <v>1103</v>
      </c>
      <c r="G529" s="1222" t="s">
        <v>35</v>
      </c>
      <c r="H529" s="1222" t="s">
        <v>150</v>
      </c>
      <c r="I529" s="827"/>
      <c r="J529" s="1229">
        <f>MIN(D529,F529)</f>
        <v>672.79752674931865</v>
      </c>
      <c r="K529" s="1222" t="s">
        <v>35</v>
      </c>
    </row>
    <row r="530" spans="1:19" x14ac:dyDescent="0.2">
      <c r="A530" s="827"/>
      <c r="B530" s="1222" t="s">
        <v>151</v>
      </c>
      <c r="C530" s="827"/>
      <c r="D530" s="1229">
        <f>F499/(PI()*C526/E526)/$G$70/(F507-$H$65)*1000</f>
        <v>499.83198923610291</v>
      </c>
      <c r="E530" s="1222" t="s">
        <v>35</v>
      </c>
      <c r="F530" s="1272" t="str">
        <f>IF(J529&gt;=D530,"bs(allow)  &gt;  bs(actual)    Design is OK.  &lt;-----","bs(allow)  &lt;  bs(actual)    Design is not OK.  &lt;-----")</f>
        <v>bs(allow)  &gt;  bs(actual)    Design is OK.  &lt;-----</v>
      </c>
      <c r="G530" s="827"/>
      <c r="H530" s="827"/>
      <c r="I530" s="827"/>
      <c r="J530" s="827"/>
      <c r="K530" s="827"/>
      <c r="M530" s="6" t="s">
        <v>66</v>
      </c>
      <c r="O530" s="30">
        <v>12</v>
      </c>
      <c r="P530" s="30">
        <v>16</v>
      </c>
      <c r="Q530" s="30">
        <v>20</v>
      </c>
      <c r="R530" s="30">
        <v>22</v>
      </c>
      <c r="S530" s="30">
        <v>25</v>
      </c>
    </row>
    <row r="531" spans="1:19" x14ac:dyDescent="0.2">
      <c r="A531" s="827"/>
      <c r="B531" s="827"/>
      <c r="C531" s="827"/>
      <c r="D531" s="827"/>
      <c r="E531" s="827"/>
      <c r="F531" s="827"/>
      <c r="G531" s="827"/>
      <c r="H531" s="827"/>
      <c r="I531" s="827"/>
      <c r="J531" s="827"/>
      <c r="K531" s="827"/>
      <c r="M531" s="6" t="s">
        <v>67</v>
      </c>
      <c r="O531" s="30">
        <f>IF(H525=0,100000000,TRUNC(785.4*O530^2/H525/25)*25)</f>
        <v>25</v>
      </c>
      <c r="P531" s="30">
        <f>IF(H525=0,100000000,TRUNC(785.4*P530^2/H525/25)*25)</f>
        <v>50</v>
      </c>
      <c r="Q531" s="30">
        <f>IF(H525=0,100000000,TRUNC(785.4*Q530^2/H525/25)*25)</f>
        <v>75</v>
      </c>
      <c r="R531" s="30">
        <f>IF(H525=0,100000000,TRUNC(785.4*R530^2/H525/25)*25)</f>
        <v>100</v>
      </c>
      <c r="S531" s="30">
        <f>IF(H525=0,100000000,TRUNC(785.4*S530^2/H525/25)*25)</f>
        <v>150</v>
      </c>
    </row>
    <row r="532" spans="1:19" ht="13.5" x14ac:dyDescent="0.25">
      <c r="A532" s="827"/>
      <c r="B532" s="1276" t="s">
        <v>93</v>
      </c>
      <c r="C532" s="827"/>
      <c r="D532" s="827"/>
      <c r="E532" s="827"/>
      <c r="F532" s="827"/>
      <c r="G532" s="827"/>
      <c r="H532" s="827"/>
      <c r="I532" s="827"/>
      <c r="J532" s="827"/>
      <c r="K532" s="827"/>
      <c r="M532" s="6" t="s">
        <v>68</v>
      </c>
      <c r="O532" s="30">
        <f>785.4*O530^2/O531</f>
        <v>4523.9039999999995</v>
      </c>
      <c r="P532" s="30">
        <f>785.4*P530^2/P531</f>
        <v>4021.248</v>
      </c>
      <c r="Q532" s="30">
        <f>785.4*Q530^2/Q531</f>
        <v>4188.8</v>
      </c>
      <c r="R532" s="30">
        <f>785.4*R530^2/R531</f>
        <v>3801.3359999999998</v>
      </c>
      <c r="S532" s="30">
        <f>785.4*S530^2/S531</f>
        <v>3272.5</v>
      </c>
    </row>
    <row r="533" spans="1:19" ht="13.5" x14ac:dyDescent="0.25">
      <c r="A533" s="827"/>
      <c r="B533" s="1276" t="s">
        <v>94</v>
      </c>
      <c r="C533" s="827"/>
      <c r="D533" s="827"/>
      <c r="E533" s="827"/>
      <c r="F533" s="827"/>
      <c r="G533" s="827"/>
      <c r="H533" s="827"/>
      <c r="I533" s="827"/>
      <c r="J533" s="827"/>
      <c r="K533" s="827"/>
      <c r="M533" s="6" t="s">
        <v>69</v>
      </c>
      <c r="O533" s="30">
        <f>IF(OR(O531&gt;300,O531&lt;100),100000000,O532-H525)</f>
        <v>100000000</v>
      </c>
      <c r="P533" s="30">
        <f>IF(OR(P531&gt;300,P531&lt;100),100000001,P532-H525)</f>
        <v>100000001</v>
      </c>
      <c r="Q533" s="30">
        <f>IF(OR(Q531&gt;300,Q531&lt;100),100000001,Q532-H525)</f>
        <v>100000001</v>
      </c>
      <c r="R533" s="30">
        <f>IF(OR(R531&gt;300,R531&lt;100),100000001,R532-H525)</f>
        <v>570.33084482857339</v>
      </c>
      <c r="S533" s="30">
        <f>IF(OR(S531&gt;300,S531&lt;100),100000001,S532-H525)</f>
        <v>41.494844828573605</v>
      </c>
    </row>
    <row r="534" spans="1:19" x14ac:dyDescent="0.2">
      <c r="A534" s="827"/>
      <c r="B534" s="1222" t="s">
        <v>156</v>
      </c>
      <c r="C534" s="827"/>
      <c r="D534" s="1272">
        <f>1/2*H526*$H$54*$G$70*($D$34-$H$65)/1000000000</f>
        <v>73.563985143607496</v>
      </c>
      <c r="E534" s="1222" t="s">
        <v>99</v>
      </c>
      <c r="F534" s="1282">
        <f>1/2*H526*$H$54*$G$70*($E$34-$D$34)/$F$34/1000000000</f>
        <v>21.852482467590523</v>
      </c>
      <c r="G534" s="1222" t="s">
        <v>417</v>
      </c>
      <c r="H534" s="1282">
        <f>$H$49*$G$46/6</f>
        <v>1.7243558803347074</v>
      </c>
      <c r="I534" s="1222" t="s">
        <v>104</v>
      </c>
      <c r="J534" s="827"/>
      <c r="K534" s="827"/>
      <c r="M534" s="6" t="s">
        <v>70</v>
      </c>
      <c r="O534" s="30">
        <f>IF(S531&lt;100,25,IF(MIN(O533:S533)=O533,12,IF(MIN(O533:S533)=P533,16,IF(MIN(O533:S533)=Q533,20,IF(MIN(O533:S533)=R533,22,IF(MIN(O533:S533)=S533,25,0))))))</f>
        <v>25</v>
      </c>
      <c r="P534" s="6" t="s">
        <v>71</v>
      </c>
      <c r="Q534" s="30">
        <f>IF(O534=12,O531,IF(O534=16,P531,IF(O534=20,Q531,IF(O534=22,R531,IF(O534=25,S531,0)))))</f>
        <v>150</v>
      </c>
      <c r="R534" s="6" t="s">
        <v>72</v>
      </c>
    </row>
    <row r="535" spans="1:19" x14ac:dyDescent="0.2">
      <c r="A535" s="827"/>
      <c r="B535" s="1222" t="s">
        <v>158</v>
      </c>
      <c r="C535" s="827"/>
      <c r="D535" s="1282">
        <f>$H$49*$G$46/6</f>
        <v>1.7243558803347074</v>
      </c>
      <c r="E535" s="1222" t="s">
        <v>104</v>
      </c>
      <c r="F535" s="827"/>
      <c r="G535" s="827"/>
      <c r="H535" s="827"/>
      <c r="I535" s="827"/>
      <c r="J535" s="827"/>
      <c r="K535" s="827"/>
    </row>
    <row r="536" spans="1:19" x14ac:dyDescent="0.2">
      <c r="A536" s="827"/>
      <c r="B536" s="1222" t="s">
        <v>159</v>
      </c>
      <c r="C536" s="827"/>
      <c r="D536" s="827"/>
      <c r="E536" s="827"/>
      <c r="F536" s="1229">
        <f>T555</f>
        <v>4.6644000000000005</v>
      </c>
      <c r="G536" s="1222" t="s">
        <v>107</v>
      </c>
      <c r="H536" s="827"/>
      <c r="I536" s="827"/>
      <c r="J536" s="827"/>
      <c r="K536" s="827"/>
    </row>
    <row r="537" spans="1:19" x14ac:dyDescent="0.2">
      <c r="A537" s="827"/>
      <c r="B537" s="1222" t="s">
        <v>160</v>
      </c>
      <c r="C537" s="827"/>
      <c r="D537" s="827"/>
      <c r="E537" s="827"/>
      <c r="F537" s="1229">
        <f>IF($D$34+($E$34-$D$34)*F536/$F$34-$H$65&gt;12*C526,$F$34-F536+($D$34+($E$34-$D$34)*F536/$F$34-$H$65)/1000,$F$34-F536+(12*C526)/1000)</f>
        <v>1.6223552941176465</v>
      </c>
      <c r="G537" s="1222" t="s">
        <v>24</v>
      </c>
      <c r="H537" s="827"/>
      <c r="I537" s="827"/>
      <c r="J537" s="827"/>
      <c r="K537" s="827"/>
    </row>
    <row r="538" spans="1:19" x14ac:dyDescent="0.2">
      <c r="A538" s="827"/>
      <c r="B538" s="1222" t="s">
        <v>112</v>
      </c>
      <c r="C538" s="827"/>
      <c r="D538" s="827"/>
      <c r="E538" s="827"/>
      <c r="F538" s="1229">
        <f>$F$34-F537</f>
        <v>4.1276447058823535</v>
      </c>
      <c r="G538" s="1272" t="str">
        <f>IF(F538&gt;=1,"m &gt; 1 m  Curtailment should be made."," m&lt; 1 m   Curtailment should not be made.")</f>
        <v>m &gt; 1 m  Curtailment should be made.</v>
      </c>
      <c r="H538" s="827"/>
      <c r="I538" s="827"/>
      <c r="J538" s="827"/>
      <c r="K538" s="827"/>
    </row>
    <row r="539" spans="1:19" x14ac:dyDescent="0.2">
      <c r="A539" s="827"/>
      <c r="B539" s="827"/>
      <c r="C539" s="827"/>
      <c r="D539" s="827"/>
      <c r="E539" s="827"/>
      <c r="F539" s="827"/>
      <c r="G539" s="827"/>
      <c r="H539" s="827"/>
      <c r="I539" s="827"/>
      <c r="J539" s="827"/>
      <c r="K539" s="827"/>
    </row>
    <row r="540" spans="1:19" ht="13.5" x14ac:dyDescent="0.25">
      <c r="A540" s="827"/>
      <c r="B540" s="1276" t="s">
        <v>87</v>
      </c>
      <c r="C540" s="827"/>
      <c r="D540" s="827"/>
      <c r="E540" s="827"/>
      <c r="F540" s="827"/>
      <c r="G540" s="827"/>
      <c r="H540" s="827"/>
      <c r="I540" s="827"/>
      <c r="J540" s="827"/>
      <c r="K540" s="827"/>
    </row>
    <row r="541" spans="1:19" x14ac:dyDescent="0.2">
      <c r="A541" s="827"/>
      <c r="B541" s="1222" t="s">
        <v>161</v>
      </c>
      <c r="C541" s="827"/>
      <c r="D541" s="827"/>
      <c r="E541" s="827"/>
      <c r="F541" s="997">
        <f>F523/2</f>
        <v>1615.5025775857132</v>
      </c>
      <c r="G541" s="1222" t="s">
        <v>78</v>
      </c>
      <c r="H541" s="827"/>
      <c r="I541" s="827"/>
      <c r="J541" s="827"/>
      <c r="K541" s="827"/>
    </row>
    <row r="542" spans="1:19" x14ac:dyDescent="0.2">
      <c r="A542" s="827"/>
      <c r="B542" s="1272" t="str">
        <f>IF(F541&gt;=F524,"Ast(Moment)  &gt;  Ast(Shrinkage)","Ast(Moment)  &lt;  Ast(Shrinkage)")</f>
        <v>Ast(Moment)  &gt;  Ast(Shrinkage)</v>
      </c>
      <c r="C542" s="827"/>
      <c r="D542" s="827"/>
      <c r="E542" s="827"/>
      <c r="F542" s="1278" t="s">
        <v>114</v>
      </c>
      <c r="G542" s="1279"/>
      <c r="H542" s="1280">
        <f>IF(OR(F538&lt;1,F541&lt;F524),$F$34/2,F537)</f>
        <v>1.6223552941176465</v>
      </c>
      <c r="I542" s="1278" t="s">
        <v>115</v>
      </c>
      <c r="J542" s="827"/>
      <c r="K542" s="827"/>
    </row>
    <row r="543" spans="1:19" x14ac:dyDescent="0.2">
      <c r="A543" s="827"/>
      <c r="B543" s="827"/>
      <c r="C543" s="827"/>
      <c r="D543" s="827"/>
      <c r="E543" s="827"/>
      <c r="F543" s="827"/>
      <c r="G543" s="827"/>
      <c r="H543" s="827"/>
      <c r="I543" s="827"/>
      <c r="J543" s="827"/>
      <c r="K543" s="827"/>
      <c r="M543" s="7">
        <v>2.36</v>
      </c>
    </row>
    <row r="544" spans="1:19" ht="13.5" x14ac:dyDescent="0.25">
      <c r="A544" s="827"/>
      <c r="B544" s="1276" t="s">
        <v>116</v>
      </c>
      <c r="C544" s="827"/>
      <c r="D544" s="827"/>
      <c r="E544" s="827"/>
      <c r="F544" s="827"/>
      <c r="G544" s="827"/>
      <c r="H544" s="827"/>
      <c r="I544" s="827"/>
      <c r="J544" s="827"/>
      <c r="K544" s="827"/>
    </row>
    <row r="545" spans="1:20" x14ac:dyDescent="0.2">
      <c r="A545" s="827"/>
      <c r="B545" s="1222" t="s">
        <v>156</v>
      </c>
      <c r="C545" s="827"/>
      <c r="D545" s="1272">
        <f>1/4*H526*$H$54*$G$70*($D$34-$H$65)/1000000000</f>
        <v>36.781992571803748</v>
      </c>
      <c r="E545" s="1222" t="s">
        <v>99</v>
      </c>
      <c r="F545" s="1282">
        <f>1/4*H526*$H$54*$G$70*($E$34-$D$34)/$F$34/1000000000</f>
        <v>10.926241233795261</v>
      </c>
      <c r="G545" s="1222" t="s">
        <v>417</v>
      </c>
      <c r="H545" s="1281">
        <f>$H$49*$G$46/6</f>
        <v>1.7243558803347074</v>
      </c>
      <c r="I545" s="1222" t="s">
        <v>104</v>
      </c>
      <c r="J545" s="827"/>
      <c r="K545" s="827"/>
    </row>
    <row r="546" spans="1:20" x14ac:dyDescent="0.2">
      <c r="A546" s="827"/>
      <c r="B546" s="1222" t="s">
        <v>158</v>
      </c>
      <c r="C546" s="827"/>
      <c r="D546" s="1281">
        <f>$H$49*$G$46/6</f>
        <v>1.7243558803347074</v>
      </c>
      <c r="E546" s="1222" t="s">
        <v>104</v>
      </c>
      <c r="F546" s="827"/>
      <c r="G546" s="827"/>
      <c r="H546" s="827"/>
      <c r="I546" s="827"/>
      <c r="J546" s="827"/>
      <c r="K546" s="827"/>
    </row>
    <row r="547" spans="1:20" x14ac:dyDescent="0.2">
      <c r="A547" s="827"/>
      <c r="B547" s="1222" t="s">
        <v>159</v>
      </c>
      <c r="C547" s="827"/>
      <c r="D547" s="827"/>
      <c r="E547" s="827"/>
      <c r="F547" s="1229">
        <f>T565</f>
        <v>3.5143999999999997</v>
      </c>
      <c r="G547" s="1222" t="s">
        <v>107</v>
      </c>
      <c r="H547" s="827"/>
      <c r="I547" s="827"/>
      <c r="J547" s="827"/>
      <c r="K547" s="827"/>
    </row>
    <row r="548" spans="1:20" x14ac:dyDescent="0.2">
      <c r="A548" s="827"/>
      <c r="B548" s="1222" t="s">
        <v>160</v>
      </c>
      <c r="C548" s="827"/>
      <c r="D548" s="827"/>
      <c r="E548" s="827"/>
      <c r="F548" s="1229">
        <f>IF($D$34+($E$34-$D$34)*F547/$F$34-$H$65&gt;12*C526,$F$34-F547+($D$34+($E$34-$D$34)*F547/$F$34-$H$65)/1000,$F$34-F547+(12*C526)/1000)</f>
        <v>2.6954925490196082</v>
      </c>
      <c r="G548" s="1222" t="s">
        <v>24</v>
      </c>
      <c r="H548" s="827"/>
      <c r="I548" s="827"/>
      <c r="J548" s="827"/>
      <c r="K548" s="827"/>
      <c r="M548" s="6" t="s">
        <v>152</v>
      </c>
      <c r="O548" s="6" t="s">
        <v>153</v>
      </c>
      <c r="Q548" s="6" t="s">
        <v>154</v>
      </c>
      <c r="S548" s="6" t="s">
        <v>155</v>
      </c>
    </row>
    <row r="549" spans="1:20" x14ac:dyDescent="0.2">
      <c r="A549" s="827"/>
      <c r="B549" s="1222" t="s">
        <v>112</v>
      </c>
      <c r="C549" s="827"/>
      <c r="D549" s="827"/>
      <c r="E549" s="827"/>
      <c r="F549" s="1229">
        <f>$F$34-F548</f>
        <v>3.0545074509803918</v>
      </c>
      <c r="G549" s="1272" t="str">
        <f>IF(F549&gt;=1,"m &gt; 1 m  Curtailment should be made."," m&lt; 1 m  Curtailment should not be made.")</f>
        <v>m &gt; 1 m  Curtailment should be made.</v>
      </c>
      <c r="H549" s="827"/>
      <c r="I549" s="827"/>
      <c r="J549" s="827"/>
      <c r="K549" s="827"/>
      <c r="M549" s="6" t="s">
        <v>157</v>
      </c>
      <c r="O549" s="6" t="s">
        <v>157</v>
      </c>
      <c r="Q549" s="6" t="s">
        <v>157</v>
      </c>
      <c r="S549" s="6" t="s">
        <v>157</v>
      </c>
    </row>
    <row r="550" spans="1:20" x14ac:dyDescent="0.2">
      <c r="A550" s="827"/>
      <c r="B550" s="827"/>
      <c r="C550" s="827"/>
      <c r="D550" s="827"/>
      <c r="E550" s="827"/>
      <c r="F550" s="827"/>
      <c r="G550" s="827"/>
      <c r="H550" s="827"/>
      <c r="I550" s="827"/>
      <c r="J550" s="827"/>
      <c r="K550" s="827"/>
      <c r="M550" s="27">
        <f>D670*N550^3-F669*N550</f>
        <v>0</v>
      </c>
      <c r="N550" s="25">
        <v>0</v>
      </c>
      <c r="O550" s="43">
        <f>H534*P550^3-F534*P550</f>
        <v>67.3204846173427</v>
      </c>
      <c r="P550" s="25">
        <f>N556</f>
        <v>4.6000000000000005</v>
      </c>
      <c r="Q550" s="44">
        <f>H534*R550^3-F534*R550</f>
        <v>67.3204846173427</v>
      </c>
      <c r="R550" s="25">
        <f>P555</f>
        <v>4.6000000000000005</v>
      </c>
      <c r="S550" s="44">
        <f>H534*T550^3-F534*T550</f>
        <v>71.401047955975784</v>
      </c>
      <c r="T550" s="25">
        <f>R555</f>
        <v>4.6460000000000008</v>
      </c>
    </row>
    <row r="551" spans="1:20" x14ac:dyDescent="0.2">
      <c r="A551" s="827"/>
      <c r="B551" s="827"/>
      <c r="C551" s="827"/>
      <c r="D551" s="827"/>
      <c r="E551" s="827"/>
      <c r="F551" s="827"/>
      <c r="G551" s="827"/>
      <c r="H551" s="827"/>
      <c r="I551" s="827"/>
      <c r="J551" s="827"/>
      <c r="K551" s="827"/>
      <c r="M551" s="43">
        <f>H534*N551^3-F534*N551</f>
        <v>-22.507825088225054</v>
      </c>
      <c r="N551" s="25">
        <f>0.2*$F$34</f>
        <v>1.1500000000000001</v>
      </c>
      <c r="O551" s="43">
        <f>H534*P551^3-F534*P551</f>
        <v>88.750493762793781</v>
      </c>
      <c r="P551" s="25">
        <f>N556+0.04*$F$34</f>
        <v>4.830000000000001</v>
      </c>
      <c r="Q551" s="44">
        <f>H534*R551^3-F534*R551</f>
        <v>71.401047955975784</v>
      </c>
      <c r="R551" s="25">
        <f>P555+0.008*$F$34</f>
        <v>4.6460000000000008</v>
      </c>
      <c r="S551" s="44">
        <f>H534*T551^3-F534*T551</f>
        <v>72.229333861313435</v>
      </c>
      <c r="T551" s="25">
        <f>R555+0.0016*$F$34</f>
        <v>4.6552000000000007</v>
      </c>
    </row>
    <row r="552" spans="1:20" x14ac:dyDescent="0.2">
      <c r="A552" s="827"/>
      <c r="B552" s="827"/>
      <c r="C552" s="827"/>
      <c r="D552" s="827"/>
      <c r="E552" s="827"/>
      <c r="F552" s="827"/>
      <c r="G552" s="827"/>
      <c r="H552" s="827"/>
      <c r="I552" s="827"/>
      <c r="J552" s="827"/>
      <c r="K552" s="827"/>
      <c r="M552" s="43">
        <f>H534*N552^3-F534*N552</f>
        <v>-29.280471679425819</v>
      </c>
      <c r="N552" s="25">
        <f>0.4*$F$34</f>
        <v>2.3000000000000003</v>
      </c>
      <c r="O552" s="43">
        <f>H534*P552^3-F534*P552</f>
        <v>112.82401289574481</v>
      </c>
      <c r="P552" s="25">
        <f>N556+0.08*$F$34</f>
        <v>5.0600000000000005</v>
      </c>
      <c r="Q552" s="44">
        <f>H534*R552^3-F534*R552</f>
        <v>75.583323488413569</v>
      </c>
      <c r="R552" s="25">
        <f>P555+0.016*$F$34</f>
        <v>4.6920000000000002</v>
      </c>
      <c r="S552" s="44">
        <f>H534*T552^3-F534*T552</f>
        <v>73.061696310814639</v>
      </c>
      <c r="T552" s="25">
        <f>R555+0.0032*$F$34</f>
        <v>4.6644000000000005</v>
      </c>
    </row>
    <row r="553" spans="1:20" ht="13.5" x14ac:dyDescent="0.25">
      <c r="A553" s="827"/>
      <c r="B553" s="1276" t="s">
        <v>87</v>
      </c>
      <c r="C553" s="827"/>
      <c r="D553" s="827"/>
      <c r="E553" s="827"/>
      <c r="F553" s="827"/>
      <c r="G553" s="827"/>
      <c r="H553" s="827"/>
      <c r="I553" s="827"/>
      <c r="J553" s="827"/>
      <c r="K553" s="827"/>
      <c r="M553" s="43">
        <f>H534*N553^3-F534*N553</f>
        <v>-4.5827612765780259</v>
      </c>
      <c r="N553" s="25">
        <f>0.6*$F$34</f>
        <v>3.4499999999999997</v>
      </c>
      <c r="O553" s="43">
        <f>H534*P553^3-F534*P553</f>
        <v>139.66692344417228</v>
      </c>
      <c r="P553" s="25">
        <f>N556+0.12*$F$34</f>
        <v>5.2900000000000009</v>
      </c>
      <c r="Q553" s="44">
        <f>H534*R553^3-F534*R553</f>
        <v>79.868318266079996</v>
      </c>
      <c r="R553" s="25">
        <f>P555+0.024*$F$34</f>
        <v>4.7380000000000004</v>
      </c>
      <c r="S553" s="44">
        <f>H534*T553^3-F534*T553</f>
        <v>73.898143360890771</v>
      </c>
      <c r="T553" s="25">
        <f>R555+0.0048*$F$34</f>
        <v>4.6736000000000004</v>
      </c>
    </row>
    <row r="554" spans="1:20" x14ac:dyDescent="0.2">
      <c r="A554" s="827"/>
      <c r="B554" s="1222" t="s">
        <v>291</v>
      </c>
      <c r="C554" s="827"/>
      <c r="D554" s="827"/>
      <c r="E554" s="997">
        <f>F523/4</f>
        <v>807.7512887928566</v>
      </c>
      <c r="F554" s="1222" t="s">
        <v>78</v>
      </c>
      <c r="G554" s="827"/>
      <c r="H554" s="827"/>
      <c r="I554" s="827"/>
      <c r="J554" s="827"/>
      <c r="K554" s="827"/>
      <c r="M554" s="43">
        <f>H534*N554^3-F534*N554</f>
        <v>67.3204846173427</v>
      </c>
      <c r="N554" s="25">
        <f>0.8*$F$34</f>
        <v>4.6000000000000005</v>
      </c>
      <c r="O554" s="43">
        <f>H534*P554^3-F534*P554</f>
        <v>169.40510683605208</v>
      </c>
      <c r="P554" s="25">
        <f>N556+0.16*$F$34</f>
        <v>5.5200000000000005</v>
      </c>
      <c r="Q554" s="44">
        <f>H534*R554^3-F534*R554</f>
        <v>84.257039340398762</v>
      </c>
      <c r="R554" s="25">
        <f>P555+0.032*$F$34</f>
        <v>4.7840000000000007</v>
      </c>
      <c r="S554" s="44">
        <f>H534*T554^3-F534*T554</f>
        <v>74.73868306795336</v>
      </c>
      <c r="T554" s="25">
        <f>R555+0.0064*$F$34</f>
        <v>4.6828000000000012</v>
      </c>
    </row>
    <row r="555" spans="1:20" x14ac:dyDescent="0.2">
      <c r="A555" s="827"/>
      <c r="B555" s="1272" t="str">
        <f>IF(E554&gt;=F524,"Ast(Moment)  &gt;  Ast(Shrinkage)","Ast(Moment)  &lt;  Ast(Shrinkage)")</f>
        <v>Ast(Moment)  &gt;  Ast(Shrinkage)</v>
      </c>
      <c r="C555" s="827"/>
      <c r="D555" s="827"/>
      <c r="E555" s="827"/>
      <c r="F555" s="1278" t="s">
        <v>114</v>
      </c>
      <c r="G555" s="1279"/>
      <c r="H555" s="1280">
        <f>IF(OR(F549&lt;1,E554&lt;F524),$F$34/2,F548)</f>
        <v>2.6954925490196082</v>
      </c>
      <c r="I555" s="1278" t="s">
        <v>115</v>
      </c>
      <c r="J555" s="827"/>
      <c r="K555" s="827"/>
      <c r="M555" s="43">
        <f>H534*N555^3-F534*N555</f>
        <v>202.16444449936051</v>
      </c>
      <c r="N555" s="25">
        <f>$F$34</f>
        <v>5.75</v>
      </c>
      <c r="P555" s="25">
        <f>IF(O551&gt;O550,VLOOKUP(D534,O550:P554,2),IF(O552&gt;O551,VLOOKUP(D534,O551:P554,2),IF(O553&gt;O552,VLOOKUP(D534,O552:P554,2),IF(O554&gt;O553,VLOOKUP(D534,O553:P554,2),P554))))</f>
        <v>4.6000000000000005</v>
      </c>
      <c r="R555" s="25">
        <f>IF(Q551&gt;Q550,VLOOKUP(D534,Q550:R554,2),IF(Q552&gt;Q551,VLOOKUP(D534,Q551:R554,2),IF(Q553&gt;Q552,VLOOKUP(D534,Q552:R554,2),IF(Q554&gt;Q553,VLOOKUP(D534,Q553:R554,2),R554))))</f>
        <v>4.6460000000000008</v>
      </c>
      <c r="T555" s="25">
        <f>IF(S551&gt;S550,VLOOKUP(D534,S550:T554,2),IF(S552&gt;S551,VLOOKUP(D534,S551:T554,2),IF(S553&gt;S552,VLOOKUP(D534,S552:T554,2),IF(S554&gt;S553,VLOOKUP(D534,S553:T554,2),T554))))</f>
        <v>4.6644000000000005</v>
      </c>
    </row>
    <row r="556" spans="1:20" x14ac:dyDescent="0.2">
      <c r="A556" s="827"/>
      <c r="B556" s="827"/>
      <c r="C556" s="827"/>
      <c r="D556" s="827"/>
      <c r="E556" s="827"/>
      <c r="F556" s="827"/>
      <c r="G556" s="827"/>
      <c r="H556" s="827"/>
      <c r="I556" s="827"/>
      <c r="J556" s="827"/>
      <c r="K556" s="827"/>
      <c r="N556" s="25">
        <f>IF(M551&gt;M550,VLOOKUP(D534,M550:N555,2),IF(M552&gt;M551,VLOOKUP(D534,M551:N555,2),IF(M553&gt;M552,VLOOKUP(D534,M552:N555,2),IF(M554&gt;M553,VLOOKUP(D534,M553:N555,2),IF(M555&gt;M554,VLOOKUP(D534,M554:N555,2),N555)))))</f>
        <v>4.6000000000000005</v>
      </c>
    </row>
    <row r="557" spans="1:20" ht="13.5" x14ac:dyDescent="0.25">
      <c r="A557" s="1284" t="s">
        <v>179</v>
      </c>
      <c r="B557" s="826"/>
      <c r="C557" s="826"/>
      <c r="D557" s="826"/>
      <c r="E557" s="827"/>
      <c r="F557" s="827"/>
      <c r="G557" s="827"/>
      <c r="H557" s="827"/>
      <c r="I557" s="827"/>
      <c r="J557" s="827"/>
      <c r="K557" s="827"/>
    </row>
    <row r="558" spans="1:20" x14ac:dyDescent="0.2">
      <c r="A558" s="827"/>
      <c r="B558" s="827"/>
      <c r="C558" s="827"/>
      <c r="D558" s="827"/>
      <c r="E558" s="827"/>
      <c r="F558" s="827"/>
      <c r="G558" s="827"/>
      <c r="H558" s="827"/>
      <c r="I558" s="827"/>
      <c r="J558" s="827"/>
      <c r="K558" s="827"/>
      <c r="M558" s="6" t="s">
        <v>152</v>
      </c>
      <c r="O558" s="6" t="s">
        <v>153</v>
      </c>
      <c r="Q558" s="6" t="s">
        <v>154</v>
      </c>
      <c r="S558" s="6" t="s">
        <v>155</v>
      </c>
    </row>
    <row r="559" spans="1:20" ht="13.5" x14ac:dyDescent="0.25">
      <c r="A559" s="827"/>
      <c r="B559" s="1276" t="s">
        <v>54</v>
      </c>
      <c r="C559" s="827"/>
      <c r="D559" s="827"/>
      <c r="E559" s="827"/>
      <c r="F559" s="827"/>
      <c r="G559" s="827"/>
      <c r="H559" s="827"/>
      <c r="I559" s="827"/>
      <c r="J559" s="827"/>
      <c r="K559" s="827"/>
      <c r="M559" s="6" t="s">
        <v>157</v>
      </c>
      <c r="O559" s="6" t="s">
        <v>157</v>
      </c>
      <c r="Q559" s="6" t="s">
        <v>157</v>
      </c>
      <c r="S559" s="6" t="s">
        <v>157</v>
      </c>
    </row>
    <row r="560" spans="1:20" x14ac:dyDescent="0.2">
      <c r="A560" s="827"/>
      <c r="B560" s="1222" t="s">
        <v>163</v>
      </c>
      <c r="C560" s="827"/>
      <c r="D560" s="827"/>
      <c r="E560" s="827"/>
      <c r="F560" s="1229">
        <f>($D$34+$E$34)/2000*$F$34*$G$45+($E$34-$D$34)/2000*$F$34*$G$46</f>
        <v>88.441764705882377</v>
      </c>
      <c r="G560" s="1222" t="s">
        <v>57</v>
      </c>
      <c r="H560" s="827"/>
      <c r="I560" s="827"/>
      <c r="J560" s="827"/>
      <c r="K560" s="827"/>
      <c r="M560" s="27">
        <f>H545*N560^3-F545*N560</f>
        <v>0</v>
      </c>
      <c r="N560" s="25">
        <v>0</v>
      </c>
      <c r="O560" s="43">
        <f>H545*P560^3-F545*P560</f>
        <v>33.112770980015625</v>
      </c>
      <c r="P560" s="25">
        <f>N566</f>
        <v>3.4499999999999997</v>
      </c>
      <c r="Q560" s="44">
        <f>H545*R560^3-F545*R560</f>
        <v>33.112770980015625</v>
      </c>
      <c r="R560" s="25">
        <f>P565</f>
        <v>3.4499999999999997</v>
      </c>
      <c r="S560" s="44">
        <f>H545*T560^3-F545*T560</f>
        <v>35.480428283022242</v>
      </c>
      <c r="T560" s="25">
        <f>R565</f>
        <v>3.4959999999999996</v>
      </c>
    </row>
    <row r="561" spans="1:20" x14ac:dyDescent="0.2">
      <c r="A561" s="827"/>
      <c r="B561" s="1222" t="s">
        <v>164</v>
      </c>
      <c r="C561" s="827"/>
      <c r="D561" s="827"/>
      <c r="E561" s="827"/>
      <c r="F561" s="1229">
        <f>2*F560/$J$34</f>
        <v>40.909088160701401</v>
      </c>
      <c r="G561" s="1222" t="s">
        <v>120</v>
      </c>
      <c r="H561" s="827"/>
      <c r="I561" s="827"/>
      <c r="J561" s="827"/>
      <c r="K561" s="827"/>
      <c r="M561" s="27">
        <f>H545*N561^3-F545*N561</f>
        <v>-9.9426476693605039</v>
      </c>
      <c r="N561" s="25">
        <f>0.2*$F$34</f>
        <v>1.1500000000000001</v>
      </c>
      <c r="O561" s="43">
        <f>H545*P561^3-F545*P561</f>
        <v>45.726487091382069</v>
      </c>
      <c r="P561" s="25">
        <f>N566+0.04*$F$34</f>
        <v>3.6799999999999997</v>
      </c>
      <c r="Q561" s="44">
        <f>H545*R561^3-F545*R561</f>
        <v>35.480428283022242</v>
      </c>
      <c r="R561" s="25">
        <f>P565+0.008*$F$34</f>
        <v>3.4959999999999996</v>
      </c>
      <c r="S561" s="44">
        <f>H545*T561^3-F545*T561</f>
        <v>35.963111826963136</v>
      </c>
      <c r="T561" s="25">
        <f>R565+0.0016*$F$34</f>
        <v>3.5051999999999994</v>
      </c>
    </row>
    <row r="562" spans="1:20" x14ac:dyDescent="0.2">
      <c r="A562" s="827"/>
      <c r="B562" s="1222" t="s">
        <v>165</v>
      </c>
      <c r="C562" s="827"/>
      <c r="D562" s="827"/>
      <c r="E562" s="827"/>
      <c r="F562" s="1229">
        <f>$H$49*$I$34^3/6*$G$46</f>
        <v>394.70784134069294</v>
      </c>
      <c r="G562" s="1222" t="s">
        <v>58</v>
      </c>
      <c r="H562" s="827"/>
      <c r="I562" s="827"/>
      <c r="J562" s="827"/>
      <c r="K562" s="827"/>
      <c r="M562" s="27">
        <f>H545*N562^3-F545*N562</f>
        <v>-4.1501168416967147</v>
      </c>
      <c r="N562" s="25">
        <f>0.4*$F$34</f>
        <v>2.3000000000000003</v>
      </c>
      <c r="O562" s="43">
        <f>H545*P562^3-F545*P562</f>
        <v>60.354306050367612</v>
      </c>
      <c r="P562" s="25">
        <f>N566+0.08*$F$34</f>
        <v>3.9099999999999997</v>
      </c>
      <c r="Q562" s="44">
        <f>H545*R562^3-F545*R562</f>
        <v>37.924621494238394</v>
      </c>
      <c r="R562" s="25">
        <f>P565+0.016*$F$34</f>
        <v>3.5419999999999998</v>
      </c>
      <c r="S562" s="44">
        <f>H545*T562^3-F545*T562</f>
        <v>36.448864863643834</v>
      </c>
      <c r="T562" s="25">
        <f>R565+0.0032*$F$34</f>
        <v>3.5143999999999997</v>
      </c>
    </row>
    <row r="563" spans="1:20" x14ac:dyDescent="0.2">
      <c r="A563" s="827"/>
      <c r="B563" s="1222" t="s">
        <v>166</v>
      </c>
      <c r="C563" s="827"/>
      <c r="D563" s="827"/>
      <c r="E563" s="827"/>
      <c r="F563" s="827"/>
      <c r="G563" s="827"/>
      <c r="H563" s="1229">
        <f>(($E$34-$D$34)*$F$34/2*(2/3*$D$34+$E$34/3)+$D$34*$F$34*$D$34/2)/(($D$34+$E$34)/2*$F$34)/1000</f>
        <v>0.25858266281280112</v>
      </c>
      <c r="I563" s="1222" t="s">
        <v>24</v>
      </c>
      <c r="J563" s="827"/>
      <c r="K563" s="827"/>
      <c r="M563" s="27">
        <f>H545*N563^3-F545*N563</f>
        <v>33.112770980015625</v>
      </c>
      <c r="N563" s="25">
        <f>0.6*$F$34</f>
        <v>3.4499999999999997</v>
      </c>
      <c r="O563" s="43">
        <f>H545*P563^3-F545*P563</f>
        <v>77.122109284948465</v>
      </c>
      <c r="P563" s="25">
        <f>N566+0.12*$F$34</f>
        <v>4.1399999999999997</v>
      </c>
      <c r="Q563" s="44">
        <f>H545*R563^3-F545*R563</f>
        <v>40.446357665087852</v>
      </c>
      <c r="R563" s="25">
        <f>P565+0.024*$F$34</f>
        <v>3.5879999999999996</v>
      </c>
      <c r="S563" s="44">
        <f>H545*T563^3-F545*T563</f>
        <v>36.937695449475662</v>
      </c>
      <c r="T563" s="25">
        <f>R565+0.0048*$F$34</f>
        <v>3.5235999999999996</v>
      </c>
    </row>
    <row r="564" spans="1:20" x14ac:dyDescent="0.2">
      <c r="A564" s="827"/>
      <c r="B564" s="1222" t="s">
        <v>167</v>
      </c>
      <c r="C564" s="827"/>
      <c r="D564" s="827"/>
      <c r="E564" s="827"/>
      <c r="F564" s="1229">
        <f>F562-F560*H563+F561*H563^2/2</f>
        <v>373.20602727631126</v>
      </c>
      <c r="G564" s="1222" t="s">
        <v>58</v>
      </c>
      <c r="H564" s="827"/>
      <c r="I564" s="827"/>
      <c r="J564" s="827"/>
      <c r="K564" s="827"/>
      <c r="M564" s="27">
        <f>H545*N564^3-F545*N564</f>
        <v>117.58119429280092</v>
      </c>
      <c r="N564" s="25">
        <f>0.8*$F$34</f>
        <v>4.6000000000000005</v>
      </c>
      <c r="O564" s="43">
        <f>H545*P564^3-F545*P564</f>
        <v>96.155778223100867</v>
      </c>
      <c r="P564" s="25">
        <f>N566+0.16*$F$34</f>
        <v>4.37</v>
      </c>
      <c r="Q564" s="44">
        <f>H545*R564^3-F545*R564</f>
        <v>43.046643846994492</v>
      </c>
      <c r="R564" s="25">
        <f>P565+0.032*$F$34</f>
        <v>3.6339999999999999</v>
      </c>
      <c r="S564" s="44">
        <f>H545*T564^3-F545*T564</f>
        <v>37.429611640870043</v>
      </c>
      <c r="T564" s="25">
        <f>R565+0.0064*$F$34</f>
        <v>3.5327999999999995</v>
      </c>
    </row>
    <row r="565" spans="1:20" x14ac:dyDescent="0.2">
      <c r="A565" s="827"/>
      <c r="B565" s="1222" t="s">
        <v>168</v>
      </c>
      <c r="C565" s="827"/>
      <c r="D565" s="827"/>
      <c r="E565" s="827"/>
      <c r="F565" s="1229">
        <f>F562-F560*($H$34/2+H563)+F561*$J$34^2/8</f>
        <v>306.4977255469156</v>
      </c>
      <c r="G565" s="1222" t="s">
        <v>58</v>
      </c>
      <c r="H565" s="827"/>
      <c r="I565" s="827"/>
      <c r="J565" s="827"/>
      <c r="K565" s="827"/>
      <c r="M565" s="27">
        <f>H545*N565^3-F545*N565</f>
        <v>264.99033159368327</v>
      </c>
      <c r="N565" s="25">
        <f>$F$34</f>
        <v>5.75</v>
      </c>
      <c r="P565" s="25">
        <f>IF(O561&gt;O560,VLOOKUP(D545,O560:P564,2),IF(O562&gt;O561,VLOOKUP(D645,O561:P564,2),IF(O563&gt;O562,VLOOKUP(D545,O562:P564,2),IF(O564&gt;O563,VLOOKUP(D545,O563:P564,2),P564))))</f>
        <v>3.4499999999999997</v>
      </c>
      <c r="R565" s="25">
        <f>IF(Q561&gt;Q560,VLOOKUP(D545,Q560:R564,2),IF(Q562&gt;Q561,VLOOKUP(D545,Q561:R564,2),IF(Q563&gt;Q562,VLOOKUP(D545,Q562:R564,2),IF(Q564&gt;Q563,VLOOKUP(D545,Q563:R564,2),R564))))</f>
        <v>3.4959999999999996</v>
      </c>
      <c r="T565" s="25">
        <f>IF(S561&gt;S560,VLOOKUP(D545,S560:T564,2),IF(S562&gt;S561,VLOOKUP(D545,S561:T564,2),IF(S563&gt;S562,VLOOKUP(D545,S562:T564,2),IF(S564&gt;S563,VLOOKUP(D545,S563:T564,2),T564))))</f>
        <v>3.5143999999999997</v>
      </c>
    </row>
    <row r="566" spans="1:20" x14ac:dyDescent="0.2">
      <c r="A566" s="827"/>
      <c r="B566" s="827"/>
      <c r="C566" s="827"/>
      <c r="D566" s="827"/>
      <c r="E566" s="827"/>
      <c r="F566" s="827"/>
      <c r="G566" s="827"/>
      <c r="H566" s="827"/>
      <c r="I566" s="827"/>
      <c r="J566" s="827"/>
      <c r="K566" s="827"/>
      <c r="N566" s="25">
        <f>IF(M561&gt;M560,VLOOKUP(D545,M560:N565,2),IF(M562&gt;M561,VLOOKUP(D545,M561:N565,2),IF(M563&gt;M562,VLOOKUP(D545,M562:N565,2),IF(M564&gt;M563,VLOOKUP(D545,M563:N565,2),IF(M565&gt;M564,VLOOKUP(D680,M564:N565,2),N565)))))</f>
        <v>3.4499999999999997</v>
      </c>
    </row>
    <row r="567" spans="1:20" x14ac:dyDescent="0.2">
      <c r="A567" s="827"/>
      <c r="B567" s="1222" t="s">
        <v>169</v>
      </c>
      <c r="C567" s="827"/>
      <c r="D567" s="827"/>
      <c r="E567" s="827"/>
      <c r="F567" s="1229">
        <f>IF(F565&gt;0,0,-F565)</f>
        <v>0</v>
      </c>
      <c r="G567" s="1222" t="s">
        <v>58</v>
      </c>
      <c r="H567" s="827"/>
      <c r="I567" s="827"/>
      <c r="J567" s="827"/>
      <c r="K567" s="827"/>
    </row>
    <row r="568" spans="1:20" x14ac:dyDescent="0.2">
      <c r="A568" s="827"/>
      <c r="B568" s="1222" t="s">
        <v>170</v>
      </c>
      <c r="C568" s="827"/>
      <c r="D568" s="827"/>
      <c r="E568" s="827"/>
      <c r="F568" s="1229">
        <f>F564</f>
        <v>373.20602727631126</v>
      </c>
      <c r="G568" s="1222" t="s">
        <v>57</v>
      </c>
      <c r="H568" s="827"/>
      <c r="I568" s="827"/>
      <c r="J568" s="827"/>
      <c r="K568" s="827"/>
    </row>
    <row r="569" spans="1:20" x14ac:dyDescent="0.2">
      <c r="A569" s="827"/>
      <c r="B569" s="1222" t="s">
        <v>171</v>
      </c>
      <c r="C569" s="827"/>
      <c r="D569" s="827"/>
      <c r="E569" s="827"/>
      <c r="F569" s="1229">
        <f>F560</f>
        <v>88.441764705882377</v>
      </c>
      <c r="G569" s="1222" t="s">
        <v>58</v>
      </c>
      <c r="H569" s="827"/>
      <c r="I569" s="827"/>
      <c r="J569" s="827"/>
      <c r="K569" s="827"/>
    </row>
    <row r="570" spans="1:20" x14ac:dyDescent="0.2">
      <c r="A570" s="827"/>
      <c r="B570" s="827"/>
      <c r="C570" s="827"/>
      <c r="D570" s="827"/>
      <c r="E570" s="827"/>
      <c r="F570" s="827"/>
      <c r="G570" s="827"/>
      <c r="H570" s="827"/>
      <c r="I570" s="827"/>
      <c r="J570" s="827"/>
      <c r="K570" s="827"/>
    </row>
    <row r="571" spans="1:20" ht="13.5" x14ac:dyDescent="0.25">
      <c r="A571" s="827"/>
      <c r="B571" s="1276" t="s">
        <v>59</v>
      </c>
      <c r="C571" s="827"/>
      <c r="D571" s="827"/>
      <c r="E571" s="827"/>
      <c r="F571" s="827"/>
      <c r="G571" s="827"/>
      <c r="H571" s="827"/>
      <c r="I571" s="827"/>
      <c r="J571" s="827"/>
      <c r="K571" s="827"/>
    </row>
    <row r="572" spans="1:20" x14ac:dyDescent="0.2">
      <c r="A572" s="827"/>
      <c r="B572" s="1222" t="s">
        <v>279</v>
      </c>
      <c r="C572" s="827"/>
      <c r="D572" s="827"/>
      <c r="E572" s="827"/>
      <c r="F572" s="997">
        <f>SQRT(MAX(F567:F568)/$G$71)*1000</f>
        <v>545.75761583712597</v>
      </c>
      <c r="G572" s="1222" t="s">
        <v>43</v>
      </c>
      <c r="H572" s="827"/>
      <c r="I572" s="827"/>
      <c r="J572" s="827"/>
      <c r="K572" s="827"/>
    </row>
    <row r="573" spans="1:20" x14ac:dyDescent="0.2">
      <c r="A573" s="827"/>
      <c r="B573" s="1222" t="s">
        <v>280</v>
      </c>
      <c r="C573" s="827"/>
      <c r="D573" s="827"/>
      <c r="E573" s="827"/>
      <c r="F573" s="997">
        <f>F569/$H$57*1000</f>
        <v>206.32327197478313</v>
      </c>
      <c r="G573" s="1222" t="s">
        <v>43</v>
      </c>
      <c r="H573" s="827"/>
      <c r="I573" s="827"/>
      <c r="J573" s="827"/>
      <c r="K573" s="827"/>
    </row>
    <row r="574" spans="1:20" x14ac:dyDescent="0.2">
      <c r="A574" s="827"/>
      <c r="B574" s="827"/>
      <c r="C574" s="827"/>
      <c r="D574" s="827"/>
      <c r="E574" s="827"/>
      <c r="F574" s="827"/>
      <c r="G574" s="827"/>
      <c r="H574" s="827"/>
      <c r="I574" s="827"/>
      <c r="J574" s="827"/>
      <c r="K574" s="827"/>
    </row>
    <row r="575" spans="1:20" x14ac:dyDescent="0.2">
      <c r="A575" s="827"/>
      <c r="B575" s="1222" t="s">
        <v>138</v>
      </c>
      <c r="C575" s="827"/>
      <c r="D575" s="827"/>
      <c r="E575" s="827"/>
      <c r="F575" s="997">
        <f>MAX(F572:F573)+$H$65</f>
        <v>620.75761583712597</v>
      </c>
      <c r="G575" s="1222" t="s">
        <v>43</v>
      </c>
      <c r="H575" s="827"/>
      <c r="I575" s="827"/>
      <c r="J575" s="827"/>
      <c r="K575" s="827"/>
    </row>
    <row r="576" spans="1:20" x14ac:dyDescent="0.2">
      <c r="A576" s="827"/>
      <c r="B576" s="1222" t="s">
        <v>139</v>
      </c>
      <c r="C576" s="827"/>
      <c r="D576" s="827"/>
      <c r="E576" s="827"/>
      <c r="F576" s="997">
        <f>$G$34</f>
        <v>734.31372549019613</v>
      </c>
      <c r="G576" s="1222" t="s">
        <v>43</v>
      </c>
      <c r="H576" s="827"/>
      <c r="I576" s="827"/>
      <c r="J576" s="827"/>
      <c r="K576" s="827"/>
    </row>
    <row r="577" spans="1:19" x14ac:dyDescent="0.2">
      <c r="A577" s="827"/>
      <c r="B577" s="1272" t="str">
        <f>IF(F576&gt;=F575,"ta  &gt;  tr     Design is OK.","ta  &lt;  tr     Design is Not OK.")</f>
        <v>ta  &gt;  tr     Design is OK.</v>
      </c>
      <c r="C577" s="827"/>
      <c r="D577" s="827"/>
      <c r="E577" s="827"/>
      <c r="F577" s="1222" t="s">
        <v>64</v>
      </c>
      <c r="G577" s="827"/>
      <c r="H577" s="827"/>
      <c r="I577" s="827"/>
      <c r="J577" s="827"/>
      <c r="K577" s="827"/>
    </row>
    <row r="578" spans="1:19" x14ac:dyDescent="0.2">
      <c r="A578" s="827"/>
      <c r="B578" s="1292" t="str">
        <f>IF(F576&gt;1.5*F575,"WARNING:  Actual Member Thickness is considerably larger (&gt;50%) than required.","")</f>
        <v/>
      </c>
      <c r="C578" s="827"/>
      <c r="D578" s="827"/>
      <c r="E578" s="827"/>
      <c r="F578" s="827"/>
      <c r="G578" s="827"/>
      <c r="H578" s="827"/>
      <c r="I578" s="827"/>
      <c r="J578" s="827"/>
      <c r="K578" s="827"/>
    </row>
    <row r="579" spans="1:19" ht="13.5" x14ac:dyDescent="0.25">
      <c r="A579" s="827"/>
      <c r="B579" s="1293" t="s">
        <v>123</v>
      </c>
      <c r="C579" s="827"/>
      <c r="D579" s="827"/>
      <c r="E579" s="827"/>
      <c r="F579" s="827"/>
      <c r="G579" s="827"/>
      <c r="H579" s="827"/>
      <c r="I579" s="827"/>
      <c r="J579" s="827"/>
      <c r="K579" s="827"/>
    </row>
    <row r="580" spans="1:19" x14ac:dyDescent="0.2">
      <c r="A580" s="827"/>
      <c r="B580" s="1222" t="s">
        <v>124</v>
      </c>
      <c r="C580" s="827"/>
      <c r="D580" s="827"/>
      <c r="E580" s="827"/>
      <c r="F580" s="1229">
        <f>MAX($C$32:$C$37)</f>
        <v>16.2</v>
      </c>
      <c r="G580" s="1222" t="s">
        <v>24</v>
      </c>
      <c r="H580" s="827"/>
      <c r="I580" s="827"/>
      <c r="J580" s="827"/>
      <c r="K580" s="827"/>
    </row>
    <row r="581" spans="1:19" x14ac:dyDescent="0.2">
      <c r="A581" s="827"/>
      <c r="B581" s="1222" t="s">
        <v>141</v>
      </c>
      <c r="C581" s="827"/>
      <c r="D581" s="827"/>
      <c r="E581" s="827"/>
      <c r="F581" s="827"/>
      <c r="G581" s="827"/>
      <c r="H581" s="997">
        <f>IF(AND(F580&lt;=9,F576&lt;380),$C$157*F576*1000,IF(F580&lt;=9,$C$157*380000,IF(F576&lt;380,$C$158*F576*1000,$C$158*380000)))</f>
        <v>950</v>
      </c>
      <c r="I581" s="1222" t="s">
        <v>78</v>
      </c>
      <c r="J581" s="827"/>
      <c r="K581" s="827"/>
      <c r="M581" s="6" t="s">
        <v>66</v>
      </c>
      <c r="O581" s="30">
        <v>12</v>
      </c>
      <c r="P581" s="30">
        <v>16</v>
      </c>
      <c r="Q581" s="30">
        <v>20</v>
      </c>
      <c r="R581" s="30">
        <v>22</v>
      </c>
      <c r="S581" s="30">
        <v>25</v>
      </c>
    </row>
    <row r="582" spans="1:19" x14ac:dyDescent="0.2">
      <c r="A582" s="827"/>
      <c r="B582" s="1222" t="s">
        <v>79</v>
      </c>
      <c r="C582" s="997">
        <f>IF(D982=0,O585,D982)</f>
        <v>16</v>
      </c>
      <c r="D582" s="1222" t="s">
        <v>71</v>
      </c>
      <c r="E582" s="997">
        <f>IF(D982=0,IF(Q585&gt;300,300,Q585),E982)</f>
        <v>200</v>
      </c>
      <c r="F582" s="1222" t="s">
        <v>289</v>
      </c>
      <c r="G582" s="827"/>
      <c r="H582" s="997">
        <f>785.4*C582^2/E582</f>
        <v>1005.312</v>
      </c>
      <c r="I582" s="1222" t="s">
        <v>81</v>
      </c>
      <c r="J582" s="827"/>
      <c r="K582" s="827"/>
      <c r="M582" s="6" t="s">
        <v>67</v>
      </c>
      <c r="O582" s="30">
        <f>IF(H581=0,100000000,TRUNC(785.4*O581^2/H581/25)*25)</f>
        <v>100</v>
      </c>
      <c r="P582" s="30">
        <f>IF(H581=0,100000000,TRUNC(785.4*P581^2/H581/25)*25)</f>
        <v>200</v>
      </c>
      <c r="Q582" s="30">
        <f>IF(H581=0,100000000,TRUNC(785.4*Q581^2/H581/25)*25)</f>
        <v>325</v>
      </c>
      <c r="R582" s="30">
        <f>IF(H581=0,100000000,TRUNC(785.4*R581^2/H581/25)*25)</f>
        <v>400</v>
      </c>
      <c r="S582" s="30">
        <f>IF(H581=0,100000000,TRUNC(785.4*S581^2/H581/25)*25)</f>
        <v>500</v>
      </c>
    </row>
    <row r="583" spans="1:19" x14ac:dyDescent="0.2">
      <c r="A583" s="827"/>
      <c r="B583" s="1222" t="s">
        <v>142</v>
      </c>
      <c r="C583" s="827"/>
      <c r="D583" s="827"/>
      <c r="E583" s="827"/>
      <c r="F583" s="827"/>
      <c r="G583" s="827"/>
      <c r="H583" s="997">
        <f>IF(AND(F580&lt;=9,F576&lt;380),$D$157*F576*1000,IF(F580&lt;=9,$D$157*380000,IF(F576&lt;380,$D$158*F576*1000,$D$158*380000)))</f>
        <v>570</v>
      </c>
      <c r="I583" s="1222" t="s">
        <v>78</v>
      </c>
      <c r="J583" s="827"/>
      <c r="K583" s="827"/>
      <c r="M583" s="6" t="s">
        <v>68</v>
      </c>
      <c r="O583" s="30">
        <f>785.4*O581^2/O582</f>
        <v>1130.9759999999999</v>
      </c>
      <c r="P583" s="30">
        <f>785.4*P581^2/P582</f>
        <v>1005.312</v>
      </c>
      <c r="Q583" s="30">
        <f>785.4*Q581^2/Q582</f>
        <v>966.64615384615388</v>
      </c>
      <c r="R583" s="30">
        <f>785.4*R581^2/R582</f>
        <v>950.33399999999995</v>
      </c>
      <c r="S583" s="30">
        <f>785.4*S581^2/S582</f>
        <v>981.75</v>
      </c>
    </row>
    <row r="584" spans="1:19" x14ac:dyDescent="0.2">
      <c r="A584" s="827"/>
      <c r="B584" s="1222" t="s">
        <v>79</v>
      </c>
      <c r="C584" s="997">
        <v>16</v>
      </c>
      <c r="D584" s="1222" t="s">
        <v>71</v>
      </c>
      <c r="E584" s="997">
        <v>250</v>
      </c>
      <c r="F584" s="1222" t="s">
        <v>289</v>
      </c>
      <c r="G584" s="827"/>
      <c r="H584" s="997">
        <f>785.4*C584^2/E584</f>
        <v>804.24959999999999</v>
      </c>
      <c r="I584" s="1222" t="s">
        <v>81</v>
      </c>
      <c r="J584" s="827"/>
      <c r="K584" s="827"/>
      <c r="M584" s="6" t="s">
        <v>69</v>
      </c>
      <c r="O584" s="30">
        <f>IF(OR(O582&gt;300,O582&lt;100),100000000,O583-H581)</f>
        <v>180.97599999999989</v>
      </c>
      <c r="P584" s="30">
        <f>IF(OR(P582&gt;300,P582&lt;100),100000001,P583-H581)</f>
        <v>55.312000000000012</v>
      </c>
      <c r="Q584" s="30">
        <f>IF(OR(Q582&gt;300,Q582&lt;100),100000001,Q583-H581)</f>
        <v>100000001</v>
      </c>
      <c r="R584" s="30">
        <f>IF(OR(R582&gt;300,R582&lt;100),100000001,R583-H581)</f>
        <v>100000001</v>
      </c>
      <c r="S584" s="30">
        <f>IF(OR(S582&gt;300,S582&lt;100),100000001,S583-H581)</f>
        <v>100000001</v>
      </c>
    </row>
    <row r="585" spans="1:19" x14ac:dyDescent="0.2">
      <c r="A585" s="827"/>
      <c r="B585" s="827"/>
      <c r="C585" s="827"/>
      <c r="D585" s="827"/>
      <c r="E585" s="827"/>
      <c r="F585" s="827"/>
      <c r="G585" s="827"/>
      <c r="H585" s="827"/>
      <c r="I585" s="827"/>
      <c r="J585" s="827"/>
      <c r="K585" s="827"/>
      <c r="M585" s="6" t="s">
        <v>70</v>
      </c>
      <c r="O585" s="30">
        <f>IF(S582&lt;100,25,IF(MIN(O584:S584)=O584,12,IF(MIN(O584:S584)=P584,16,IF(MIN(O584:S584)=Q584,20,IF(MIN(O584:S584)=R584,22,IF(MIN(O584:S584)=S584,25,0))))))</f>
        <v>16</v>
      </c>
      <c r="P585" s="6" t="s">
        <v>71</v>
      </c>
      <c r="Q585" s="30">
        <f>IF(O585=12,O582,IF(O585=16,P582,IF(O585=20,Q582,IF(O585=22,R582,IF(O585=25,S582,0)))))</f>
        <v>200</v>
      </c>
      <c r="R585" s="6" t="s">
        <v>72</v>
      </c>
    </row>
    <row r="586" spans="1:19" ht="13.5" x14ac:dyDescent="0.25">
      <c r="A586" s="827"/>
      <c r="B586" s="1276" t="s">
        <v>125</v>
      </c>
      <c r="C586" s="827"/>
      <c r="D586" s="827"/>
      <c r="E586" s="827"/>
      <c r="F586" s="827"/>
      <c r="G586" s="827"/>
      <c r="H586" s="827"/>
      <c r="I586" s="827"/>
      <c r="J586" s="827"/>
      <c r="K586" s="827"/>
    </row>
    <row r="587" spans="1:19" x14ac:dyDescent="0.2">
      <c r="A587" s="827"/>
      <c r="B587" s="1222" t="s">
        <v>291</v>
      </c>
      <c r="C587" s="827"/>
      <c r="D587" s="827"/>
      <c r="E587" s="827"/>
      <c r="F587" s="997">
        <f>F567/$H$54/$G$70/(F576-$H$65)*1000000000</f>
        <v>0</v>
      </c>
      <c r="G587" s="1222" t="s">
        <v>78</v>
      </c>
      <c r="H587" s="827"/>
      <c r="I587" s="827"/>
      <c r="J587" s="827"/>
      <c r="K587" s="827"/>
    </row>
    <row r="588" spans="1:19" x14ac:dyDescent="0.2">
      <c r="A588" s="827"/>
      <c r="B588" s="1222" t="s">
        <v>172</v>
      </c>
      <c r="C588" s="827"/>
      <c r="D588" s="827"/>
      <c r="E588" s="827"/>
      <c r="F588" s="1229">
        <f>$H$34+$E$34/500</f>
        <v>5.0081336238198979</v>
      </c>
      <c r="G588" s="1222" t="s">
        <v>24</v>
      </c>
      <c r="H588" s="827"/>
      <c r="I588" s="827"/>
      <c r="J588" s="827"/>
      <c r="K588" s="827"/>
    </row>
    <row r="589" spans="1:19" x14ac:dyDescent="0.2">
      <c r="A589" s="827"/>
      <c r="B589" s="1222" t="s">
        <v>294</v>
      </c>
      <c r="C589" s="827"/>
      <c r="D589" s="827"/>
      <c r="E589" s="827"/>
      <c r="F589" s="997">
        <f>IF(AND(F588&lt;=9,F576&lt;380),$C$157*F576*1000,IF(F588&lt;=9,$C$157*380000,IF(F576&lt;380,$C$158*F576*1000,$C$158*380000)))</f>
        <v>760</v>
      </c>
      <c r="G589" s="1222" t="s">
        <v>78</v>
      </c>
      <c r="H589" s="827"/>
      <c r="I589" s="827"/>
      <c r="J589" s="827"/>
      <c r="K589" s="827"/>
      <c r="M589" s="6" t="s">
        <v>66</v>
      </c>
      <c r="O589" s="30">
        <v>12</v>
      </c>
      <c r="P589" s="30">
        <v>16</v>
      </c>
      <c r="Q589" s="30">
        <v>20</v>
      </c>
      <c r="R589" s="30">
        <v>22</v>
      </c>
      <c r="S589" s="30">
        <v>25</v>
      </c>
    </row>
    <row r="590" spans="1:19" x14ac:dyDescent="0.2">
      <c r="A590" s="827"/>
      <c r="B590" s="1222" t="s">
        <v>88</v>
      </c>
      <c r="C590" s="827"/>
      <c r="D590" s="827"/>
      <c r="E590" s="827"/>
      <c r="F590" s="827"/>
      <c r="G590" s="827"/>
      <c r="H590" s="997">
        <f>MAX(F587,F589)</f>
        <v>760</v>
      </c>
      <c r="I590" s="1222" t="s">
        <v>78</v>
      </c>
      <c r="J590" s="827"/>
      <c r="K590" s="827"/>
      <c r="M590" s="6" t="s">
        <v>67</v>
      </c>
      <c r="O590" s="30">
        <f>IF(H583=0,100000000,TRUNC(785.4*O589^2/H583/25)*25)</f>
        <v>175</v>
      </c>
      <c r="P590" s="30">
        <f>IF(H583=0,100000000,TRUNC(785.4*P589^2/H583/25)*25)</f>
        <v>350</v>
      </c>
      <c r="Q590" s="30">
        <f>IF(H583=0,100000000,TRUNC(785.4*Q589^2/H583/25)*25)</f>
        <v>550</v>
      </c>
      <c r="R590" s="30">
        <f>IF(H583=0,100000000,TRUNC(785.4*R589^2/H583/25)*25)</f>
        <v>650</v>
      </c>
      <c r="S590" s="30">
        <f>IF(H583=0,100000000,TRUNC(785.4*S589^2/H583/25)*25)</f>
        <v>850</v>
      </c>
    </row>
    <row r="591" spans="1:19" x14ac:dyDescent="0.2">
      <c r="A591" s="827"/>
      <c r="B591" s="1222" t="s">
        <v>79</v>
      </c>
      <c r="C591" s="997">
        <f>IF(D1002=0,O601,D1002)</f>
        <v>16</v>
      </c>
      <c r="D591" s="1222" t="s">
        <v>71</v>
      </c>
      <c r="E591" s="997">
        <v>200</v>
      </c>
      <c r="F591" s="1222" t="s">
        <v>290</v>
      </c>
      <c r="G591" s="827"/>
      <c r="H591" s="997">
        <f>785.4*C591^2/E591</f>
        <v>1005.312</v>
      </c>
      <c r="I591" s="1222" t="s">
        <v>81</v>
      </c>
      <c r="J591" s="827"/>
      <c r="K591" s="826"/>
      <c r="M591" s="6" t="s">
        <v>68</v>
      </c>
      <c r="O591" s="30">
        <f>785.4*O589^2/O590</f>
        <v>646.27199999999993</v>
      </c>
      <c r="P591" s="30">
        <f>785.4*P589^2/P590</f>
        <v>574.46399999999994</v>
      </c>
      <c r="Q591" s="30">
        <f>785.4*Q589^2/Q590</f>
        <v>571.20000000000005</v>
      </c>
      <c r="R591" s="30">
        <f>785.4*R589^2/R590</f>
        <v>584.82092307692301</v>
      </c>
      <c r="S591" s="30">
        <f>785.4*S589^2/S590</f>
        <v>577.5</v>
      </c>
    </row>
    <row r="592" spans="1:19" x14ac:dyDescent="0.2">
      <c r="A592" s="827"/>
      <c r="B592" s="827"/>
      <c r="C592" s="827"/>
      <c r="D592" s="827"/>
      <c r="E592" s="827"/>
      <c r="F592" s="827"/>
      <c r="G592" s="827"/>
      <c r="H592" s="827"/>
      <c r="I592" s="827"/>
      <c r="J592" s="827"/>
      <c r="K592" s="827"/>
      <c r="M592" s="6" t="s">
        <v>69</v>
      </c>
      <c r="O592" s="30">
        <f>IF(OR(O590&gt;300,O590&lt;100),100000000,O591-H583)</f>
        <v>76.271999999999935</v>
      </c>
      <c r="P592" s="30">
        <f>IF(OR(P590&gt;300,P590&lt;100),100000001,P591-H583)</f>
        <v>100000001</v>
      </c>
      <c r="Q592" s="30">
        <f>IF(OR(Q590&gt;300,Q590&lt;100),100000001,Q591-H583)</f>
        <v>100000001</v>
      </c>
      <c r="R592" s="30">
        <f>IF(OR(R590&gt;300,R590&lt;100),100000001,R591-H583)</f>
        <v>100000001</v>
      </c>
      <c r="S592" s="30">
        <f>IF(OR(S590&gt;300,S590&lt;100),100000001,S591-H583)</f>
        <v>100000001</v>
      </c>
    </row>
    <row r="593" spans="1:19" ht="13.5" x14ac:dyDescent="0.25">
      <c r="A593" s="827"/>
      <c r="B593" s="1276" t="s">
        <v>126</v>
      </c>
      <c r="C593" s="827"/>
      <c r="D593" s="827"/>
      <c r="E593" s="827"/>
      <c r="F593" s="827"/>
      <c r="G593" s="827"/>
      <c r="H593" s="827"/>
      <c r="I593" s="827"/>
      <c r="J593" s="827"/>
      <c r="K593" s="827"/>
      <c r="M593" s="6" t="s">
        <v>70</v>
      </c>
      <c r="O593" s="30">
        <f>IF(S590&lt;100,25,IF(MIN(O592:S592)=O592,12,IF(MIN(O592:S592)=P592,16,IF(MIN(O592:S592)=Q592,20,IF(MIN(O592:S592)=R592,22,IF(MIN(O592:S592)=S592,25,0))))))</f>
        <v>12</v>
      </c>
      <c r="P593" s="6" t="s">
        <v>71</v>
      </c>
      <c r="Q593" s="30">
        <f>IF(O593=12,O590,IF(O593=16,P590,IF(O593=20,Q590,IF(O593=22,R590,IF(O593=25,S590,0)))))</f>
        <v>175</v>
      </c>
      <c r="R593" s="6" t="s">
        <v>72</v>
      </c>
    </row>
    <row r="594" spans="1:19" x14ac:dyDescent="0.2">
      <c r="A594" s="827"/>
      <c r="B594" s="1222" t="s">
        <v>287</v>
      </c>
      <c r="C594" s="827"/>
      <c r="D594" s="827"/>
      <c r="E594" s="827"/>
      <c r="F594" s="997">
        <f>F568/$H$54/$G$70/(F576-$H$65)*1000000000</f>
        <v>3399.4190809383995</v>
      </c>
      <c r="G594" s="1222" t="s">
        <v>78</v>
      </c>
      <c r="H594" s="827"/>
      <c r="I594" s="827"/>
      <c r="J594" s="827"/>
      <c r="K594" s="827"/>
    </row>
    <row r="595" spans="1:19" x14ac:dyDescent="0.2">
      <c r="A595" s="827"/>
      <c r="B595" s="1222" t="s">
        <v>253</v>
      </c>
      <c r="C595" s="827"/>
      <c r="D595" s="827"/>
      <c r="E595" s="827"/>
      <c r="F595" s="997">
        <f>IF(AND(F588&lt;=9,F576&lt;380),$D$157*F576*1000,IF(F588&lt;=9,$D$157*380000,IF(F576&lt;380,$D$158*F576*1000,$D$158*380000)))</f>
        <v>380</v>
      </c>
      <c r="G595" s="1222" t="s">
        <v>78</v>
      </c>
      <c r="H595" s="827"/>
      <c r="I595" s="827"/>
      <c r="J595" s="827"/>
      <c r="K595" s="827"/>
    </row>
    <row r="596" spans="1:19" x14ac:dyDescent="0.2">
      <c r="A596" s="827"/>
      <c r="B596" s="1222" t="s">
        <v>88</v>
      </c>
      <c r="C596" s="827"/>
      <c r="D596" s="827"/>
      <c r="E596" s="827"/>
      <c r="F596" s="827"/>
      <c r="G596" s="827"/>
      <c r="H596" s="997">
        <f>MAX(F594:F595)</f>
        <v>3399.4190809383995</v>
      </c>
      <c r="I596" s="1222" t="s">
        <v>89</v>
      </c>
      <c r="J596" s="827"/>
      <c r="K596" s="827"/>
    </row>
    <row r="597" spans="1:19" x14ac:dyDescent="0.2">
      <c r="A597" s="827"/>
      <c r="B597" s="1277" t="s">
        <v>79</v>
      </c>
      <c r="C597" s="1031">
        <v>25</v>
      </c>
      <c r="D597" s="1277" t="s">
        <v>71</v>
      </c>
      <c r="E597" s="1031">
        <v>125</v>
      </c>
      <c r="F597" s="1277" t="s">
        <v>80</v>
      </c>
      <c r="G597" s="851"/>
      <c r="H597" s="1031">
        <f>785.4*C597^2/E597</f>
        <v>3927</v>
      </c>
      <c r="I597" s="1277" t="s">
        <v>81</v>
      </c>
      <c r="J597" s="851"/>
      <c r="K597" s="827"/>
      <c r="M597" s="6" t="s">
        <v>66</v>
      </c>
      <c r="O597" s="30">
        <v>12</v>
      </c>
      <c r="P597" s="30">
        <v>16</v>
      </c>
      <c r="Q597" s="30">
        <v>20</v>
      </c>
      <c r="R597" s="30">
        <v>22</v>
      </c>
      <c r="S597" s="30">
        <v>25</v>
      </c>
    </row>
    <row r="598" spans="1:19" x14ac:dyDescent="0.2">
      <c r="A598" s="827"/>
      <c r="B598" s="827"/>
      <c r="C598" s="827"/>
      <c r="D598" s="827"/>
      <c r="E598" s="827"/>
      <c r="F598" s="827"/>
      <c r="G598" s="827"/>
      <c r="H598" s="827"/>
      <c r="I598" s="827"/>
      <c r="J598" s="827"/>
      <c r="K598" s="827"/>
      <c r="M598" s="6" t="s">
        <v>67</v>
      </c>
      <c r="O598" s="30">
        <f>IF(H590=0,100000000,TRUNC(785.4*O597^2/H590/25)*25)</f>
        <v>125</v>
      </c>
      <c r="P598" s="30">
        <f>IF(H590=0,100000000,TRUNC(785.4*P597^2/H590/25)*25)</f>
        <v>250</v>
      </c>
      <c r="Q598" s="30">
        <f>IF(H590=0,100000000,TRUNC(785.4*Q597^2/H590/25)*25)</f>
        <v>400</v>
      </c>
      <c r="R598" s="30">
        <f>IF(H590=0,100000000,TRUNC(785.4*R597^2/H590/25)*25)</f>
        <v>500</v>
      </c>
      <c r="S598" s="30">
        <f>IF(H590=0,100000000,TRUNC(785.4*S597^2/H590/25)*25)</f>
        <v>625</v>
      </c>
    </row>
    <row r="599" spans="1:19" ht="13.5" x14ac:dyDescent="0.25">
      <c r="A599" s="1276" t="s">
        <v>93</v>
      </c>
      <c r="B599" s="827"/>
      <c r="C599" s="827"/>
      <c r="D599" s="827"/>
      <c r="E599" s="827"/>
      <c r="F599" s="827"/>
      <c r="G599" s="827"/>
      <c r="H599" s="827"/>
      <c r="I599" s="827"/>
      <c r="J599" s="827"/>
      <c r="K599" s="827"/>
      <c r="M599" s="6" t="s">
        <v>68</v>
      </c>
      <c r="O599" s="30">
        <f>785.4*O597^2/O598</f>
        <v>904.78079999999989</v>
      </c>
      <c r="P599" s="30">
        <f>785.4*P597^2/P598</f>
        <v>804.24959999999999</v>
      </c>
      <c r="Q599" s="30">
        <f>785.4*Q597^2/Q598</f>
        <v>785.4</v>
      </c>
      <c r="R599" s="30">
        <f>785.4*R597^2/R598</f>
        <v>760.2672</v>
      </c>
      <c r="S599" s="30">
        <f>785.4*S597^2/S598</f>
        <v>785.4</v>
      </c>
    </row>
    <row r="600" spans="1:19" ht="13.5" x14ac:dyDescent="0.25">
      <c r="A600" s="827"/>
      <c r="B600" s="1276" t="s">
        <v>94</v>
      </c>
      <c r="C600" s="827"/>
      <c r="D600" s="827"/>
      <c r="E600" s="827"/>
      <c r="F600" s="827"/>
      <c r="G600" s="827"/>
      <c r="H600" s="827"/>
      <c r="I600" s="827"/>
      <c r="J600" s="827"/>
      <c r="K600" s="827"/>
      <c r="M600" s="6" t="s">
        <v>69</v>
      </c>
      <c r="O600" s="30">
        <f>IF(OR(O598&gt;300,O598&lt;100),100000000,O599-H590)</f>
        <v>144.78079999999989</v>
      </c>
      <c r="P600" s="30">
        <f>IF(OR(P598&gt;300,P598&lt;100),100000001,P599-H590)</f>
        <v>44.249599999999987</v>
      </c>
      <c r="Q600" s="30">
        <f>IF(OR(Q598&gt;300,Q598&lt;100),100000001,Q599-H590)</f>
        <v>100000001</v>
      </c>
      <c r="R600" s="30">
        <f>IF(OR(R598&gt;300,R598&lt;100),100000001,R599-H590)</f>
        <v>100000001</v>
      </c>
      <c r="S600" s="30">
        <f>IF(OR(S598&gt;300,S598&lt;100),100000001,S599-H590)</f>
        <v>100000001</v>
      </c>
    </row>
    <row r="601" spans="1:19" x14ac:dyDescent="0.2">
      <c r="A601" s="827"/>
      <c r="B601" s="1222" t="s">
        <v>173</v>
      </c>
      <c r="C601" s="827"/>
      <c r="D601" s="827"/>
      <c r="E601" s="827"/>
      <c r="F601" s="1282">
        <f>F562/2</f>
        <v>197.35392067034647</v>
      </c>
      <c r="G601" s="1222" t="s">
        <v>111</v>
      </c>
      <c r="H601" s="1272">
        <f>F560</f>
        <v>88.441764705882377</v>
      </c>
      <c r="I601" s="1222" t="s">
        <v>174</v>
      </c>
      <c r="J601" s="1282">
        <f>F561/2</f>
        <v>20.454544080350701</v>
      </c>
      <c r="K601" s="1222" t="s">
        <v>129</v>
      </c>
      <c r="M601" s="6" t="s">
        <v>70</v>
      </c>
      <c r="O601" s="30">
        <f>IF(S598&lt;100,25,IF(MIN(O600:S600)=O600,12,IF(MIN(O600:S600)=P600,16,IF(MIN(O600:S600)=Q600,20,IF(MIN(O600:S600)=R600,22,IF(MIN(O600:S600)=S600,25,0))))))</f>
        <v>16</v>
      </c>
      <c r="P601" s="6" t="s">
        <v>71</v>
      </c>
      <c r="Q601" s="30">
        <f>IF(O601=12,O598,IF(O601=16,P598,IF(O601=20,Q598,IF(O601=22,R598,IF(O601=25,S598,0)))))</f>
        <v>250</v>
      </c>
      <c r="R601" s="6" t="s">
        <v>72</v>
      </c>
    </row>
    <row r="602" spans="1:19" x14ac:dyDescent="0.2">
      <c r="A602" s="827"/>
      <c r="B602" s="1222" t="s">
        <v>175</v>
      </c>
      <c r="C602" s="827"/>
      <c r="D602" s="827"/>
      <c r="E602" s="1272" t="str">
        <f>IF(F603=$J$36/2,"There is no solution to the quadratic equation.","")</f>
        <v/>
      </c>
      <c r="F602" s="827"/>
      <c r="G602" s="827"/>
      <c r="H602" s="827"/>
      <c r="I602" s="827"/>
      <c r="J602" s="827"/>
      <c r="K602" s="827"/>
    </row>
    <row r="603" spans="1:19" x14ac:dyDescent="0.2">
      <c r="A603" s="827"/>
      <c r="B603" s="1222" t="s">
        <v>176</v>
      </c>
      <c r="C603" s="827"/>
      <c r="D603" s="827"/>
      <c r="E603" s="827"/>
      <c r="F603" s="1229">
        <f>IF(H601^2-4*J601*F601&lt;0,$J$34/2,(H601-SQRT(H601^2-4*J601*F601))/2/J601)</f>
        <v>2.1619099491648512</v>
      </c>
      <c r="G603" s="1222" t="s">
        <v>24</v>
      </c>
      <c r="H603" s="1272" t="str">
        <f>IF(F603=$J$34/2,"No curtailment should be made:   d  =  B'/2","")</f>
        <v>No curtailment should be made:   d  =  B'/2</v>
      </c>
      <c r="I603" s="827"/>
      <c r="J603" s="827"/>
      <c r="K603" s="827"/>
    </row>
    <row r="604" spans="1:19" x14ac:dyDescent="0.2">
      <c r="A604" s="827"/>
      <c r="B604" s="1222" t="s">
        <v>177</v>
      </c>
      <c r="C604" s="827"/>
      <c r="D604" s="827"/>
      <c r="E604" s="827"/>
      <c r="F604" s="1229">
        <f>IF(F576-$H$65&gt;12*C597,F603+(-$E$34/2+F576-$H$65)/1000,F603+(-$E$34/2+12*C597)/1000)</f>
        <v>2.4790668119099495</v>
      </c>
      <c r="G604" s="1222" t="s">
        <v>24</v>
      </c>
      <c r="H604" s="827"/>
      <c r="I604" s="827"/>
      <c r="J604" s="827"/>
      <c r="K604" s="827"/>
    </row>
    <row r="605" spans="1:19" x14ac:dyDescent="0.2">
      <c r="A605" s="827"/>
      <c r="B605" s="1222" t="s">
        <v>133</v>
      </c>
      <c r="C605" s="827"/>
      <c r="D605" s="827"/>
      <c r="E605" s="827"/>
      <c r="F605" s="1229">
        <f>$H$34/2-F604</f>
        <v>-0.6593137254901964</v>
      </c>
      <c r="G605" s="1272" t="str">
        <f>IF(F605&gt;=1,"m &gt; 1 m  Curtailment should be made."," m&lt; 1 m  Curtailment should not be made:   x  =  B/2")</f>
        <v xml:space="preserve"> m&lt; 1 m  Curtailment should not be made:   x  =  B/2</v>
      </c>
      <c r="H605" s="827"/>
      <c r="I605" s="827"/>
      <c r="J605" s="827"/>
      <c r="K605" s="827"/>
      <c r="M605" s="6" t="s">
        <v>66</v>
      </c>
      <c r="O605" s="30">
        <v>12</v>
      </c>
      <c r="P605" s="30">
        <v>16</v>
      </c>
      <c r="Q605" s="30">
        <v>20</v>
      </c>
      <c r="R605" s="30">
        <v>22</v>
      </c>
      <c r="S605" s="30">
        <v>25</v>
      </c>
    </row>
    <row r="606" spans="1:19" x14ac:dyDescent="0.2">
      <c r="A606" s="827"/>
      <c r="B606" s="827"/>
      <c r="C606" s="827"/>
      <c r="D606" s="827"/>
      <c r="E606" s="827"/>
      <c r="F606" s="827"/>
      <c r="G606" s="827"/>
      <c r="H606" s="827"/>
      <c r="I606" s="827"/>
      <c r="J606" s="827"/>
      <c r="K606" s="827"/>
      <c r="M606" s="6" t="s">
        <v>67</v>
      </c>
      <c r="O606" s="30">
        <f>IF(H596=0,100000000,TRUNC(785.4*O605^2/H596/25)*25)</f>
        <v>25</v>
      </c>
      <c r="P606" s="30">
        <f>IF(H596=0,100000000,TRUNC(785.4*P605^2/H596/25)*25)</f>
        <v>50</v>
      </c>
      <c r="Q606" s="30">
        <f>IF(H596=0,100000000,TRUNC(785.4*Q605^2/H596/25)*25)</f>
        <v>75</v>
      </c>
      <c r="R606" s="30">
        <f>IF(H596=0,100000000,TRUNC(785.4*R605^2/H596/25)*25)</f>
        <v>100</v>
      </c>
      <c r="S606" s="30">
        <f>IF(H596=0,100000000,TRUNC(785.4*S605^2/H596/25)*25)</f>
        <v>125</v>
      </c>
    </row>
    <row r="607" spans="1:19" ht="13.5" x14ac:dyDescent="0.25">
      <c r="A607" s="827"/>
      <c r="B607" s="1276" t="s">
        <v>87</v>
      </c>
      <c r="C607" s="827"/>
      <c r="D607" s="827"/>
      <c r="E607" s="827"/>
      <c r="F607" s="827"/>
      <c r="G607" s="827"/>
      <c r="H607" s="827"/>
      <c r="I607" s="827"/>
      <c r="J607" s="827"/>
      <c r="K607" s="827"/>
      <c r="M607" s="6" t="s">
        <v>68</v>
      </c>
      <c r="O607" s="30">
        <f>785.4*O605^2/O606</f>
        <v>4523.9039999999995</v>
      </c>
      <c r="P607" s="30">
        <f>785.4*P605^2/P606</f>
        <v>4021.248</v>
      </c>
      <c r="Q607" s="30">
        <f>785.4*Q605^2/Q606</f>
        <v>4188.8</v>
      </c>
      <c r="R607" s="30">
        <f>785.4*R605^2/R606</f>
        <v>3801.3359999999998</v>
      </c>
      <c r="S607" s="30">
        <f>785.4*S605^2/S606</f>
        <v>3927</v>
      </c>
    </row>
    <row r="608" spans="1:19" x14ac:dyDescent="0.2">
      <c r="A608" s="827"/>
      <c r="B608" s="1222" t="s">
        <v>161</v>
      </c>
      <c r="C608" s="827"/>
      <c r="D608" s="827"/>
      <c r="E608" s="827"/>
      <c r="F608" s="997">
        <f>F594/2</f>
        <v>1699.7095404691997</v>
      </c>
      <c r="G608" s="1222" t="s">
        <v>78</v>
      </c>
      <c r="H608" s="827"/>
      <c r="I608" s="827"/>
      <c r="J608" s="827"/>
      <c r="K608" s="827"/>
      <c r="M608" s="6" t="s">
        <v>69</v>
      </c>
      <c r="O608" s="30">
        <f>IF(OR(O606&gt;300,O606&lt;100),100000000,O607-H596)</f>
        <v>100000000</v>
      </c>
      <c r="P608" s="30">
        <f>IF(OR(P606&gt;300,P606&lt;100),100000001,P607-H596)</f>
        <v>100000001</v>
      </c>
      <c r="Q608" s="30">
        <f>IF(OR(Q606&gt;300,Q606&lt;100),100000001,Q607-H596)</f>
        <v>100000001</v>
      </c>
      <c r="R608" s="30">
        <f>IF(OR(R606&gt;300,R606&lt;100),100000001,R607-H596)</f>
        <v>401.91691906160031</v>
      </c>
      <c r="S608" s="30">
        <f>IF(OR(S606&gt;300,S606&lt;100),100000001,S607-H596)</f>
        <v>527.58091906160053</v>
      </c>
    </row>
    <row r="609" spans="1:18" x14ac:dyDescent="0.2">
      <c r="A609" s="827"/>
      <c r="B609" s="1272" t="str">
        <f>IF(F608&gt;=F595,"Ast(Moment)  &gt;  Ast(Shrinkage)","Ast(Moment)  &lt;  Ast(Shrinkage)")</f>
        <v>Ast(Moment)  &gt;  Ast(Shrinkage)</v>
      </c>
      <c r="C609" s="827"/>
      <c r="D609" s="827"/>
      <c r="E609" s="827"/>
      <c r="F609" s="1278" t="s">
        <v>114</v>
      </c>
      <c r="G609" s="1279"/>
      <c r="H609" s="1280">
        <f>IF(OR(F605&lt;1,F608&lt;F595),$H$34/2,F604)</f>
        <v>1.8197530864197531</v>
      </c>
      <c r="I609" s="1278" t="s">
        <v>115</v>
      </c>
      <c r="J609" s="827"/>
      <c r="K609" s="827"/>
      <c r="M609" s="6" t="s">
        <v>70</v>
      </c>
      <c r="O609" s="30">
        <f>IF(S606&lt;100,25,IF(MIN(O608:S608)=O608,12,IF(MIN(O608:S608)=P608,16,IF(MIN(O608:S608)=Q608,20,IF(MIN(O608:S608)=R608,22,IF(MIN(O608:S608)=S608,25,0))))))</f>
        <v>22</v>
      </c>
      <c r="P609" s="6" t="s">
        <v>71</v>
      </c>
      <c r="Q609" s="30">
        <f>IF(O609=12,O606,IF(O609=16,P606,IF(O609=20,Q606,IF(O609=22,R606,IF(O609=25,S606,0)))))</f>
        <v>100</v>
      </c>
      <c r="R609" s="6" t="s">
        <v>72</v>
      </c>
    </row>
    <row r="610" spans="1:18" x14ac:dyDescent="0.2">
      <c r="A610" s="827"/>
      <c r="B610" s="827"/>
      <c r="C610" s="827"/>
      <c r="D610" s="827"/>
      <c r="E610" s="827"/>
      <c r="F610" s="827"/>
      <c r="G610" s="827"/>
      <c r="H610" s="827"/>
      <c r="I610" s="827"/>
      <c r="J610" s="827"/>
      <c r="K610" s="827"/>
    </row>
    <row r="611" spans="1:18" ht="13.5" x14ac:dyDescent="0.25">
      <c r="A611" s="827"/>
      <c r="B611" s="1276" t="s">
        <v>116</v>
      </c>
      <c r="C611" s="827"/>
      <c r="D611" s="827"/>
      <c r="E611" s="827"/>
      <c r="F611" s="827"/>
      <c r="G611" s="827"/>
      <c r="H611" s="827"/>
      <c r="I611" s="827"/>
      <c r="J611" s="827"/>
      <c r="K611" s="827"/>
    </row>
    <row r="612" spans="1:18" x14ac:dyDescent="0.2">
      <c r="A612" s="827"/>
      <c r="B612" s="1222" t="s">
        <v>173</v>
      </c>
      <c r="C612" s="827"/>
      <c r="D612" s="827"/>
      <c r="E612" s="827"/>
      <c r="F612" s="1229">
        <f>3*F562/4</f>
        <v>296.03088100551969</v>
      </c>
      <c r="G612" s="1222" t="s">
        <v>111</v>
      </c>
      <c r="H612" s="1272">
        <f>F560</f>
        <v>88.441764705882377</v>
      </c>
      <c r="I612" s="1222" t="s">
        <v>174</v>
      </c>
      <c r="J612" s="1230">
        <f>F561/2</f>
        <v>20.454544080350701</v>
      </c>
      <c r="K612" s="1222" t="s">
        <v>129</v>
      </c>
    </row>
    <row r="613" spans="1:18" x14ac:dyDescent="0.2">
      <c r="A613" s="827"/>
      <c r="B613" s="1222" t="s">
        <v>175</v>
      </c>
      <c r="C613" s="827"/>
      <c r="D613" s="827"/>
      <c r="E613" s="1272" t="str">
        <f>IF(F614=$J$36/2,"There is no solution to the quadratic equation.","")</f>
        <v/>
      </c>
      <c r="F613" s="827"/>
      <c r="G613" s="827"/>
      <c r="H613" s="827"/>
      <c r="I613" s="827"/>
      <c r="J613" s="827"/>
      <c r="K613" s="827"/>
    </row>
    <row r="614" spans="1:18" x14ac:dyDescent="0.2">
      <c r="A614" s="827"/>
      <c r="B614" s="1222" t="s">
        <v>292</v>
      </c>
      <c r="C614" s="827"/>
      <c r="D614" s="827"/>
      <c r="E614" s="1272" t="str">
        <f>IF(F614=$J$36/2,"No curtailment should be made:   d  =  B'/2","")</f>
        <v/>
      </c>
      <c r="F614" s="1229">
        <f>IF(H612^2-4*J612*F612&lt;0,$J$34/2,(H612-SQRT(H612^2-4*J612*F612))/2/J612)</f>
        <v>2.1619099491648512</v>
      </c>
      <c r="G614" s="1222" t="s">
        <v>24</v>
      </c>
      <c r="H614" s="827"/>
      <c r="I614" s="827"/>
      <c r="J614" s="827"/>
      <c r="K614" s="827"/>
    </row>
    <row r="615" spans="1:18" x14ac:dyDescent="0.2">
      <c r="A615" s="827"/>
      <c r="B615" s="827"/>
      <c r="C615" s="827"/>
      <c r="D615" s="827"/>
      <c r="E615" s="827"/>
      <c r="F615" s="827"/>
      <c r="G615" s="827"/>
      <c r="H615" s="827"/>
      <c r="I615" s="827"/>
      <c r="J615" s="827"/>
      <c r="K615" s="827"/>
    </row>
    <row r="616" spans="1:18" x14ac:dyDescent="0.2">
      <c r="A616" s="827"/>
      <c r="B616" s="1222" t="s">
        <v>293</v>
      </c>
      <c r="C616" s="827"/>
      <c r="D616" s="827"/>
      <c r="E616" s="827"/>
      <c r="F616" s="1229">
        <f>IF(F576-$H$65&gt;12*C597,F614+(-$E$34/2+F576-$H$65)/1000,F614+(-$E$34/2+12*C597)/1000)</f>
        <v>2.4790668119099495</v>
      </c>
      <c r="G616" s="1222" t="s">
        <v>24</v>
      </c>
      <c r="H616" s="827"/>
      <c r="I616" s="827"/>
      <c r="J616" s="827"/>
      <c r="K616" s="827"/>
    </row>
    <row r="617" spans="1:18" x14ac:dyDescent="0.2">
      <c r="A617" s="827"/>
      <c r="B617" s="1222" t="s">
        <v>133</v>
      </c>
      <c r="C617" s="827"/>
      <c r="D617" s="827"/>
      <c r="E617" s="827"/>
      <c r="F617" s="1229">
        <f>$H$34/2-F616</f>
        <v>-0.6593137254901964</v>
      </c>
      <c r="G617" s="1272" t="str">
        <f>IF(F617&gt;=1,"m &gt; 1 m  Curtailment should be made."," m &lt; 1 m  Curtailment should not be made:   x  =  B/2")</f>
        <v xml:space="preserve"> m &lt; 1 m  Curtailment should not be made:   x  =  B/2</v>
      </c>
      <c r="H617" s="827"/>
      <c r="I617" s="827"/>
      <c r="J617" s="827"/>
      <c r="K617" s="827"/>
    </row>
    <row r="618" spans="1:18" x14ac:dyDescent="0.2">
      <c r="A618" s="827"/>
      <c r="B618" s="827"/>
      <c r="C618" s="827"/>
      <c r="D618" s="827"/>
      <c r="E618" s="827"/>
      <c r="F618" s="827"/>
      <c r="G618" s="827"/>
      <c r="H618" s="827"/>
      <c r="I618" s="827"/>
      <c r="J618" s="827"/>
      <c r="K618" s="827"/>
    </row>
    <row r="619" spans="1:18" ht="13.5" x14ac:dyDescent="0.25">
      <c r="A619" s="827"/>
      <c r="B619" s="1276" t="s">
        <v>87</v>
      </c>
      <c r="C619" s="827"/>
      <c r="D619" s="827"/>
      <c r="E619" s="827"/>
      <c r="F619" s="827"/>
      <c r="G619" s="827"/>
      <c r="H619" s="827"/>
      <c r="I619" s="827"/>
      <c r="J619" s="827"/>
      <c r="K619" s="827"/>
    </row>
    <row r="620" spans="1:18" x14ac:dyDescent="0.2">
      <c r="A620" s="827"/>
      <c r="B620" s="1222" t="s">
        <v>287</v>
      </c>
      <c r="C620" s="827"/>
      <c r="D620" s="827"/>
      <c r="E620" s="827"/>
      <c r="F620" s="997">
        <f>F594/4</f>
        <v>849.85477023459987</v>
      </c>
      <c r="G620" s="1222" t="s">
        <v>78</v>
      </c>
      <c r="H620" s="827"/>
      <c r="I620" s="827"/>
      <c r="J620" s="827"/>
      <c r="K620" s="827"/>
    </row>
    <row r="621" spans="1:18" x14ac:dyDescent="0.2">
      <c r="A621" s="827"/>
      <c r="B621" s="1272" t="str">
        <f>IF(F620&gt;=F595,"Ast(moment)  &gt;  Ast(shrinkage)","Ast(moment)  &lt;  Ast(shrinkage)")</f>
        <v>Ast(moment)  &gt;  Ast(shrinkage)</v>
      </c>
      <c r="C621" s="827"/>
      <c r="D621" s="827"/>
      <c r="E621" s="827"/>
      <c r="F621" s="1278" t="s">
        <v>114</v>
      </c>
      <c r="G621" s="1279"/>
      <c r="H621" s="1280">
        <f>IF(OR(F617&lt;1,F620&lt;F595),$H$34/2,F616)</f>
        <v>1.8197530864197531</v>
      </c>
      <c r="I621" s="1278" t="s">
        <v>115</v>
      </c>
      <c r="J621" s="827"/>
      <c r="K621" s="827"/>
    </row>
    <row r="622" spans="1:18" x14ac:dyDescent="0.2">
      <c r="A622" s="827"/>
      <c r="B622" s="1272"/>
      <c r="C622" s="827"/>
      <c r="D622" s="827"/>
      <c r="E622" s="827"/>
      <c r="F622" s="1278"/>
      <c r="G622" s="1279"/>
      <c r="H622" s="1280"/>
      <c r="I622" s="1278"/>
      <c r="J622" s="827"/>
      <c r="K622" s="827"/>
    </row>
    <row r="623" spans="1:18" ht="13.5" x14ac:dyDescent="0.25">
      <c r="A623" s="1296" t="s">
        <v>180</v>
      </c>
      <c r="B623" s="827"/>
      <c r="C623" s="827"/>
      <c r="D623" s="827"/>
      <c r="E623" s="827"/>
      <c r="F623" s="827"/>
      <c r="G623" s="827"/>
      <c r="H623" s="827"/>
      <c r="I623" s="827"/>
      <c r="J623" s="827"/>
      <c r="K623" s="827"/>
    </row>
    <row r="624" spans="1:18" x14ac:dyDescent="0.2">
      <c r="A624" s="827"/>
      <c r="B624" s="827"/>
      <c r="C624" s="827"/>
      <c r="D624" s="827"/>
      <c r="E624" s="827"/>
      <c r="F624" s="827"/>
      <c r="G624" s="827"/>
      <c r="H624" s="827"/>
      <c r="I624" s="827"/>
      <c r="J624" s="827"/>
      <c r="K624" s="827"/>
    </row>
    <row r="625" spans="1:19" ht="13.5" x14ac:dyDescent="0.25">
      <c r="A625" s="1286" t="s">
        <v>54</v>
      </c>
      <c r="B625" s="827"/>
      <c r="C625" s="827"/>
      <c r="D625" s="827"/>
      <c r="E625" s="827"/>
      <c r="F625" s="827"/>
      <c r="G625" s="827"/>
      <c r="H625" s="827"/>
      <c r="I625" s="827"/>
      <c r="J625" s="827"/>
      <c r="K625" s="827"/>
    </row>
    <row r="626" spans="1:19" x14ac:dyDescent="0.2">
      <c r="A626" s="827"/>
      <c r="B626" s="1222" t="s">
        <v>135</v>
      </c>
      <c r="C626" s="827"/>
      <c r="D626" s="827"/>
      <c r="E626" s="827"/>
      <c r="F626" s="1229">
        <f>$H$49*$F$35*$G$46</f>
        <v>59.490277871547406</v>
      </c>
      <c r="G626" s="1222" t="s">
        <v>35</v>
      </c>
      <c r="H626" s="827"/>
      <c r="I626" s="827"/>
      <c r="J626" s="827"/>
      <c r="K626" s="827"/>
      <c r="M626" s="6" t="s">
        <v>66</v>
      </c>
      <c r="O626" s="30">
        <v>12</v>
      </c>
      <c r="P626" s="30">
        <v>16</v>
      </c>
      <c r="Q626" s="30">
        <v>20</v>
      </c>
      <c r="R626" s="30">
        <v>22</v>
      </c>
      <c r="S626" s="30">
        <v>25</v>
      </c>
    </row>
    <row r="627" spans="1:19" x14ac:dyDescent="0.2">
      <c r="A627" s="827"/>
      <c r="B627" s="827"/>
      <c r="C627" s="827"/>
      <c r="D627" s="827"/>
      <c r="E627" s="827"/>
      <c r="F627" s="827"/>
      <c r="G627" s="827"/>
      <c r="H627" s="827"/>
      <c r="I627" s="827"/>
      <c r="J627" s="827"/>
      <c r="K627" s="827"/>
      <c r="M627" s="6" t="s">
        <v>67</v>
      </c>
      <c r="O627" s="30">
        <f>IF(H641=0,100000000,TRUNC(785.4*O626^2/H641/25)*25)</f>
        <v>100</v>
      </c>
      <c r="P627" s="30">
        <f>IF(H641=0,100000000,TRUNC(785.4*P626^2/H641/25)*25)</f>
        <v>200</v>
      </c>
      <c r="Q627" s="30">
        <f>IF(H641=0,100000000,TRUNC(785.4*Q626^2/H641/25)*25)</f>
        <v>325</v>
      </c>
      <c r="R627" s="30">
        <f>IF(H641=0,100000000,TRUNC(785.4*R626^2/H641/25)*25)</f>
        <v>400</v>
      </c>
      <c r="S627" s="30">
        <f>IF(H641=0,100000000,TRUNC(785.4*S626^2/H641/25)*25)</f>
        <v>500</v>
      </c>
    </row>
    <row r="628" spans="1:19" x14ac:dyDescent="0.2">
      <c r="A628" s="827"/>
      <c r="B628" s="1222" t="s">
        <v>136</v>
      </c>
      <c r="C628" s="827"/>
      <c r="D628" s="827"/>
      <c r="E628" s="827"/>
      <c r="F628" s="1229">
        <f>F626*$F$35/2</f>
        <v>171.03454888069879</v>
      </c>
      <c r="G628" s="1222" t="s">
        <v>57</v>
      </c>
      <c r="H628" s="827"/>
      <c r="I628" s="827"/>
      <c r="J628" s="827"/>
      <c r="K628" s="827"/>
      <c r="M628" s="6" t="s">
        <v>68</v>
      </c>
      <c r="O628" s="30">
        <f>785.4*O626^2/O627</f>
        <v>1130.9759999999999</v>
      </c>
      <c r="P628" s="30">
        <f>785.4*P626^2/P627</f>
        <v>1005.312</v>
      </c>
      <c r="Q628" s="30">
        <f>785.4*Q626^2/Q627</f>
        <v>966.64615384615388</v>
      </c>
      <c r="R628" s="30">
        <f>785.4*R626^2/R627</f>
        <v>950.33399999999995</v>
      </c>
      <c r="S628" s="30">
        <f>785.4*S626^2/S627</f>
        <v>981.75</v>
      </c>
    </row>
    <row r="629" spans="1:19" x14ac:dyDescent="0.2">
      <c r="A629" s="827"/>
      <c r="B629" s="1222" t="s">
        <v>137</v>
      </c>
      <c r="C629" s="827"/>
      <c r="D629" s="827"/>
      <c r="E629" s="827"/>
      <c r="F629" s="1229">
        <f>F626*$F$35^2/6</f>
        <v>327.81621868800602</v>
      </c>
      <c r="G629" s="1222" t="s">
        <v>58</v>
      </c>
      <c r="H629" s="827"/>
      <c r="I629" s="827"/>
      <c r="J629" s="827"/>
      <c r="K629" s="827"/>
      <c r="M629" s="6" t="s">
        <v>69</v>
      </c>
      <c r="O629" s="30">
        <f>IF(OR(O627&gt;300,O627&lt;100),100000000,O628-H641)</f>
        <v>180.97599999999989</v>
      </c>
      <c r="P629" s="30">
        <f>IF(OR(P627&gt;300,P627&lt;100),100000001,P628-H641)</f>
        <v>55.312000000000012</v>
      </c>
      <c r="Q629" s="30">
        <f>IF(OR(Q627&gt;300,Q627&lt;100),100000001,Q628-H641)</f>
        <v>100000001</v>
      </c>
      <c r="R629" s="30">
        <f>IF(OR(R627&gt;300,R627&lt;100),100000001,R628-H641)</f>
        <v>100000001</v>
      </c>
      <c r="S629" s="30">
        <f>IF(OR(S627&gt;300,S627&lt;100),100000001,S628-H641)</f>
        <v>100000001</v>
      </c>
    </row>
    <row r="630" spans="1:19" x14ac:dyDescent="0.2">
      <c r="A630" s="827"/>
      <c r="B630" s="827"/>
      <c r="C630" s="827"/>
      <c r="D630" s="827"/>
      <c r="E630" s="827"/>
      <c r="F630" s="827"/>
      <c r="G630" s="827"/>
      <c r="H630" s="827"/>
      <c r="I630" s="827"/>
      <c r="J630" s="827"/>
      <c r="K630" s="827"/>
      <c r="M630" s="6" t="s">
        <v>70</v>
      </c>
      <c r="O630" s="30">
        <f>IF(S627&lt;100,25,IF(MIN(O629:S629)=O629,12,IF(MIN(O629:S629)=P629,16,IF(MIN(O629:S629)=Q629,20,IF(MIN(O629:S629)=R629,22,IF(MIN(O629:S629)=S629,25,0))))))</f>
        <v>16</v>
      </c>
      <c r="P630" s="6" t="s">
        <v>71</v>
      </c>
      <c r="Q630" s="30">
        <f>IF(O630=12,O627,IF(O630=16,P627,IF(O630=20,Q627,IF(O630=22,R627,IF(O630=25,S627,0)))))</f>
        <v>200</v>
      </c>
      <c r="R630" s="6" t="s">
        <v>72</v>
      </c>
    </row>
    <row r="631" spans="1:19" x14ac:dyDescent="0.2">
      <c r="A631" s="1222" t="s">
        <v>59</v>
      </c>
      <c r="B631" s="827"/>
      <c r="C631" s="827"/>
      <c r="D631" s="827"/>
      <c r="E631" s="827"/>
      <c r="F631" s="827"/>
      <c r="G631" s="827"/>
      <c r="H631" s="827"/>
      <c r="I631" s="827"/>
      <c r="J631" s="827"/>
      <c r="K631" s="827"/>
    </row>
    <row r="632" spans="1:19" x14ac:dyDescent="0.2">
      <c r="A632" s="827"/>
      <c r="B632" s="1222" t="s">
        <v>60</v>
      </c>
      <c r="C632" s="827"/>
      <c r="D632" s="827"/>
      <c r="E632" s="827"/>
      <c r="F632" s="997">
        <f>SQRT(F629/$G$71)*1000</f>
        <v>511.49418245561327</v>
      </c>
      <c r="G632" s="1222" t="s">
        <v>43</v>
      </c>
      <c r="H632" s="827"/>
      <c r="I632" s="827"/>
      <c r="J632" s="827"/>
      <c r="K632" s="827"/>
    </row>
    <row r="633" spans="1:19" x14ac:dyDescent="0.2">
      <c r="A633" s="827"/>
      <c r="B633" s="1222" t="s">
        <v>61</v>
      </c>
      <c r="C633" s="827"/>
      <c r="D633" s="827"/>
      <c r="E633" s="827"/>
      <c r="F633" s="997">
        <f>F628/$H$57*1000</f>
        <v>399.00162398557023</v>
      </c>
      <c r="G633" s="1222" t="s">
        <v>43</v>
      </c>
      <c r="H633" s="827"/>
      <c r="I633" s="827"/>
      <c r="J633" s="827"/>
      <c r="K633" s="827"/>
    </row>
    <row r="634" spans="1:19" x14ac:dyDescent="0.2">
      <c r="A634" s="827"/>
      <c r="B634" s="827"/>
      <c r="C634" s="827"/>
      <c r="D634" s="827"/>
      <c r="E634" s="827"/>
      <c r="F634" s="827"/>
      <c r="G634" s="827"/>
      <c r="H634" s="827"/>
      <c r="I634" s="827"/>
      <c r="J634" s="827"/>
      <c r="K634" s="827"/>
      <c r="M634" s="6" t="s">
        <v>66</v>
      </c>
      <c r="O634" s="30">
        <v>12</v>
      </c>
      <c r="P634" s="30">
        <v>16</v>
      </c>
      <c r="Q634" s="30">
        <v>20</v>
      </c>
      <c r="R634" s="30">
        <v>22</v>
      </c>
      <c r="S634" s="30">
        <v>25</v>
      </c>
    </row>
    <row r="635" spans="1:19" x14ac:dyDescent="0.2">
      <c r="A635" s="827"/>
      <c r="B635" s="1222" t="s">
        <v>138</v>
      </c>
      <c r="C635" s="827"/>
      <c r="D635" s="827"/>
      <c r="E635" s="827"/>
      <c r="F635" s="997">
        <f>MAX(F632:F633)+$H$65</f>
        <v>586.49418245561333</v>
      </c>
      <c r="G635" s="1222" t="s">
        <v>43</v>
      </c>
      <c r="H635" s="827"/>
      <c r="I635" s="827"/>
      <c r="J635" s="827"/>
      <c r="K635" s="827"/>
      <c r="M635" s="6" t="s">
        <v>67</v>
      </c>
      <c r="O635" s="30">
        <f>IF(H643=0,100000000,TRUNC(785.4*O634^2/H643/25)*25)</f>
        <v>175</v>
      </c>
      <c r="P635" s="30">
        <f>IF(H643=0,100000000,TRUNC(785.4*P634^2/H643/25)*25)</f>
        <v>350</v>
      </c>
      <c r="Q635" s="30">
        <f>IF(H643=0,100000000,TRUNC(785.4*Q634^2/H643/25)*25)</f>
        <v>550</v>
      </c>
      <c r="R635" s="30">
        <f>IF(H643=0,100000000,TRUNC(785.4*R634^2/H643/25)*25)</f>
        <v>650</v>
      </c>
      <c r="S635" s="30">
        <f>IF(H643=0,100000000,TRUNC(785.4*S634^2/H643/25)*25)</f>
        <v>850</v>
      </c>
    </row>
    <row r="636" spans="1:19" x14ac:dyDescent="0.2">
      <c r="A636" s="827"/>
      <c r="B636" s="1222" t="s">
        <v>139</v>
      </c>
      <c r="C636" s="827"/>
      <c r="D636" s="827"/>
      <c r="E636" s="827"/>
      <c r="F636" s="997">
        <f>$E$35</f>
        <v>668.62745098039215</v>
      </c>
      <c r="G636" s="1222" t="s">
        <v>43</v>
      </c>
      <c r="H636" s="827"/>
      <c r="I636" s="827"/>
      <c r="J636" s="827"/>
      <c r="K636" s="827"/>
      <c r="M636" s="6" t="s">
        <v>68</v>
      </c>
      <c r="O636" s="30">
        <f>785.4*O634^2/O635</f>
        <v>646.27199999999993</v>
      </c>
      <c r="P636" s="30">
        <f>785.4*P634^2/P635</f>
        <v>574.46399999999994</v>
      </c>
      <c r="Q636" s="30">
        <f>785.4*Q634^2/Q635</f>
        <v>571.20000000000005</v>
      </c>
      <c r="R636" s="30">
        <f>785.4*R634^2/R635</f>
        <v>584.82092307692301</v>
      </c>
      <c r="S636" s="30">
        <f>785.4*S634^2/S635</f>
        <v>577.5</v>
      </c>
    </row>
    <row r="637" spans="1:19" x14ac:dyDescent="0.2">
      <c r="A637" s="827"/>
      <c r="B637" s="1272" t="str">
        <f>IF(F636&gt;=F635,"ta  &gt;  tr     Design is OK.","ta  &lt;  tr     Design is Not OK.")</f>
        <v>ta  &gt;  tr     Design is OK.</v>
      </c>
      <c r="C637" s="827"/>
      <c r="D637" s="827"/>
      <c r="E637" s="827"/>
      <c r="F637" s="1222" t="s">
        <v>64</v>
      </c>
      <c r="G637" s="827"/>
      <c r="H637" s="827"/>
      <c r="I637" s="827"/>
      <c r="J637" s="827"/>
      <c r="K637" s="827"/>
      <c r="M637" s="6" t="s">
        <v>69</v>
      </c>
      <c r="O637" s="30">
        <f>IF(OR(O635&gt;300,O635&lt;100),100000000,O636-H643)</f>
        <v>76.271999999999935</v>
      </c>
      <c r="P637" s="30">
        <f>IF(OR(P635&gt;300,P635&lt;100),100000001,P636-H643)</f>
        <v>100000001</v>
      </c>
      <c r="Q637" s="30">
        <f>IF(OR(Q635&gt;300,Q635&lt;100),100000001,Q636-H643)</f>
        <v>100000001</v>
      </c>
      <c r="R637" s="30">
        <f>IF(OR(R635&gt;300,R635&lt;100),100000001,R636-H643)</f>
        <v>100000001</v>
      </c>
      <c r="S637" s="30">
        <f>IF(OR(S635&gt;300,S635&lt;100),100000001,S636-H643)</f>
        <v>100000001</v>
      </c>
    </row>
    <row r="638" spans="1:19" x14ac:dyDescent="0.2">
      <c r="A638" s="1297"/>
      <c r="B638" s="1292" t="str">
        <f>IF(F636&gt;1.5*F635,"WARNING:  Actual Member Thickness is considerably larger (&gt;50%) than required.","")</f>
        <v/>
      </c>
      <c r="C638" s="827"/>
      <c r="D638" s="827"/>
      <c r="E638" s="827"/>
      <c r="F638" s="827"/>
      <c r="G638" s="827"/>
      <c r="H638" s="827"/>
      <c r="I638" s="827"/>
      <c r="J638" s="827"/>
      <c r="K638" s="827"/>
      <c r="M638" s="6" t="s">
        <v>70</v>
      </c>
      <c r="O638" s="30">
        <f>IF(S635&lt;100,25,IF(MIN(O637:S637)=O637,12,IF(MIN(O637:S637)=P637,16,IF(MIN(O637:S637)=Q637,20,IF(MIN(O637:S637)=R637,22,IF(MIN(O637:S637)=S637,25,0))))))</f>
        <v>12</v>
      </c>
      <c r="P638" s="6" t="s">
        <v>71</v>
      </c>
      <c r="Q638" s="30">
        <f>IF(O638=12,O635,IF(O638=16,P635,IF(O638=20,Q635,IF(O638=22,R635,IF(O638=25,S635,0)))))</f>
        <v>175</v>
      </c>
      <c r="R638" s="6" t="s">
        <v>72</v>
      </c>
    </row>
    <row r="639" spans="1:19" x14ac:dyDescent="0.2">
      <c r="A639" s="1298" t="s">
        <v>123</v>
      </c>
      <c r="B639" s="1297"/>
      <c r="C639" s="827"/>
      <c r="D639" s="827"/>
      <c r="E639" s="827"/>
      <c r="F639" s="827"/>
      <c r="G639" s="827"/>
      <c r="H639" s="827"/>
      <c r="I639" s="827"/>
      <c r="J639" s="827"/>
      <c r="K639" s="827"/>
    </row>
    <row r="640" spans="1:19" x14ac:dyDescent="0.2">
      <c r="A640" s="827"/>
      <c r="B640" s="1222" t="s">
        <v>140</v>
      </c>
      <c r="C640" s="827"/>
      <c r="D640" s="827"/>
      <c r="E640" s="827"/>
      <c r="F640" s="1229">
        <f>$G$42</f>
        <v>16.322989922192562</v>
      </c>
      <c r="G640" s="1222" t="s">
        <v>24</v>
      </c>
      <c r="H640" s="827"/>
      <c r="I640" s="827"/>
      <c r="J640" s="827"/>
      <c r="K640" s="827"/>
    </row>
    <row r="641" spans="1:19" x14ac:dyDescent="0.2">
      <c r="A641" s="827"/>
      <c r="B641" s="1222" t="s">
        <v>141</v>
      </c>
      <c r="C641" s="827"/>
      <c r="D641" s="827"/>
      <c r="E641" s="827"/>
      <c r="F641" s="827"/>
      <c r="G641" s="827"/>
      <c r="H641" s="997">
        <f>IF(AND(F640&lt;=9,F636&lt;380),$C$157*F636*1000,IF(F640&lt;=9,$C$157*380000,IF(F636&lt;380,$C$158*F636*1000,$C$158*380000)))</f>
        <v>950</v>
      </c>
      <c r="I641" s="1222" t="s">
        <v>78</v>
      </c>
      <c r="J641" s="827"/>
      <c r="K641" s="827"/>
    </row>
    <row r="642" spans="1:19" x14ac:dyDescent="0.2">
      <c r="A642" s="827"/>
      <c r="B642" s="1222" t="s">
        <v>79</v>
      </c>
      <c r="C642" s="997">
        <f>IF(D976=0,O630,D976)</f>
        <v>16</v>
      </c>
      <c r="D642" s="1222" t="s">
        <v>71</v>
      </c>
      <c r="E642" s="997">
        <f>IF(D976=0,IF(Q630&gt;300,300,Q630),E976)</f>
        <v>200</v>
      </c>
      <c r="F642" s="1222" t="s">
        <v>80</v>
      </c>
      <c r="G642" s="827"/>
      <c r="H642" s="997">
        <f>785.4*C642^2/E642</f>
        <v>1005.312</v>
      </c>
      <c r="I642" s="1222" t="s">
        <v>81</v>
      </c>
      <c r="J642" s="827"/>
      <c r="K642" s="827"/>
      <c r="M642" s="6" t="s">
        <v>66</v>
      </c>
      <c r="O642" s="30">
        <v>12</v>
      </c>
      <c r="P642" s="30">
        <v>16</v>
      </c>
      <c r="Q642" s="30">
        <v>20</v>
      </c>
      <c r="R642" s="30">
        <v>22</v>
      </c>
      <c r="S642" s="30">
        <v>25</v>
      </c>
    </row>
    <row r="643" spans="1:19" x14ac:dyDescent="0.2">
      <c r="A643" s="827"/>
      <c r="B643" s="1222" t="s">
        <v>142</v>
      </c>
      <c r="C643" s="827"/>
      <c r="D643" s="827"/>
      <c r="E643" s="827"/>
      <c r="F643" s="827"/>
      <c r="G643" s="827"/>
      <c r="H643" s="997">
        <f>IF(AND(F640&lt;=9,F636&lt;380),$D$157*F636*1000,IF(F640&lt;=9,$D$157*380000,IF(F636&lt;380,$D$158*F636*1000,$D$158*380000)))</f>
        <v>570</v>
      </c>
      <c r="I643" s="1222" t="s">
        <v>78</v>
      </c>
      <c r="J643" s="827"/>
      <c r="K643" s="827"/>
      <c r="M643" s="6" t="s">
        <v>67</v>
      </c>
      <c r="O643" s="30">
        <f>IF(H648=0,100000000,TRUNC(785.4*O642^2/H648/25)*25)</f>
        <v>125</v>
      </c>
      <c r="P643" s="30">
        <f>IF(H648=0,100000000,TRUNC(785.4*P642^2/H648/25)*25)</f>
        <v>250</v>
      </c>
      <c r="Q643" s="30">
        <f>IF(H648=0,100000000,TRUNC(785.4*Q642^2/H648/25)*25)</f>
        <v>400</v>
      </c>
      <c r="R643" s="30">
        <f>IF(H648=0,100000000,TRUNC(785.4*R642^2/H648/25)*25)</f>
        <v>500</v>
      </c>
      <c r="S643" s="30">
        <f>IF(H648=0,100000000,TRUNC(785.4*S642^2/H648/25)*25)</f>
        <v>625</v>
      </c>
    </row>
    <row r="644" spans="1:19" x14ac:dyDescent="0.2">
      <c r="A644" s="827"/>
      <c r="B644" s="1222" t="s">
        <v>79</v>
      </c>
      <c r="C644" s="997">
        <v>16</v>
      </c>
      <c r="D644" s="1222" t="s">
        <v>71</v>
      </c>
      <c r="E644" s="997">
        <v>250</v>
      </c>
      <c r="F644" s="1222" t="s">
        <v>80</v>
      </c>
      <c r="G644" s="827"/>
      <c r="H644" s="997">
        <f>785.4*C644^2/E644</f>
        <v>804.24959999999999</v>
      </c>
      <c r="I644" s="1222" t="s">
        <v>81</v>
      </c>
      <c r="J644" s="827"/>
      <c r="K644" s="827"/>
      <c r="M644" s="6" t="s">
        <v>68</v>
      </c>
      <c r="O644" s="30">
        <f>785.4*O642^2/O643</f>
        <v>904.78079999999989</v>
      </c>
      <c r="P644" s="30">
        <f>785.4*P642^2/P643</f>
        <v>804.24959999999999</v>
      </c>
      <c r="Q644" s="30">
        <f>785.4*Q642^2/Q643</f>
        <v>785.4</v>
      </c>
      <c r="R644" s="30">
        <f>785.4*R642^2/R643</f>
        <v>760.2672</v>
      </c>
      <c r="S644" s="30">
        <f>785.4*S642^2/S643</f>
        <v>785.4</v>
      </c>
    </row>
    <row r="645" spans="1:19" x14ac:dyDescent="0.2">
      <c r="A645" s="827"/>
      <c r="B645" s="827"/>
      <c r="C645" s="827"/>
      <c r="D645" s="827"/>
      <c r="E645" s="827"/>
      <c r="F645" s="827"/>
      <c r="G645" s="827"/>
      <c r="H645" s="827"/>
      <c r="I645" s="827"/>
      <c r="J645" s="827"/>
      <c r="K645" s="827"/>
      <c r="M645" s="6" t="s">
        <v>69</v>
      </c>
      <c r="O645" s="30">
        <f>IF(OR(O643&gt;300,O643&lt;100),100000000,O644-H648)</f>
        <v>144.78079999999989</v>
      </c>
      <c r="P645" s="30">
        <f>IF(OR(P643&gt;300,P643&lt;100),100000001,P644-H648)</f>
        <v>44.249599999999987</v>
      </c>
      <c r="Q645" s="30">
        <f>IF(OR(Q643&gt;300,Q643&lt;100),100000001,Q644-H648)</f>
        <v>100000001</v>
      </c>
      <c r="R645" s="30">
        <f>IF(OR(R643&gt;300,R643&lt;100),100000001,R644-H648)</f>
        <v>100000001</v>
      </c>
      <c r="S645" s="30">
        <f>IF(OR(S643&gt;300,S643&lt;100),100000001,S644-H648)</f>
        <v>100000001</v>
      </c>
    </row>
    <row r="646" spans="1:19" ht="13.5" x14ac:dyDescent="0.25">
      <c r="A646" s="1276" t="s">
        <v>143</v>
      </c>
      <c r="B646" s="827"/>
      <c r="C646" s="827"/>
      <c r="D646" s="827"/>
      <c r="E646" s="827"/>
      <c r="F646" s="827"/>
      <c r="G646" s="827"/>
      <c r="H646" s="827"/>
      <c r="I646" s="827"/>
      <c r="J646" s="827"/>
      <c r="K646" s="827"/>
      <c r="M646" s="6" t="s">
        <v>70</v>
      </c>
      <c r="O646" s="30">
        <f>IF(S643&lt;100,25,IF(MIN(O645:S645)=O645,12,IF(MIN(O645:S645)=P645,16,IF(MIN(O645:S645)=Q645,20,IF(MIN(O645:S645)=R645,22,IF(MIN(O645:S645)=S645,25,0))))))</f>
        <v>16</v>
      </c>
      <c r="P646" s="6" t="s">
        <v>71</v>
      </c>
      <c r="Q646" s="30">
        <f>IF(O646=12,O643,IF(O646=16,P643,IF(O646=20,Q643,IF(O646=22,R643,IF(O646=25,S643,0)))))</f>
        <v>250</v>
      </c>
      <c r="R646" s="6" t="s">
        <v>72</v>
      </c>
    </row>
    <row r="647" spans="1:19" x14ac:dyDescent="0.2">
      <c r="A647" s="827"/>
      <c r="B647" s="1222" t="s">
        <v>144</v>
      </c>
      <c r="C647" s="827"/>
      <c r="D647" s="827"/>
      <c r="E647" s="827"/>
      <c r="F647" s="1229">
        <f>F35+G35/1000</f>
        <v>6.4686274509803923</v>
      </c>
      <c r="G647" s="1222" t="s">
        <v>24</v>
      </c>
      <c r="H647" s="827"/>
      <c r="I647" s="827"/>
      <c r="J647" s="827"/>
      <c r="K647" s="827"/>
    </row>
    <row r="648" spans="1:19" x14ac:dyDescent="0.2">
      <c r="A648" s="827"/>
      <c r="B648" s="1222" t="s">
        <v>84</v>
      </c>
      <c r="C648" s="827"/>
      <c r="D648" s="827"/>
      <c r="E648" s="827"/>
      <c r="F648" s="827"/>
      <c r="G648" s="827"/>
      <c r="H648" s="997">
        <f>IF(AND(F647&lt;=9,F636&lt;380),$C$157*F636*1000,IF(F647&lt;=9,$C$157*380000,IF(F636&lt;380,$C$158*F636*1000,$C$158*380000)))</f>
        <v>760</v>
      </c>
      <c r="I648" s="1222" t="s">
        <v>78</v>
      </c>
      <c r="J648" s="827"/>
      <c r="K648" s="827"/>
    </row>
    <row r="649" spans="1:19" x14ac:dyDescent="0.2">
      <c r="A649" s="827"/>
      <c r="B649" s="1222" t="s">
        <v>79</v>
      </c>
      <c r="C649" s="997">
        <f>IF(D996=0,O646,D996)</f>
        <v>16</v>
      </c>
      <c r="D649" s="1222" t="s">
        <v>71</v>
      </c>
      <c r="E649" s="997">
        <v>200</v>
      </c>
      <c r="F649" s="1222" t="s">
        <v>80</v>
      </c>
      <c r="G649" s="827"/>
      <c r="H649" s="997">
        <f>785.4*C649^2/E649</f>
        <v>1005.312</v>
      </c>
      <c r="I649" s="1222" t="s">
        <v>81</v>
      </c>
      <c r="J649" s="827"/>
      <c r="K649" s="827"/>
    </row>
    <row r="650" spans="1:19" x14ac:dyDescent="0.2">
      <c r="A650" s="827"/>
      <c r="B650" s="827"/>
      <c r="C650" s="827"/>
      <c r="D650" s="827"/>
      <c r="E650" s="827"/>
      <c r="F650" s="827"/>
      <c r="G650" s="827"/>
      <c r="H650" s="827"/>
      <c r="I650" s="827"/>
      <c r="J650" s="827"/>
      <c r="K650" s="827"/>
      <c r="M650" s="6" t="s">
        <v>66</v>
      </c>
      <c r="O650" s="30">
        <v>12</v>
      </c>
      <c r="P650" s="30">
        <v>16</v>
      </c>
      <c r="Q650" s="30">
        <v>20</v>
      </c>
      <c r="R650" s="30">
        <v>22</v>
      </c>
      <c r="S650" s="30">
        <v>25</v>
      </c>
    </row>
    <row r="651" spans="1:19" ht="13.5" x14ac:dyDescent="0.25">
      <c r="A651" s="1276" t="s">
        <v>145</v>
      </c>
      <c r="B651" s="827"/>
      <c r="C651" s="827"/>
      <c r="D651" s="827"/>
      <c r="E651" s="827"/>
      <c r="F651" s="827"/>
      <c r="G651" s="827"/>
      <c r="H651" s="827"/>
      <c r="I651" s="827"/>
      <c r="J651" s="827"/>
      <c r="K651" s="827"/>
      <c r="M651" s="6" t="s">
        <v>67</v>
      </c>
      <c r="O651" s="30">
        <f>IF(H654=0,100000000,TRUNC(785.4*O650^2/H654/25)*25)</f>
        <v>25</v>
      </c>
      <c r="P651" s="30">
        <f>IF(H654=0,100000000,TRUNC(785.4*P650^2/H654/25)*25)</f>
        <v>50</v>
      </c>
      <c r="Q651" s="30">
        <f>IF(H654=0,100000000,TRUNC(785.4*Q650^2/H654/25)*25)</f>
        <v>75</v>
      </c>
      <c r="R651" s="30">
        <f>IF(H654=0,100000000,TRUNC(785.4*R650^2/H654/25)*25)</f>
        <v>100</v>
      </c>
      <c r="S651" s="30">
        <f>IF(H654=0,100000000,TRUNC(785.4*S650^2/H654/25)*25)</f>
        <v>125</v>
      </c>
    </row>
    <row r="652" spans="1:19" x14ac:dyDescent="0.2">
      <c r="A652" s="827"/>
      <c r="B652" s="1222" t="s">
        <v>287</v>
      </c>
      <c r="C652" s="827"/>
      <c r="D652" s="827"/>
      <c r="E652" s="827"/>
      <c r="F652" s="997">
        <f>F629/$H$54/$G$70/(F636-$H$65)*1000000000</f>
        <v>3316.3826654649743</v>
      </c>
      <c r="G652" s="1222" t="s">
        <v>78</v>
      </c>
      <c r="H652" s="827"/>
      <c r="I652" s="827"/>
      <c r="J652" s="827"/>
      <c r="K652" s="827"/>
      <c r="M652" s="6" t="s">
        <v>68</v>
      </c>
      <c r="O652" s="30">
        <f>785.4*O650^2/O651</f>
        <v>4523.9039999999995</v>
      </c>
      <c r="P652" s="30">
        <f>785.4*P650^2/P651</f>
        <v>4021.248</v>
      </c>
      <c r="Q652" s="30">
        <f>785.4*Q650^2/Q651</f>
        <v>4188.8</v>
      </c>
      <c r="R652" s="30">
        <f>785.4*R650^2/R651</f>
        <v>3801.3359999999998</v>
      </c>
      <c r="S652" s="30">
        <f>785.4*S650^2/S651</f>
        <v>3927</v>
      </c>
    </row>
    <row r="653" spans="1:19" x14ac:dyDescent="0.2">
      <c r="A653" s="827"/>
      <c r="B653" s="1222" t="s">
        <v>296</v>
      </c>
      <c r="C653" s="827"/>
      <c r="D653" s="827"/>
      <c r="E653" s="827"/>
      <c r="F653" s="997">
        <f>IF(AND(F647&lt;=9,F636&lt;380),$D$157*F636*1000,IF(F647&lt;=9,$D$157*380000,IF(F636&lt;380,$D$158*F636*1000,$D$158*380000)))</f>
        <v>380</v>
      </c>
      <c r="G653" s="1222" t="s">
        <v>78</v>
      </c>
      <c r="H653" s="827"/>
      <c r="I653" s="827"/>
      <c r="J653" s="827"/>
      <c r="K653" s="827"/>
      <c r="M653" s="6" t="s">
        <v>69</v>
      </c>
      <c r="O653" s="30">
        <f>IF(OR(O651&gt;300,O651&lt;100),100000000,O652-H654)</f>
        <v>100000000</v>
      </c>
      <c r="P653" s="30">
        <f>IF(OR(P651&gt;300,P651&lt;100),100000001,P652-H654)</f>
        <v>100000001</v>
      </c>
      <c r="Q653" s="30">
        <f>IF(OR(Q651&gt;300,Q651&lt;100),100000001,Q652-H654)</f>
        <v>100000001</v>
      </c>
      <c r="R653" s="30">
        <f>IF(OR(R651&gt;300,R651&lt;100),100000001,R652-H654)</f>
        <v>484.95333453502553</v>
      </c>
      <c r="S653" s="30">
        <f>IF(OR(S651&gt;300,S651&lt;100),100000001,S652-H654)</f>
        <v>610.61733453502575</v>
      </c>
    </row>
    <row r="654" spans="1:19" x14ac:dyDescent="0.2">
      <c r="A654" s="827"/>
      <c r="B654" s="1222" t="s">
        <v>88</v>
      </c>
      <c r="C654" s="827"/>
      <c r="D654" s="827"/>
      <c r="E654" s="827"/>
      <c r="F654" s="827"/>
      <c r="G654" s="827"/>
      <c r="H654" s="997">
        <f>MAX(F652:F653)</f>
        <v>3316.3826654649743</v>
      </c>
      <c r="I654" s="1222" t="s">
        <v>89</v>
      </c>
      <c r="J654" s="827"/>
      <c r="K654" s="827"/>
      <c r="M654" s="6" t="s">
        <v>70</v>
      </c>
      <c r="O654" s="30">
        <f>IF(S651&lt;100,25,IF(MIN(O653:S653)=O653,12,IF(MIN(O653:S653)=P653,16,IF(MIN(O653:S653)=Q653,20,IF(MIN(O653:S653)=R653,22,IF(MIN(O653:S653)=S653,25,0))))))</f>
        <v>22</v>
      </c>
      <c r="P654" s="6" t="s">
        <v>71</v>
      </c>
      <c r="Q654" s="30">
        <f>IF(O654=12,O651,IF(O654=16,P651,IF(O654=20,Q651,IF(O654=22,R651,IF(O654=25,S651,0)))))</f>
        <v>100</v>
      </c>
      <c r="R654" s="6" t="s">
        <v>72</v>
      </c>
    </row>
    <row r="655" spans="1:19" x14ac:dyDescent="0.2">
      <c r="A655" s="851"/>
      <c r="B655" s="1277" t="s">
        <v>79</v>
      </c>
      <c r="C655" s="1031">
        <v>25</v>
      </c>
      <c r="D655" s="1277" t="s">
        <v>71</v>
      </c>
      <c r="E655" s="1031">
        <v>125</v>
      </c>
      <c r="F655" s="1277" t="s">
        <v>80</v>
      </c>
      <c r="G655" s="851"/>
      <c r="H655" s="1031">
        <f>785.4*C655^2/E655</f>
        <v>3927</v>
      </c>
      <c r="I655" s="1277" t="s">
        <v>81</v>
      </c>
      <c r="J655" s="851"/>
      <c r="K655" s="851"/>
    </row>
    <row r="656" spans="1:19" x14ac:dyDescent="0.2">
      <c r="A656" s="827"/>
      <c r="B656" s="827"/>
      <c r="C656" s="827"/>
      <c r="D656" s="827"/>
      <c r="E656" s="827"/>
      <c r="F656" s="827"/>
      <c r="G656" s="827"/>
      <c r="H656" s="827"/>
      <c r="I656" s="827"/>
      <c r="J656" s="827"/>
      <c r="K656" s="827"/>
    </row>
    <row r="657" spans="1:20" ht="13.5" x14ac:dyDescent="0.25">
      <c r="A657" s="827"/>
      <c r="B657" s="1276" t="s">
        <v>90</v>
      </c>
      <c r="C657" s="827"/>
      <c r="D657" s="827"/>
      <c r="E657" s="827"/>
      <c r="F657" s="827"/>
      <c r="G657" s="827"/>
      <c r="H657" s="827"/>
      <c r="I657" s="827"/>
      <c r="J657" s="827"/>
      <c r="K657" s="827"/>
    </row>
    <row r="658" spans="1:20" x14ac:dyDescent="0.2">
      <c r="A658" s="827"/>
      <c r="B658" s="1222" t="s">
        <v>148</v>
      </c>
      <c r="C658" s="827"/>
      <c r="D658" s="1229">
        <f>$H$59/C655</f>
        <v>672.79752674931865</v>
      </c>
      <c r="E658" s="1222" t="s">
        <v>149</v>
      </c>
      <c r="F658" s="997">
        <f>$H$60</f>
        <v>1103</v>
      </c>
      <c r="G658" s="1222" t="s">
        <v>35</v>
      </c>
      <c r="H658" s="1222" t="s">
        <v>150</v>
      </c>
      <c r="I658" s="827"/>
      <c r="J658" s="1229">
        <f>MIN(D658,F658)</f>
        <v>672.79752674931865</v>
      </c>
      <c r="K658" s="1222" t="s">
        <v>35</v>
      </c>
    </row>
    <row r="659" spans="1:20" x14ac:dyDescent="0.2">
      <c r="A659" s="827"/>
      <c r="B659" s="1222" t="s">
        <v>151</v>
      </c>
      <c r="C659" s="827"/>
      <c r="D659" s="1229">
        <f>F628/(PI()*C655/E655)/$G$70/(F636-$H$65)*1000</f>
        <v>513.03977095002142</v>
      </c>
      <c r="E659" s="1222" t="s">
        <v>35</v>
      </c>
      <c r="F659" s="1272" t="str">
        <f>IF(J658&gt;=D659,"bs(allow)  &gt;  bs(actual)    Design is OK.  &lt;-----","bs(allow)  &lt;  bs(actual)    Design is not OK.  &lt;-----")</f>
        <v>bs(allow)  &gt;  bs(actual)    Design is OK.  &lt;-----</v>
      </c>
      <c r="G659" s="827"/>
      <c r="H659" s="827"/>
      <c r="I659" s="827"/>
      <c r="J659" s="827"/>
      <c r="K659" s="827"/>
    </row>
    <row r="660" spans="1:20" x14ac:dyDescent="0.2">
      <c r="A660" s="827"/>
      <c r="B660" s="827"/>
      <c r="C660" s="827"/>
      <c r="D660" s="827"/>
      <c r="E660" s="827"/>
      <c r="F660" s="827"/>
      <c r="G660" s="827"/>
      <c r="H660" s="827"/>
      <c r="I660" s="827"/>
      <c r="J660" s="827"/>
      <c r="K660" s="827"/>
    </row>
    <row r="661" spans="1:20" ht="13.5" x14ac:dyDescent="0.25">
      <c r="A661" s="1276" t="s">
        <v>93</v>
      </c>
      <c r="B661" s="827"/>
      <c r="C661" s="827"/>
      <c r="D661" s="827"/>
      <c r="E661" s="827"/>
      <c r="F661" s="827"/>
      <c r="G661" s="827"/>
      <c r="H661" s="827"/>
      <c r="I661" s="827"/>
      <c r="J661" s="827"/>
      <c r="K661" s="827"/>
    </row>
    <row r="662" spans="1:20" ht="13.5" x14ac:dyDescent="0.25">
      <c r="A662" s="827"/>
      <c r="B662" s="1276" t="s">
        <v>94</v>
      </c>
      <c r="C662" s="827"/>
      <c r="D662" s="827"/>
      <c r="E662" s="827"/>
      <c r="F662" s="827"/>
      <c r="G662" s="827"/>
      <c r="H662" s="827"/>
      <c r="I662" s="827"/>
      <c r="J662" s="827"/>
      <c r="K662" s="827"/>
    </row>
    <row r="663" spans="1:20" x14ac:dyDescent="0.2">
      <c r="A663" s="827"/>
      <c r="B663" s="1222" t="s">
        <v>156</v>
      </c>
      <c r="C663" s="827"/>
      <c r="D663" s="1282">
        <f>1/2*H655*$H$54*$G$70*($D$35-$H$65)/1000000000</f>
        <v>73.563985143607496</v>
      </c>
      <c r="E663" s="1222" t="s">
        <v>99</v>
      </c>
      <c r="F663" s="1282">
        <f>1/2*H655*$H$54*$G$70*($E$35-$D$35)/$F$35/1000000000</f>
        <v>20.960544407688865</v>
      </c>
      <c r="G663" s="1222" t="s">
        <v>417</v>
      </c>
      <c r="H663" s="1282">
        <f>$H$49*$G$46/6</f>
        <v>1.7243558803347074</v>
      </c>
      <c r="I663" s="1222" t="s">
        <v>104</v>
      </c>
      <c r="J663" s="827"/>
      <c r="K663" s="827"/>
      <c r="M663" s="6" t="s">
        <v>152</v>
      </c>
      <c r="O663" s="6" t="s">
        <v>153</v>
      </c>
      <c r="Q663" s="6" t="s">
        <v>154</v>
      </c>
      <c r="S663" s="6" t="s">
        <v>155</v>
      </c>
    </row>
    <row r="664" spans="1:20" x14ac:dyDescent="0.2">
      <c r="A664" s="827"/>
      <c r="B664" s="1222" t="s">
        <v>158</v>
      </c>
      <c r="C664" s="827"/>
      <c r="D664" s="1282">
        <f>$H$49*$G$46/6</f>
        <v>1.7243558803347074</v>
      </c>
      <c r="E664" s="1222" t="s">
        <v>104</v>
      </c>
      <c r="F664" s="827"/>
      <c r="G664" s="827"/>
      <c r="H664" s="827"/>
      <c r="I664" s="827"/>
      <c r="J664" s="827"/>
      <c r="K664" s="827"/>
      <c r="M664" s="6" t="s">
        <v>157</v>
      </c>
      <c r="O664" s="6" t="s">
        <v>157</v>
      </c>
      <c r="Q664" s="6" t="s">
        <v>157</v>
      </c>
      <c r="S664" s="6" t="s">
        <v>157</v>
      </c>
    </row>
    <row r="665" spans="1:20" x14ac:dyDescent="0.2">
      <c r="A665" s="827"/>
      <c r="B665" s="1222" t="s">
        <v>159</v>
      </c>
      <c r="C665" s="827"/>
      <c r="D665" s="827"/>
      <c r="E665" s="827"/>
      <c r="F665" s="1229">
        <f>T670</f>
        <v>4.6184000000000003</v>
      </c>
      <c r="G665" s="1222" t="s">
        <v>107</v>
      </c>
      <c r="H665" s="827"/>
      <c r="I665" s="827"/>
      <c r="J665" s="827"/>
      <c r="K665" s="827"/>
      <c r="M665" s="27">
        <f>D664*N665^3-F663*N665</f>
        <v>0</v>
      </c>
      <c r="N665" s="25">
        <v>0</v>
      </c>
      <c r="O665" s="44">
        <f>H663*P665^3-F663*P665</f>
        <v>71.423399692890328</v>
      </c>
      <c r="P665" s="25">
        <f>N671</f>
        <v>4.6000000000000005</v>
      </c>
      <c r="Q665" s="44">
        <f>H663*R665^3-F663*R665</f>
        <v>71.423399692890328</v>
      </c>
      <c r="R665" s="25">
        <f>P670</f>
        <v>4.6000000000000005</v>
      </c>
      <c r="S665" s="43">
        <f>H663*T665^3-F663*T665</f>
        <v>71.423399692890328</v>
      </c>
      <c r="T665" s="25">
        <f>R670</f>
        <v>4.6000000000000005</v>
      </c>
    </row>
    <row r="666" spans="1:20" x14ac:dyDescent="0.2">
      <c r="A666" s="827"/>
      <c r="B666" s="1222" t="s">
        <v>160</v>
      </c>
      <c r="C666" s="827"/>
      <c r="D666" s="827"/>
      <c r="E666" s="827"/>
      <c r="F666" s="1229">
        <f>IF(D35+(E35-D35)*F665/F35-$H$65&gt;12*C655,F35-F665+(D35+(E35-D35)*F665/F35-$H$65)/1000,F35-F665+(12*C655)/1000)</f>
        <v>1.6526815686274507</v>
      </c>
      <c r="G666" s="1222" t="s">
        <v>24</v>
      </c>
      <c r="H666" s="827"/>
      <c r="I666" s="827"/>
      <c r="J666" s="827"/>
      <c r="K666" s="827"/>
      <c r="M666" s="44">
        <f>H663*N666^3-F663*N666</f>
        <v>-21.482096319338147</v>
      </c>
      <c r="N666" s="25">
        <f>0.2*$F$35</f>
        <v>1.1500000000000001</v>
      </c>
      <c r="O666" s="44">
        <f>H663*P666^3-F663*P666</f>
        <v>93.058554592118796</v>
      </c>
      <c r="P666" s="25">
        <f>N671+0.04*F35</f>
        <v>4.830000000000001</v>
      </c>
      <c r="Q666" s="44">
        <f>H663*R666^3-F663*R666</f>
        <v>75.544992182278889</v>
      </c>
      <c r="R666" s="25">
        <f>P670+0.008*F35</f>
        <v>4.6460000000000008</v>
      </c>
      <c r="S666" s="43">
        <f>H663*T666^3-F663*T666</f>
        <v>72.239629553732016</v>
      </c>
      <c r="T666" s="25">
        <f>R670+0.0016*F35</f>
        <v>4.6092000000000004</v>
      </c>
    </row>
    <row r="667" spans="1:20" x14ac:dyDescent="0.2">
      <c r="A667" s="827"/>
      <c r="B667" s="1222" t="s">
        <v>112</v>
      </c>
      <c r="C667" s="827"/>
      <c r="D667" s="827"/>
      <c r="E667" s="827"/>
      <c r="F667" s="1229">
        <f>$F$35-F666</f>
        <v>4.0973184313725497</v>
      </c>
      <c r="G667" s="1272" t="str">
        <f>IF(F667&gt;=1," m &gt; 1 m   Curtailment should be made."," m &lt; 1 m  Curtailment should not be made.")</f>
        <v xml:space="preserve"> m &gt; 1 m   Curtailment should be made.</v>
      </c>
      <c r="H667" s="827"/>
      <c r="I667" s="827"/>
      <c r="J667" s="827"/>
      <c r="K667" s="827"/>
      <c r="M667" s="44">
        <f>H663*N667^3-F663*N667</f>
        <v>-27.229014141652005</v>
      </c>
      <c r="N667" s="25">
        <f>0.4*$F$35</f>
        <v>2.3000000000000003</v>
      </c>
      <c r="O667" s="44">
        <f>H663*P667^3-F663*P667</f>
        <v>117.3372194788472</v>
      </c>
      <c r="P667" s="25">
        <f>N671+0.08*F35</f>
        <v>5.0600000000000005</v>
      </c>
      <c r="Q667" s="44">
        <f>H663*R667^3-F663*R667</f>
        <v>79.768296865472152</v>
      </c>
      <c r="R667" s="25">
        <f>P670+0.016*F35</f>
        <v>4.6920000000000002</v>
      </c>
      <c r="S667" s="43">
        <f>H663*T667^3-F663*T667</f>
        <v>73.059895676680327</v>
      </c>
      <c r="T667" s="25">
        <f>R670+0.0032*F35</f>
        <v>4.6184000000000003</v>
      </c>
    </row>
    <row r="668" spans="1:20" x14ac:dyDescent="0.2">
      <c r="A668" s="827"/>
      <c r="B668" s="827"/>
      <c r="C668" s="827"/>
      <c r="D668" s="827"/>
      <c r="E668" s="827"/>
      <c r="F668" s="827"/>
      <c r="G668" s="827"/>
      <c r="H668" s="827"/>
      <c r="I668" s="827"/>
      <c r="J668" s="827"/>
      <c r="K668" s="827"/>
      <c r="M668" s="44">
        <f>H663*N668^3-F663*N668</f>
        <v>-1.5055749699173049</v>
      </c>
      <c r="N668" s="25">
        <f>0.6*$F$35</f>
        <v>3.4499999999999997</v>
      </c>
      <c r="O668" s="44">
        <f>H663*P668^3-F663*P668</f>
        <v>144.38527578105206</v>
      </c>
      <c r="P668" s="25">
        <f>N671+0.12*F35</f>
        <v>5.2900000000000009</v>
      </c>
      <c r="Q668" s="44">
        <f>H663*R668^3-F663*R668</f>
        <v>84.094320793894042</v>
      </c>
      <c r="R668" s="25">
        <f>P670+0.024*F35</f>
        <v>4.7380000000000004</v>
      </c>
      <c r="S668" s="43">
        <f>H663*T668^3-F663*T668</f>
        <v>73.884206118146594</v>
      </c>
      <c r="T668" s="25">
        <f>R670+0.0048*F35</f>
        <v>4.6276000000000002</v>
      </c>
    </row>
    <row r="669" spans="1:20" ht="13.5" x14ac:dyDescent="0.25">
      <c r="A669" s="827"/>
      <c r="B669" s="1276" t="s">
        <v>87</v>
      </c>
      <c r="C669" s="827"/>
      <c r="D669" s="827"/>
      <c r="E669" s="827"/>
      <c r="F669" s="827"/>
      <c r="G669" s="827"/>
      <c r="H669" s="827"/>
      <c r="I669" s="827"/>
      <c r="J669" s="827"/>
      <c r="K669" s="827"/>
      <c r="M669" s="44">
        <f>H663*N669^3-F663*N669</f>
        <v>71.423399692890328</v>
      </c>
      <c r="N669" s="25">
        <f>0.8*F35</f>
        <v>4.6000000000000005</v>
      </c>
      <c r="O669" s="44">
        <f>H663*P669^3-F663*P669</f>
        <v>174.32860492670923</v>
      </c>
      <c r="P669" s="25">
        <f>N671+0.16*F35</f>
        <v>5.5200000000000005</v>
      </c>
      <c r="Q669" s="44">
        <f>H663*R669^3-F663*R669</f>
        <v>88.5240710189683</v>
      </c>
      <c r="R669" s="25">
        <f>P670+0.032*F35</f>
        <v>4.7840000000000007</v>
      </c>
      <c r="S669" s="43">
        <f>H663*T669^3-F663*T669</f>
        <v>74.712568934542404</v>
      </c>
      <c r="T669" s="25">
        <f>R670+0.0064*F35</f>
        <v>4.6368000000000009</v>
      </c>
    </row>
    <row r="670" spans="1:20" x14ac:dyDescent="0.2">
      <c r="A670" s="827"/>
      <c r="B670" s="1222" t="s">
        <v>287</v>
      </c>
      <c r="C670" s="827"/>
      <c r="D670" s="827"/>
      <c r="E670" s="827"/>
      <c r="F670" s="997">
        <f>F652/2</f>
        <v>1658.1913327324871</v>
      </c>
      <c r="G670" s="1222" t="s">
        <v>78</v>
      </c>
      <c r="H670" s="827"/>
      <c r="I670" s="827"/>
      <c r="J670" s="827"/>
      <c r="K670" s="827"/>
      <c r="M670" s="44">
        <f>H663*N670^3-F663*N670</f>
        <v>207.29308834379503</v>
      </c>
      <c r="N670" s="25">
        <f>F35</f>
        <v>5.75</v>
      </c>
      <c r="P670" s="25">
        <f>IF(O666&gt;O665,VLOOKUP(D663,O665:P669,2),IF(O667&gt;O666,VLOOKUP(D663,O666:P669,2),IF(O668&gt;O667,VLOOKUP(D663,O667:P669,2),IF(O669&gt;O668,VLOOKUP(D663,O668:P669,2),P669))))</f>
        <v>4.6000000000000005</v>
      </c>
      <c r="R670" s="25">
        <f>IF(Q666&gt;Q665,VLOOKUP(D663,Q665:R669,2),IF(Q667&gt;Q666,VLOOKUP(D663,Q666:R669,2),IF(Q668&gt;Q667,VLOOKUP(D663,Q667:R669,2),IF(Q669&gt;Q668,VLOOKUP(D663,Q668:R669,2),R669))))</f>
        <v>4.6000000000000005</v>
      </c>
      <c r="T670" s="25">
        <f>IF(S666&gt;S665,VLOOKUP(D663,S665:T669,2),IF(S667&gt;S666,VLOOKUP(D663,S666:T669,2),IF(S668&gt;S667,VLOOKUP(D663,S667:T669,2),IF(S669&gt;S668,VLOOKUP(D663,S668:T669,2),T669))))</f>
        <v>4.6184000000000003</v>
      </c>
    </row>
    <row r="671" spans="1:20" x14ac:dyDescent="0.2">
      <c r="A671" s="827"/>
      <c r="B671" s="1272" t="str">
        <f>IF(F670&gt;=F653,"Ast(moment) &gt; Ast(shrinkage)","Ast(moment) &lt; Ast(shrinkage)")</f>
        <v>Ast(moment) &gt; Ast(shrinkage)</v>
      </c>
      <c r="C671" s="827"/>
      <c r="D671" s="827"/>
      <c r="E671" s="827"/>
      <c r="F671" s="1278" t="s">
        <v>114</v>
      </c>
      <c r="G671" s="1279"/>
      <c r="H671" s="1280">
        <f>IF(OR(F667&lt;1,F670&lt;F653),F35/2,F666)</f>
        <v>1.6526815686274507</v>
      </c>
      <c r="I671" s="1278" t="s">
        <v>115</v>
      </c>
      <c r="J671" s="827"/>
      <c r="K671" s="827"/>
      <c r="N671" s="25">
        <f>IF(M666&gt;M665,VLOOKUP(D663,M665:N670,2),IF(M667&gt;M666,VLOOKUP(D663,M666:N670,2),IF(M668&gt;M667,VLOOKUP(D663,M667:N670,2),IF(M669&gt;M668,VLOOKUP(D663,M668:N670,2),IF(M670&gt;M669,VLOOKUP(D663,M669:N670,2),N670)))))</f>
        <v>4.6000000000000005</v>
      </c>
    </row>
    <row r="672" spans="1:20" x14ac:dyDescent="0.2">
      <c r="A672" s="827"/>
      <c r="B672" s="827"/>
      <c r="C672" s="827"/>
      <c r="D672" s="827"/>
      <c r="E672" s="827"/>
      <c r="F672" s="827"/>
      <c r="G672" s="827"/>
      <c r="H672" s="827"/>
      <c r="I672" s="827"/>
      <c r="J672" s="827"/>
      <c r="K672" s="827"/>
    </row>
    <row r="673" spans="1:20" ht="13.5" x14ac:dyDescent="0.25">
      <c r="A673" s="827"/>
      <c r="B673" s="1276" t="s">
        <v>116</v>
      </c>
      <c r="C673" s="827"/>
      <c r="D673" s="827"/>
      <c r="E673" s="827"/>
      <c r="F673" s="827"/>
      <c r="G673" s="827"/>
      <c r="H673" s="827"/>
      <c r="I673" s="827"/>
      <c r="J673" s="827"/>
      <c r="K673" s="827"/>
      <c r="M673" s="6" t="s">
        <v>152</v>
      </c>
      <c r="O673" s="6" t="s">
        <v>153</v>
      </c>
      <c r="Q673" s="6" t="s">
        <v>154</v>
      </c>
      <c r="S673" s="6" t="s">
        <v>155</v>
      </c>
    </row>
    <row r="674" spans="1:20" x14ac:dyDescent="0.2">
      <c r="A674" s="827"/>
      <c r="B674" s="1222" t="s">
        <v>156</v>
      </c>
      <c r="C674" s="827"/>
      <c r="D674" s="1282">
        <f>1/4*H655*$H$54*$G$70*(D35-$H$65)/1000000000</f>
        <v>36.781992571803748</v>
      </c>
      <c r="E674" s="1222" t="s">
        <v>99</v>
      </c>
      <c r="F674" s="1282">
        <f>1/4*H655*$H$54*$G$70*(E35-D35)/F35/1000000000</f>
        <v>10.480272203844432</v>
      </c>
      <c r="G674" s="1222" t="s">
        <v>417</v>
      </c>
      <c r="H674" s="1282">
        <f>$H$49*$G$46/6</f>
        <v>1.7243558803347074</v>
      </c>
      <c r="I674" s="1222" t="s">
        <v>104</v>
      </c>
      <c r="J674" s="827"/>
      <c r="K674" s="827"/>
      <c r="M674" s="6" t="s">
        <v>157</v>
      </c>
      <c r="O674" s="6" t="s">
        <v>157</v>
      </c>
      <c r="Q674" s="6" t="s">
        <v>157</v>
      </c>
      <c r="S674" s="6" t="s">
        <v>157</v>
      </c>
    </row>
    <row r="675" spans="1:20" x14ac:dyDescent="0.2">
      <c r="A675" s="827"/>
      <c r="B675" s="1222" t="s">
        <v>158</v>
      </c>
      <c r="C675" s="827"/>
      <c r="D675" s="1282">
        <f>$H$49*$G$46/6</f>
        <v>1.7243558803347074</v>
      </c>
      <c r="E675" s="1222" t="s">
        <v>104</v>
      </c>
      <c r="F675" s="827"/>
      <c r="G675" s="827"/>
      <c r="H675" s="827"/>
      <c r="I675" s="827"/>
      <c r="J675" s="827"/>
      <c r="K675" s="827"/>
      <c r="M675" s="27">
        <f>D675*N675^3-F674*N675</f>
        <v>0</v>
      </c>
      <c r="N675" s="25">
        <v>0</v>
      </c>
      <c r="O675" s="44">
        <f>H674*P675^3-F674*P675</f>
        <v>34.651364133345986</v>
      </c>
      <c r="P675" s="25">
        <f>N681</f>
        <v>3.4499999999999997</v>
      </c>
      <c r="Q675" s="44">
        <f>H674*R675^3-F674*R675</f>
        <v>34.651364133345986</v>
      </c>
      <c r="R675" s="25">
        <f>P680</f>
        <v>3.4499999999999997</v>
      </c>
      <c r="S675" s="43">
        <f>H674*T675^3-F674*T675</f>
        <v>34.651364133345986</v>
      </c>
      <c r="T675" s="25">
        <f>R680</f>
        <v>3.4499999999999997</v>
      </c>
    </row>
    <row r="676" spans="1:20" x14ac:dyDescent="0.2">
      <c r="A676" s="827"/>
      <c r="B676" s="1222" t="s">
        <v>159</v>
      </c>
      <c r="C676" s="827"/>
      <c r="D676" s="827"/>
      <c r="E676" s="827"/>
      <c r="F676" s="1229">
        <f>T680</f>
        <v>3.4867999999999997</v>
      </c>
      <c r="G676" s="1222" t="s">
        <v>107</v>
      </c>
      <c r="H676" s="827"/>
      <c r="I676" s="827"/>
      <c r="J676" s="827"/>
      <c r="K676" s="827"/>
      <c r="M676" s="44">
        <f>H674*N676^3-F674*N676</f>
        <v>-9.4297832849170504</v>
      </c>
      <c r="N676" s="25">
        <f>0.2*F35</f>
        <v>1.1500000000000001</v>
      </c>
      <c r="O676" s="44">
        <f>H674*P676^3-F674*P676</f>
        <v>47.367653121601123</v>
      </c>
      <c r="P676" s="25">
        <f>N681+0.04*F35</f>
        <v>3.6799999999999997</v>
      </c>
      <c r="Q676" s="44">
        <f>H674*R676^3-F674*R676</f>
        <v>37.039536011730341</v>
      </c>
      <c r="R676" s="25">
        <f>P680+0.008*F35</f>
        <v>3.4959999999999996</v>
      </c>
      <c r="S676" s="43">
        <f>H674*T676^3-F674*T676</f>
        <v>35.122923974834443</v>
      </c>
      <c r="T676" s="25">
        <f>R680+0.0016*F35</f>
        <v>3.4591999999999996</v>
      </c>
    </row>
    <row r="677" spans="1:20" x14ac:dyDescent="0.2">
      <c r="A677" s="827"/>
      <c r="B677" s="1222" t="s">
        <v>160</v>
      </c>
      <c r="C677" s="827"/>
      <c r="D677" s="827"/>
      <c r="E677" s="827"/>
      <c r="F677" s="1229">
        <f>IF(D35+(E35-D35)*F676/F35-$H$65&gt;12*C655,F35-F676+(D35+(E35-D35)*F676/F35-$H$65)/1000,F35-F676+(12*C655)/1000)</f>
        <v>2.7117356862745101</v>
      </c>
      <c r="G677" s="1222" t="s">
        <v>24</v>
      </c>
      <c r="H677" s="827"/>
      <c r="I677" s="827"/>
      <c r="J677" s="827"/>
      <c r="K677" s="827"/>
      <c r="M677" s="44">
        <f>H674*N677^3-F674*N677</f>
        <v>-3.1243880728098077</v>
      </c>
      <c r="N677" s="25">
        <f>0.4*F35</f>
        <v>2.3000000000000003</v>
      </c>
      <c r="O677" s="44">
        <f>H674*P677^3-F674*P677</f>
        <v>62.098044957475359</v>
      </c>
      <c r="P677" s="25">
        <f>N681+0.08*F35</f>
        <v>3.9099999999999997</v>
      </c>
      <c r="Q677" s="44">
        <f>H674*R677^3-F674*R677</f>
        <v>39.504243798324232</v>
      </c>
      <c r="R677" s="25">
        <f>P680+0.016*F35</f>
        <v>3.5419999999999998</v>
      </c>
      <c r="S677" s="43">
        <f>H674*T677^3-F674*T677</f>
        <v>35.597513027005725</v>
      </c>
      <c r="T677" s="25">
        <f>R680+0.0032*F35</f>
        <v>3.4683999999999999</v>
      </c>
    </row>
    <row r="678" spans="1:20" x14ac:dyDescent="0.2">
      <c r="A678" s="827"/>
      <c r="B678" s="1222" t="s">
        <v>112</v>
      </c>
      <c r="C678" s="827"/>
      <c r="D678" s="827"/>
      <c r="E678" s="827"/>
      <c r="F678" s="1229">
        <f>F35-F677</f>
        <v>3.0382643137254899</v>
      </c>
      <c r="G678" s="1272" t="str">
        <f>IF(F678&gt;=1,"m &gt; 1 m   Curtailment should be made.","m &lt; 1 m   Curtailment should not be made.")</f>
        <v>m &gt; 1 m   Curtailment should be made.</v>
      </c>
      <c r="H678" s="827"/>
      <c r="I678" s="827"/>
      <c r="J678" s="827"/>
      <c r="K678" s="827"/>
      <c r="M678" s="44">
        <f>H674*N678^3-F674*N678</f>
        <v>34.651364133345986</v>
      </c>
      <c r="N678" s="25">
        <f>0.6*F35</f>
        <v>3.4499999999999997</v>
      </c>
      <c r="O678" s="44">
        <f>H674*P678^3-F674*P678</f>
        <v>78.968421068944906</v>
      </c>
      <c r="P678" s="25">
        <f>N681+0.12*F35</f>
        <v>4.1399999999999997</v>
      </c>
      <c r="Q678" s="44">
        <f>H674*R678^3-F674*R678</f>
        <v>42.046494544551429</v>
      </c>
      <c r="R678" s="25">
        <f>P680+0.024*F35</f>
        <v>3.5879999999999996</v>
      </c>
      <c r="S678" s="43">
        <f>H674*T678^3-F674*T678</f>
        <v>36.075139346271207</v>
      </c>
      <c r="T678" s="25">
        <f>R680+0.0048*F35</f>
        <v>3.4775999999999998</v>
      </c>
    </row>
    <row r="679" spans="1:20" x14ac:dyDescent="0.2">
      <c r="A679" s="827"/>
      <c r="B679" s="827"/>
      <c r="C679" s="827"/>
      <c r="D679" s="827"/>
      <c r="E679" s="827"/>
      <c r="F679" s="827"/>
      <c r="G679" s="827"/>
      <c r="H679" s="827"/>
      <c r="I679" s="827"/>
      <c r="J679" s="827"/>
      <c r="K679" s="827"/>
      <c r="M679" s="44">
        <f>H674*N679^3-F674*N679</f>
        <v>119.63265183057473</v>
      </c>
      <c r="N679" s="25">
        <f>0.8*F35</f>
        <v>4.6000000000000005</v>
      </c>
      <c r="O679" s="44">
        <f>H674*P679^3-F674*P679</f>
        <v>98.104662883985981</v>
      </c>
      <c r="P679" s="25">
        <f>N681+0.16*F35</f>
        <v>4.37</v>
      </c>
      <c r="Q679" s="44">
        <f>H674*R679^3-F674*R679</f>
        <v>44.667295301835807</v>
      </c>
      <c r="R679" s="25">
        <f>P680+0.032*F35</f>
        <v>3.6339999999999999</v>
      </c>
      <c r="S679" s="43">
        <f>H674*T679^3-F674*T679</f>
        <v>36.555810989042271</v>
      </c>
      <c r="T679" s="25">
        <f>R680+0.0064*F35</f>
        <v>3.4867999999999997</v>
      </c>
    </row>
    <row r="680" spans="1:20" ht="13.5" x14ac:dyDescent="0.25">
      <c r="A680" s="827"/>
      <c r="B680" s="1276" t="s">
        <v>87</v>
      </c>
      <c r="C680" s="827"/>
      <c r="D680" s="827"/>
      <c r="E680" s="827"/>
      <c r="F680" s="827"/>
      <c r="G680" s="827"/>
      <c r="H680" s="827"/>
      <c r="I680" s="827"/>
      <c r="J680" s="827"/>
      <c r="K680" s="827"/>
      <c r="M680" s="44">
        <f>H674*N680^3-F674*N680</f>
        <v>267.55465351590055</v>
      </c>
      <c r="N680" s="25">
        <f>F35</f>
        <v>5.75</v>
      </c>
      <c r="P680" s="25">
        <f>IF(O676&gt;O675,VLOOKUP(D674,O675:P679,2),IF(O677&gt;O676,VLOOKUP(D674,O676:P679,2),IF(O678&gt;O677,VLOOKUP(D674,O677:P679,2),IF(O679&gt;O678,VLOOKUP(D674,O678:P679,2),P679))))</f>
        <v>3.4499999999999997</v>
      </c>
      <c r="R680" s="25">
        <f>IF(Q676&gt;Q675,VLOOKUP(D674,Q675:R679,2),IF(Q677&gt;Q676,VLOOKUP(D674,Q676:R679,2),IF(Q678&gt;Q677,VLOOKUP(D674,Q677:R679,2),IF(Q679&gt;Q678,VLOOKUP(D674,Q678:R679,2),R679))))</f>
        <v>3.4499999999999997</v>
      </c>
      <c r="T680" s="25">
        <f>IF(S676&gt;S675,VLOOKUP(D674,S675:T679,2),IF(S677&gt;S676,VLOOKUP(D674,S676:T679,2),IF(S678&gt;S677,VLOOKUP(D674,S677:T679,2),IF(S679&gt;S678,VLOOKUP(D674,S678:T679,2),T679))))</f>
        <v>3.4867999999999997</v>
      </c>
    </row>
    <row r="681" spans="1:20" x14ac:dyDescent="0.2">
      <c r="A681" s="827"/>
      <c r="B681" s="1222" t="s">
        <v>161</v>
      </c>
      <c r="C681" s="827"/>
      <c r="D681" s="997">
        <f>F652/4</f>
        <v>829.09566636624356</v>
      </c>
      <c r="E681" s="1222" t="s">
        <v>78</v>
      </c>
      <c r="F681" s="827"/>
      <c r="G681" s="827"/>
      <c r="H681" s="827"/>
      <c r="I681" s="827"/>
      <c r="J681" s="827"/>
      <c r="K681" s="827"/>
      <c r="N681" s="25">
        <f>IF(M676&gt;M675,VLOOKUP(D674,M675:N680,2),IF(M677&gt;M676,VLOOKUP(D674,M676:N680,2),IF(M678&gt;M677,VLOOKUP(D674,M677:N680,2),IF(M679&gt;M678,VLOOKUP(D674,M678:N680,2),IF(M680&gt;M679,VLOOKUP(D674,M679:N680,2),N680)))))</f>
        <v>3.4499999999999997</v>
      </c>
    </row>
    <row r="682" spans="1:20" x14ac:dyDescent="0.2">
      <c r="A682" s="827"/>
      <c r="B682" s="1272" t="str">
        <f>IF(D681&gt;=F653,"Ast(Moment)  &gt;  Ast(Shrinkage)","Ast(Moment)  &lt;  Ast(Shrinkage)")</f>
        <v>Ast(Moment)  &gt;  Ast(Shrinkage)</v>
      </c>
      <c r="C682" s="827"/>
      <c r="D682" s="827"/>
      <c r="E682" s="827"/>
      <c r="F682" s="1278" t="s">
        <v>114</v>
      </c>
      <c r="G682" s="1279"/>
      <c r="H682" s="1280">
        <f>IF(OR(F678&lt;1,D681&lt;F653),F35/2,F677)</f>
        <v>2.7117356862745101</v>
      </c>
      <c r="I682" s="1278" t="s">
        <v>115</v>
      </c>
      <c r="J682" s="827"/>
      <c r="K682" s="827"/>
    </row>
    <row r="683" spans="1:20" x14ac:dyDescent="0.2">
      <c r="A683" s="827"/>
      <c r="B683" s="827"/>
      <c r="C683" s="827"/>
      <c r="D683" s="827"/>
      <c r="E683" s="827"/>
      <c r="F683" s="827"/>
      <c r="G683" s="827"/>
      <c r="H683" s="827"/>
      <c r="I683" s="827"/>
      <c r="J683" s="827"/>
      <c r="K683" s="827"/>
    </row>
    <row r="684" spans="1:20" ht="13.5" x14ac:dyDescent="0.25">
      <c r="A684" s="1299" t="s">
        <v>181</v>
      </c>
      <c r="B684" s="827"/>
      <c r="C684" s="827"/>
      <c r="D684" s="827"/>
      <c r="E684" s="827"/>
      <c r="F684" s="827"/>
      <c r="G684" s="827"/>
      <c r="H684" s="827"/>
      <c r="I684" s="827"/>
      <c r="J684" s="827"/>
      <c r="K684" s="827"/>
    </row>
    <row r="685" spans="1:20" x14ac:dyDescent="0.2">
      <c r="A685" s="827"/>
      <c r="B685" s="827"/>
      <c r="C685" s="827"/>
      <c r="D685" s="827"/>
      <c r="E685" s="827"/>
      <c r="F685" s="827"/>
      <c r="G685" s="827"/>
      <c r="H685" s="827"/>
      <c r="I685" s="827"/>
      <c r="J685" s="827"/>
      <c r="K685" s="827"/>
    </row>
    <row r="686" spans="1:20" ht="13.5" x14ac:dyDescent="0.25">
      <c r="A686" s="1276" t="s">
        <v>54</v>
      </c>
      <c r="B686" s="827"/>
      <c r="C686" s="827"/>
      <c r="D686" s="827"/>
      <c r="E686" s="827"/>
      <c r="F686" s="827"/>
      <c r="G686" s="827"/>
      <c r="H686" s="827"/>
      <c r="I686" s="827"/>
      <c r="J686" s="827"/>
      <c r="K686" s="827"/>
    </row>
    <row r="687" spans="1:20" x14ac:dyDescent="0.2">
      <c r="A687" s="827"/>
      <c r="B687" s="1222" t="s">
        <v>163</v>
      </c>
      <c r="C687" s="827"/>
      <c r="D687" s="827"/>
      <c r="E687" s="827"/>
      <c r="F687" s="1229">
        <f>($D$35+$E$35)/2000*$F$35*$G$45+($E$35-$D$35)/2000*$F$35*$G$46</f>
        <v>86.493529411764712</v>
      </c>
      <c r="G687" s="1222" t="s">
        <v>57</v>
      </c>
      <c r="H687" s="827"/>
      <c r="I687" s="827"/>
      <c r="J687" s="827"/>
      <c r="K687" s="827"/>
    </row>
    <row r="688" spans="1:20" x14ac:dyDescent="0.2">
      <c r="A688" s="827"/>
      <c r="B688" s="1222" t="s">
        <v>164</v>
      </c>
      <c r="C688" s="827"/>
      <c r="D688" s="827"/>
      <c r="E688" s="827"/>
      <c r="F688" s="1229">
        <f>2*F687/J35</f>
        <v>32.665027494754739</v>
      </c>
      <c r="G688" s="1222" t="s">
        <v>120</v>
      </c>
      <c r="H688" s="827"/>
      <c r="I688" s="827"/>
      <c r="J688" s="827"/>
      <c r="K688" s="827"/>
    </row>
    <row r="689" spans="1:11" x14ac:dyDescent="0.2">
      <c r="A689" s="827"/>
      <c r="B689" s="1222" t="s">
        <v>165</v>
      </c>
      <c r="C689" s="827"/>
      <c r="D689" s="827"/>
      <c r="E689" s="827"/>
      <c r="F689" s="1229">
        <f>$H$49*I35^3/6*$G$46</f>
        <v>393.19155837679546</v>
      </c>
      <c r="G689" s="1222" t="s">
        <v>58</v>
      </c>
      <c r="H689" s="827"/>
      <c r="I689" s="827"/>
      <c r="J689" s="827"/>
      <c r="K689" s="827"/>
    </row>
    <row r="690" spans="1:11" x14ac:dyDescent="0.2">
      <c r="A690" s="827"/>
      <c r="B690" s="1222" t="s">
        <v>166</v>
      </c>
      <c r="C690" s="827"/>
      <c r="D690" s="827"/>
      <c r="E690" s="827"/>
      <c r="F690" s="827"/>
      <c r="G690" s="827"/>
      <c r="H690" s="1229">
        <f>((E35-D35)*F35/2*(2/3*D35+E35/3)+D35*F35*D35/2)/((D35+E35)/2*F35)/1000</f>
        <v>0.25384747691249232</v>
      </c>
      <c r="I690" s="1222" t="s">
        <v>24</v>
      </c>
      <c r="J690" s="827"/>
      <c r="K690" s="827"/>
    </row>
    <row r="691" spans="1:11" x14ac:dyDescent="0.2">
      <c r="A691" s="827"/>
      <c r="B691" s="1222" t="s">
        <v>167</v>
      </c>
      <c r="C691" s="827"/>
      <c r="D691" s="827"/>
      <c r="E691" s="827"/>
      <c r="F691" s="1229">
        <f>F689-F687*H690+F688*H690^2/2</f>
        <v>372.28783753184121</v>
      </c>
      <c r="G691" s="1222" t="s">
        <v>58</v>
      </c>
      <c r="H691" s="827"/>
      <c r="I691" s="827"/>
      <c r="J691" s="827"/>
      <c r="K691" s="827"/>
    </row>
    <row r="692" spans="1:11" x14ac:dyDescent="0.2">
      <c r="A692" s="827"/>
      <c r="B692" s="1222" t="s">
        <v>168</v>
      </c>
      <c r="C692" s="827"/>
      <c r="D692" s="827"/>
      <c r="E692" s="827"/>
      <c r="F692" s="1229">
        <f>F689-F687*(H35/2+H690)+F688*J35^2/8</f>
        <v>285.6385206241352</v>
      </c>
      <c r="G692" s="1222" t="s">
        <v>58</v>
      </c>
      <c r="H692" s="827"/>
      <c r="I692" s="827"/>
      <c r="J692" s="827"/>
      <c r="K692" s="827"/>
    </row>
    <row r="693" spans="1:11" x14ac:dyDescent="0.2">
      <c r="A693" s="827"/>
      <c r="B693" s="827"/>
      <c r="C693" s="827"/>
      <c r="D693" s="827"/>
      <c r="E693" s="827"/>
      <c r="F693" s="827"/>
      <c r="G693" s="827"/>
      <c r="H693" s="827"/>
      <c r="I693" s="827"/>
      <c r="J693" s="827"/>
      <c r="K693" s="827"/>
    </row>
    <row r="694" spans="1:11" x14ac:dyDescent="0.2">
      <c r="A694" s="827"/>
      <c r="B694" s="1222" t="s">
        <v>169</v>
      </c>
      <c r="C694" s="827"/>
      <c r="D694" s="827"/>
      <c r="E694" s="827"/>
      <c r="F694" s="1229">
        <f>IF(F692&gt;0,0,-F692)</f>
        <v>0</v>
      </c>
      <c r="G694" s="1222" t="s">
        <v>58</v>
      </c>
      <c r="H694" s="827"/>
      <c r="I694" s="827"/>
      <c r="J694" s="827"/>
      <c r="K694" s="827"/>
    </row>
    <row r="695" spans="1:11" x14ac:dyDescent="0.2">
      <c r="A695" s="827"/>
      <c r="B695" s="1222" t="s">
        <v>170</v>
      </c>
      <c r="C695" s="827"/>
      <c r="D695" s="827"/>
      <c r="E695" s="827"/>
      <c r="F695" s="1229">
        <f>F691</f>
        <v>372.28783753184121</v>
      </c>
      <c r="G695" s="1222" t="s">
        <v>57</v>
      </c>
      <c r="H695" s="827"/>
      <c r="I695" s="827"/>
      <c r="J695" s="827"/>
      <c r="K695" s="827"/>
    </row>
    <row r="696" spans="1:11" x14ac:dyDescent="0.2">
      <c r="A696" s="827"/>
      <c r="B696" s="1222" t="s">
        <v>171</v>
      </c>
      <c r="C696" s="827"/>
      <c r="D696" s="827"/>
      <c r="E696" s="827"/>
      <c r="F696" s="1229">
        <f>F687</f>
        <v>86.493529411764712</v>
      </c>
      <c r="G696" s="1222" t="s">
        <v>58</v>
      </c>
      <c r="H696" s="827"/>
      <c r="I696" s="827"/>
      <c r="J696" s="827"/>
      <c r="K696" s="827"/>
    </row>
    <row r="697" spans="1:11" x14ac:dyDescent="0.2">
      <c r="A697" s="827"/>
      <c r="B697" s="827"/>
      <c r="C697" s="827"/>
      <c r="D697" s="827"/>
      <c r="E697" s="827"/>
      <c r="F697" s="827"/>
      <c r="G697" s="827"/>
      <c r="H697" s="827"/>
      <c r="I697" s="827"/>
      <c r="J697" s="827"/>
      <c r="K697" s="827"/>
    </row>
    <row r="698" spans="1:11" ht="13.5" x14ac:dyDescent="0.25">
      <c r="A698" s="1276" t="s">
        <v>59</v>
      </c>
      <c r="B698" s="827"/>
      <c r="C698" s="827"/>
      <c r="D698" s="827"/>
      <c r="E698" s="827"/>
      <c r="F698" s="827"/>
      <c r="G698" s="827"/>
      <c r="H698" s="827"/>
      <c r="I698" s="827"/>
      <c r="J698" s="827"/>
      <c r="K698" s="827"/>
    </row>
    <row r="699" spans="1:11" x14ac:dyDescent="0.2">
      <c r="A699" s="827"/>
      <c r="B699" s="1222" t="s">
        <v>60</v>
      </c>
      <c r="C699" s="827"/>
      <c r="D699" s="827"/>
      <c r="E699" s="827"/>
      <c r="F699" s="997">
        <f>SQRT(MAX(F694:F695)/$G$71)*1000</f>
        <v>545.08584527941184</v>
      </c>
      <c r="G699" s="1222" t="s">
        <v>43</v>
      </c>
      <c r="H699" s="827"/>
      <c r="I699" s="827"/>
      <c r="J699" s="827"/>
      <c r="K699" s="827"/>
    </row>
    <row r="700" spans="1:11" x14ac:dyDescent="0.2">
      <c r="A700" s="827"/>
      <c r="B700" s="1222" t="s">
        <v>61</v>
      </c>
      <c r="C700" s="827"/>
      <c r="D700" s="827"/>
      <c r="E700" s="827"/>
      <c r="F700" s="997">
        <f>F696/$H$57*1000</f>
        <v>201.77828938883096</v>
      </c>
      <c r="G700" s="1222" t="s">
        <v>43</v>
      </c>
      <c r="H700" s="827"/>
      <c r="I700" s="827"/>
      <c r="J700" s="827"/>
      <c r="K700" s="827"/>
    </row>
    <row r="701" spans="1:11" x14ac:dyDescent="0.2">
      <c r="A701" s="827"/>
      <c r="B701" s="827"/>
      <c r="C701" s="827"/>
      <c r="D701" s="827"/>
      <c r="E701" s="827"/>
      <c r="F701" s="827"/>
      <c r="G701" s="827"/>
      <c r="H701" s="827"/>
      <c r="I701" s="827"/>
      <c r="J701" s="827"/>
      <c r="K701" s="827"/>
    </row>
    <row r="702" spans="1:11" x14ac:dyDescent="0.2">
      <c r="A702" s="827"/>
      <c r="B702" s="1222" t="s">
        <v>138</v>
      </c>
      <c r="C702" s="827"/>
      <c r="D702" s="827"/>
      <c r="E702" s="827"/>
      <c r="F702" s="997">
        <f>MAX(F699:F700)+$H$65</f>
        <v>620.08584527941184</v>
      </c>
      <c r="G702" s="1222" t="s">
        <v>43</v>
      </c>
      <c r="H702" s="827"/>
      <c r="I702" s="827"/>
      <c r="J702" s="827"/>
      <c r="K702" s="827"/>
    </row>
    <row r="703" spans="1:11" x14ac:dyDescent="0.2">
      <c r="A703" s="827"/>
      <c r="B703" s="1222" t="s">
        <v>139</v>
      </c>
      <c r="C703" s="827"/>
      <c r="D703" s="827"/>
      <c r="E703" s="827"/>
      <c r="F703" s="997">
        <f>$G$35</f>
        <v>718.62745098039215</v>
      </c>
      <c r="G703" s="1222" t="s">
        <v>43</v>
      </c>
      <c r="H703" s="827"/>
      <c r="I703" s="827"/>
      <c r="J703" s="827"/>
      <c r="K703" s="827"/>
    </row>
    <row r="704" spans="1:11" x14ac:dyDescent="0.2">
      <c r="A704" s="827"/>
      <c r="B704" s="1272" t="str">
        <f>IF(F703&gt;=F702,"ta  &gt;  tr     Design is OK.","ta  &lt;  tr     Design is Not OK.")</f>
        <v>ta  &gt;  tr     Design is OK.</v>
      </c>
      <c r="C704" s="827"/>
      <c r="D704" s="827"/>
      <c r="E704" s="827"/>
      <c r="F704" s="1222" t="s">
        <v>64</v>
      </c>
      <c r="G704" s="827"/>
      <c r="H704" s="827"/>
      <c r="I704" s="827"/>
      <c r="J704" s="827"/>
      <c r="K704" s="827"/>
    </row>
    <row r="705" spans="1:19" x14ac:dyDescent="0.2">
      <c r="A705" s="827"/>
      <c r="B705" s="1272" t="str">
        <f>IF(F703&gt;1.5*F702,"WARNING:  Actual Member Thickness is considerably larger (&gt;50%) than required.","")</f>
        <v/>
      </c>
      <c r="C705" s="827"/>
      <c r="D705" s="827"/>
      <c r="E705" s="827"/>
      <c r="F705" s="827"/>
      <c r="G705" s="827"/>
      <c r="H705" s="827"/>
      <c r="I705" s="827"/>
      <c r="J705" s="827"/>
      <c r="K705" s="827"/>
    </row>
    <row r="706" spans="1:19" ht="13.5" x14ac:dyDescent="0.25">
      <c r="A706" s="1276" t="s">
        <v>123</v>
      </c>
      <c r="B706" s="827"/>
      <c r="C706" s="827"/>
      <c r="D706" s="827"/>
      <c r="E706" s="827"/>
      <c r="F706" s="827"/>
      <c r="G706" s="827"/>
      <c r="H706" s="827"/>
      <c r="I706" s="827"/>
      <c r="J706" s="827"/>
      <c r="K706" s="827"/>
    </row>
    <row r="707" spans="1:19" x14ac:dyDescent="0.2">
      <c r="A707" s="827"/>
      <c r="B707" s="1222" t="s">
        <v>124</v>
      </c>
      <c r="C707" s="827"/>
      <c r="D707" s="827"/>
      <c r="E707" s="827"/>
      <c r="F707" s="1229">
        <f>MAX($C$32:$C$37)</f>
        <v>16.2</v>
      </c>
      <c r="G707" s="1222" t="s">
        <v>24</v>
      </c>
      <c r="H707" s="827"/>
      <c r="I707" s="827"/>
      <c r="J707" s="827"/>
      <c r="K707" s="827"/>
    </row>
    <row r="708" spans="1:19" x14ac:dyDescent="0.2">
      <c r="A708" s="827"/>
      <c r="B708" s="1222" t="s">
        <v>141</v>
      </c>
      <c r="C708" s="827"/>
      <c r="D708" s="827"/>
      <c r="E708" s="827"/>
      <c r="F708" s="827"/>
      <c r="G708" s="827"/>
      <c r="H708" s="997">
        <f>IF(AND(F707&lt;=9,F703&lt;380),$C$157*F703*1000,IF(F707&lt;=9,$C$157*380000,IF(F703&lt;380,$C$158*F703*1000,$C$158*380000)))</f>
        <v>950</v>
      </c>
      <c r="I708" s="1222" t="s">
        <v>78</v>
      </c>
      <c r="J708" s="827"/>
      <c r="K708" s="827"/>
    </row>
    <row r="709" spans="1:19" x14ac:dyDescent="0.2">
      <c r="A709" s="827"/>
      <c r="B709" s="1222" t="s">
        <v>79</v>
      </c>
      <c r="C709" s="997">
        <f>IF(D983=0,O715,D983)</f>
        <v>16</v>
      </c>
      <c r="D709" s="1222" t="s">
        <v>71</v>
      </c>
      <c r="E709" s="997">
        <f>IF(D983=0,IF(Q715&gt;300,300,Q715),E983)</f>
        <v>200</v>
      </c>
      <c r="F709" s="1222" t="s">
        <v>80</v>
      </c>
      <c r="G709" s="827"/>
      <c r="H709" s="997">
        <f>785.4*C709^2/E709</f>
        <v>1005.312</v>
      </c>
      <c r="I709" s="1222" t="s">
        <v>81</v>
      </c>
      <c r="J709" s="827"/>
      <c r="K709" s="827"/>
    </row>
    <row r="710" spans="1:19" x14ac:dyDescent="0.2">
      <c r="A710" s="827"/>
      <c r="B710" s="1222" t="s">
        <v>142</v>
      </c>
      <c r="C710" s="827"/>
      <c r="D710" s="827"/>
      <c r="E710" s="827"/>
      <c r="F710" s="827"/>
      <c r="G710" s="827"/>
      <c r="H710" s="997">
        <f>IF(AND(F707&lt;=9,F703&lt;380),$D$157*F703*1000,IF(F707&lt;=9,$D$157*380000,IF(F703&lt;380,$D$158*F703*1000,$D$158*380000)))</f>
        <v>570</v>
      </c>
      <c r="I710" s="1222" t="s">
        <v>78</v>
      </c>
      <c r="J710" s="827"/>
      <c r="K710" s="827"/>
    </row>
    <row r="711" spans="1:19" x14ac:dyDescent="0.2">
      <c r="A711" s="827"/>
      <c r="B711" s="1222" t="s">
        <v>79</v>
      </c>
      <c r="C711" s="997">
        <v>16</v>
      </c>
      <c r="D711" s="1222" t="s">
        <v>71</v>
      </c>
      <c r="E711" s="997">
        <v>250</v>
      </c>
      <c r="F711" s="1222" t="s">
        <v>80</v>
      </c>
      <c r="G711" s="827"/>
      <c r="H711" s="997">
        <f>785.4*C711^2/E711</f>
        <v>804.24959999999999</v>
      </c>
      <c r="I711" s="1222" t="s">
        <v>81</v>
      </c>
      <c r="J711" s="827"/>
      <c r="K711" s="827"/>
      <c r="M711" s="6" t="s">
        <v>66</v>
      </c>
      <c r="O711" s="30">
        <v>12</v>
      </c>
      <c r="P711" s="30">
        <v>16</v>
      </c>
      <c r="Q711" s="30">
        <v>20</v>
      </c>
      <c r="R711" s="30">
        <v>22</v>
      </c>
      <c r="S711" s="30">
        <v>25</v>
      </c>
    </row>
    <row r="712" spans="1:19" x14ac:dyDescent="0.2">
      <c r="A712" s="827"/>
      <c r="B712" s="827"/>
      <c r="C712" s="827"/>
      <c r="D712" s="827"/>
      <c r="E712" s="827"/>
      <c r="F712" s="827"/>
      <c r="G712" s="827"/>
      <c r="H712" s="827"/>
      <c r="I712" s="827"/>
      <c r="J712" s="827"/>
      <c r="K712" s="827"/>
      <c r="M712" s="6" t="s">
        <v>67</v>
      </c>
      <c r="O712" s="30">
        <f>IF(H708=0,100000000,TRUNC(785.4*O711^2/H708/25)*25)</f>
        <v>100</v>
      </c>
      <c r="P712" s="30">
        <f>IF(H708=0,100000000,TRUNC(785.4*P711^2/H708/25)*25)</f>
        <v>200</v>
      </c>
      <c r="Q712" s="30">
        <f>IF(H708=0,100000000,TRUNC(785.4*Q711^2/H708/25)*25)</f>
        <v>325</v>
      </c>
      <c r="R712" s="30">
        <f>IF(H708=0,100000000,TRUNC(785.4*R711^2/H708/25)*25)</f>
        <v>400</v>
      </c>
      <c r="S712" s="30">
        <f>IF(H708=0,100000000,TRUNC(785.4*S711^2/H708/25)*25)</f>
        <v>500</v>
      </c>
    </row>
    <row r="713" spans="1:19" ht="13.5" x14ac:dyDescent="0.25">
      <c r="A713" s="1276" t="s">
        <v>125</v>
      </c>
      <c r="B713" s="827"/>
      <c r="C713" s="827"/>
      <c r="D713" s="827"/>
      <c r="E713" s="827"/>
      <c r="F713" s="827"/>
      <c r="G713" s="827"/>
      <c r="H713" s="827"/>
      <c r="I713" s="827"/>
      <c r="J713" s="827"/>
      <c r="K713" s="827"/>
      <c r="M713" s="6" t="s">
        <v>68</v>
      </c>
      <c r="O713" s="30">
        <f>785.4*O711^2/O712</f>
        <v>1130.9759999999999</v>
      </c>
      <c r="P713" s="30">
        <f>785.4*P711^2/P712</f>
        <v>1005.312</v>
      </c>
      <c r="Q713" s="30">
        <f>785.4*Q711^2/Q712</f>
        <v>966.64615384615388</v>
      </c>
      <c r="R713" s="30">
        <f>785.4*R711^2/R712</f>
        <v>950.33399999999995</v>
      </c>
      <c r="S713" s="30">
        <f>785.4*S711^2/S712</f>
        <v>981.75</v>
      </c>
    </row>
    <row r="714" spans="1:19" x14ac:dyDescent="0.2">
      <c r="A714" s="827"/>
      <c r="B714" s="1222" t="s">
        <v>161</v>
      </c>
      <c r="C714" s="827"/>
      <c r="D714" s="827"/>
      <c r="E714" s="827"/>
      <c r="F714" s="997">
        <f>F694/$H$54/$G$70/(F703-$H$65)*1000000000</f>
        <v>0</v>
      </c>
      <c r="G714" s="1222" t="s">
        <v>78</v>
      </c>
      <c r="H714" s="827"/>
      <c r="I714" s="827"/>
      <c r="J714" s="827"/>
      <c r="K714" s="827"/>
      <c r="M714" s="6" t="s">
        <v>69</v>
      </c>
      <c r="O714" s="30">
        <f>IF(OR(O712&gt;300,O712&lt;100),100000000,O713-H708)</f>
        <v>180.97599999999989</v>
      </c>
      <c r="P714" s="30">
        <f>IF(OR(P712&gt;300,P712&lt;100),100000001,P713-H708)</f>
        <v>55.312000000000012</v>
      </c>
      <c r="Q714" s="30">
        <f>IF(OR(Q712&gt;300,Q712&lt;100),100000001,Q713-H708)</f>
        <v>100000001</v>
      </c>
      <c r="R714" s="30">
        <f>IF(OR(R712&gt;300,R712&lt;100),100000001,R713-H708)</f>
        <v>100000001</v>
      </c>
      <c r="S714" s="30">
        <f>IF(OR(S712&gt;300,S712&lt;100),100000001,S713-H708)</f>
        <v>100000001</v>
      </c>
    </row>
    <row r="715" spans="1:19" x14ac:dyDescent="0.2">
      <c r="A715" s="827"/>
      <c r="B715" s="1222" t="s">
        <v>172</v>
      </c>
      <c r="C715" s="827"/>
      <c r="D715" s="827"/>
      <c r="E715" s="827"/>
      <c r="F715" s="1229">
        <f>$H$35+$E$35/500</f>
        <v>5.9644153957879444</v>
      </c>
      <c r="G715" s="1222" t="s">
        <v>24</v>
      </c>
      <c r="H715" s="827"/>
      <c r="I715" s="827"/>
      <c r="J715" s="827"/>
      <c r="K715" s="827"/>
      <c r="M715" s="6" t="s">
        <v>70</v>
      </c>
      <c r="O715" s="30">
        <f>IF(S712&lt;100,25,IF(MIN(O714:S714)=O714,12,IF(MIN(O714:S714)=P714,16,IF(MIN(O714:S714)=Q714,20,IF(MIN(O714:S714)=R714,22,IF(MIN(O714:S714)=S714,25,0))))))</f>
        <v>16</v>
      </c>
      <c r="P715" s="6" t="s">
        <v>71</v>
      </c>
      <c r="Q715" s="30">
        <f>IF(O715=12,O712,IF(O715=16,P712,IF(O715=20,Q712,IF(O715=22,R712,IF(O715=25,S712,0)))))</f>
        <v>200</v>
      </c>
      <c r="R715" s="6" t="s">
        <v>72</v>
      </c>
    </row>
    <row r="716" spans="1:19" x14ac:dyDescent="0.2">
      <c r="A716" s="827"/>
      <c r="B716" s="1222" t="s">
        <v>113</v>
      </c>
      <c r="C716" s="827"/>
      <c r="D716" s="827"/>
      <c r="E716" s="827"/>
      <c r="F716" s="997">
        <f>IF(AND(F715&lt;=9,F703&lt;380),$C$157*F703*1000,IF(F715&lt;=9,$C$157*380000,IF(F703&lt;380,$C$158*F703*1000,$C$158*380000)))</f>
        <v>760</v>
      </c>
      <c r="G716" s="1222" t="s">
        <v>78</v>
      </c>
      <c r="H716" s="827"/>
      <c r="I716" s="827"/>
      <c r="J716" s="827"/>
      <c r="K716" s="827"/>
    </row>
    <row r="717" spans="1:19" x14ac:dyDescent="0.2">
      <c r="A717" s="827"/>
      <c r="B717" s="1222" t="s">
        <v>88</v>
      </c>
      <c r="C717" s="827"/>
      <c r="D717" s="827"/>
      <c r="E717" s="827"/>
      <c r="F717" s="827"/>
      <c r="G717" s="827"/>
      <c r="H717" s="997">
        <f>MAX(F714,F716)</f>
        <v>760</v>
      </c>
      <c r="I717" s="1222" t="s">
        <v>78</v>
      </c>
      <c r="J717" s="827"/>
      <c r="K717" s="827"/>
    </row>
    <row r="718" spans="1:19" x14ac:dyDescent="0.2">
      <c r="A718" s="827"/>
      <c r="B718" s="1222" t="s">
        <v>79</v>
      </c>
      <c r="C718" s="997">
        <f>IF(D1003=0,O731,D1003)</f>
        <v>16</v>
      </c>
      <c r="D718" s="1222" t="s">
        <v>71</v>
      </c>
      <c r="E718" s="997">
        <v>200</v>
      </c>
      <c r="F718" s="1222" t="s">
        <v>80</v>
      </c>
      <c r="G718" s="827"/>
      <c r="H718" s="997">
        <f>785.4*C718^2/E718</f>
        <v>1005.312</v>
      </c>
      <c r="I718" s="1222" t="s">
        <v>81</v>
      </c>
      <c r="J718" s="827"/>
      <c r="K718" s="827"/>
    </row>
    <row r="719" spans="1:19" x14ac:dyDescent="0.2">
      <c r="A719" s="827"/>
      <c r="B719" s="827"/>
      <c r="C719" s="827"/>
      <c r="D719" s="827"/>
      <c r="E719" s="827"/>
      <c r="F719" s="827"/>
      <c r="G719" s="827"/>
      <c r="H719" s="827"/>
      <c r="I719" s="827"/>
      <c r="J719" s="827"/>
      <c r="K719" s="827"/>
      <c r="M719" s="6" t="s">
        <v>66</v>
      </c>
      <c r="O719" s="30">
        <v>12</v>
      </c>
      <c r="P719" s="30">
        <v>16</v>
      </c>
      <c r="Q719" s="30">
        <v>20</v>
      </c>
      <c r="R719" s="30">
        <v>22</v>
      </c>
      <c r="S719" s="30">
        <v>25</v>
      </c>
    </row>
    <row r="720" spans="1:19" ht="13.5" x14ac:dyDescent="0.25">
      <c r="A720" s="1276" t="s">
        <v>126</v>
      </c>
      <c r="B720" s="827"/>
      <c r="C720" s="827"/>
      <c r="D720" s="827"/>
      <c r="E720" s="827"/>
      <c r="F720" s="827"/>
      <c r="G720" s="827"/>
      <c r="H720" s="827"/>
      <c r="I720" s="827"/>
      <c r="J720" s="827"/>
      <c r="K720" s="827"/>
      <c r="M720" s="6" t="s">
        <v>67</v>
      </c>
      <c r="O720" s="30">
        <f>IF(H710=0,100000000,TRUNC(785.4*O719^2/H710/25)*25)</f>
        <v>175</v>
      </c>
      <c r="P720" s="30">
        <f>IF(H710=0,100000000,TRUNC(785.4*P719^2/H710/25)*25)</f>
        <v>350</v>
      </c>
      <c r="Q720" s="30">
        <f>IF(H710=0,100000000,TRUNC(785.4*Q719^2/H710/25)*25)</f>
        <v>550</v>
      </c>
      <c r="R720" s="30">
        <f>IF(H710=0,100000000,TRUNC(785.4*R719^2/H710/25)*25)</f>
        <v>650</v>
      </c>
      <c r="S720" s="30">
        <f>IF(H710=0,100000000,TRUNC(785.4*S719^2/H710/25)*25)</f>
        <v>850</v>
      </c>
    </row>
    <row r="721" spans="1:19" x14ac:dyDescent="0.2">
      <c r="A721" s="827"/>
      <c r="B721" s="1222" t="s">
        <v>161</v>
      </c>
      <c r="C721" s="827"/>
      <c r="D721" s="827"/>
      <c r="E721" s="827"/>
      <c r="F721" s="997">
        <f>F695/$H$54/$G$70/(F703-$H$65)*1000000000</f>
        <v>3473.701252923528</v>
      </c>
      <c r="G721" s="1222" t="s">
        <v>78</v>
      </c>
      <c r="H721" s="827"/>
      <c r="I721" s="827"/>
      <c r="J721" s="827"/>
      <c r="K721" s="827"/>
      <c r="M721" s="6" t="s">
        <v>68</v>
      </c>
      <c r="O721" s="30">
        <f>785.4*O719^2/O720</f>
        <v>646.27199999999993</v>
      </c>
      <c r="P721" s="30">
        <f>785.4*P719^2/P720</f>
        <v>574.46399999999994</v>
      </c>
      <c r="Q721" s="30">
        <f>785.4*Q719^2/Q720</f>
        <v>571.20000000000005</v>
      </c>
      <c r="R721" s="30">
        <f>785.4*R719^2/R720</f>
        <v>584.82092307692301</v>
      </c>
      <c r="S721" s="30">
        <f>785.4*S719^2/S720</f>
        <v>577.5</v>
      </c>
    </row>
    <row r="722" spans="1:19" x14ac:dyDescent="0.2">
      <c r="A722" s="827"/>
      <c r="B722" s="1222" t="s">
        <v>113</v>
      </c>
      <c r="C722" s="827"/>
      <c r="D722" s="827"/>
      <c r="E722" s="827"/>
      <c r="F722" s="997">
        <f>IF(AND(F715&lt;=9,F703&lt;380),$D$157*F703*1000,IF(F715&lt;=9,$D$157*380000,IF(F703&lt;380,$D$158*F703*1000,$D$158*380000)))</f>
        <v>380</v>
      </c>
      <c r="G722" s="1222" t="s">
        <v>78</v>
      </c>
      <c r="H722" s="827"/>
      <c r="I722" s="827"/>
      <c r="J722" s="827"/>
      <c r="K722" s="827"/>
      <c r="M722" s="6" t="s">
        <v>69</v>
      </c>
      <c r="O722" s="30">
        <f>IF(OR(O720&gt;300,O720&lt;100),100000000,O721-H710)</f>
        <v>76.271999999999935</v>
      </c>
      <c r="P722" s="30">
        <f>IF(OR(P720&gt;300,P720&lt;100),100000001,P721-H710)</f>
        <v>100000001</v>
      </c>
      <c r="Q722" s="30">
        <f>IF(OR(Q720&gt;300,Q720&lt;100),100000001,Q721-H710)</f>
        <v>100000001</v>
      </c>
      <c r="R722" s="30">
        <f>IF(OR(R720&gt;300,R720&lt;100),100000001,R721-H710)</f>
        <v>100000001</v>
      </c>
      <c r="S722" s="30">
        <f>IF(OR(S720&gt;300,S720&lt;100),100000001,S721-H710)</f>
        <v>100000001</v>
      </c>
    </row>
    <row r="723" spans="1:19" x14ac:dyDescent="0.2">
      <c r="A723" s="827"/>
      <c r="B723" s="1222" t="s">
        <v>88</v>
      </c>
      <c r="C723" s="827"/>
      <c r="D723" s="827"/>
      <c r="E723" s="827"/>
      <c r="F723" s="827"/>
      <c r="G723" s="827"/>
      <c r="H723" s="997">
        <f>MAX(F721:F722)</f>
        <v>3473.701252923528</v>
      </c>
      <c r="I723" s="1222" t="s">
        <v>89</v>
      </c>
      <c r="J723" s="827"/>
      <c r="K723" s="827"/>
      <c r="M723" s="6" t="s">
        <v>70</v>
      </c>
      <c r="O723" s="30">
        <f>IF(S720&lt;100,25,IF(MIN(O722:S722)=O722,12,IF(MIN(O722:S722)=P722,16,IF(MIN(O722:S722)=Q722,20,IF(MIN(O722:S722)=R722,22,IF(MIN(O722:S722)=S722,25,0))))))</f>
        <v>12</v>
      </c>
      <c r="P723" s="6" t="s">
        <v>71</v>
      </c>
      <c r="Q723" s="30">
        <f>IF(O723=12,O720,IF(O723=16,P720,IF(O723=20,Q720,IF(O723=22,R720,IF(O723=25,S720,0)))))</f>
        <v>175</v>
      </c>
      <c r="R723" s="6" t="s">
        <v>72</v>
      </c>
    </row>
    <row r="724" spans="1:19" x14ac:dyDescent="0.2">
      <c r="A724" s="851"/>
      <c r="B724" s="1277" t="s">
        <v>79</v>
      </c>
      <c r="C724" s="1031">
        <v>25</v>
      </c>
      <c r="D724" s="1277" t="s">
        <v>71</v>
      </c>
      <c r="E724" s="1031">
        <v>125</v>
      </c>
      <c r="F724" s="1277" t="s">
        <v>80</v>
      </c>
      <c r="G724" s="851"/>
      <c r="H724" s="1031">
        <f>785.4*C724^2/E724</f>
        <v>3927</v>
      </c>
      <c r="I724" s="1277" t="s">
        <v>81</v>
      </c>
      <c r="J724" s="851"/>
      <c r="K724" s="851"/>
    </row>
    <row r="725" spans="1:19" x14ac:dyDescent="0.2">
      <c r="A725" s="827"/>
      <c r="B725" s="827"/>
      <c r="C725" s="827"/>
      <c r="D725" s="827"/>
      <c r="E725" s="827"/>
      <c r="F725" s="827"/>
      <c r="G725" s="827"/>
      <c r="H725" s="827"/>
      <c r="I725" s="827"/>
      <c r="J725" s="827"/>
      <c r="K725" s="827"/>
    </row>
    <row r="726" spans="1:19" ht="13.5" x14ac:dyDescent="0.25">
      <c r="A726" s="1276" t="s">
        <v>93</v>
      </c>
      <c r="B726" s="827"/>
      <c r="C726" s="827"/>
      <c r="D726" s="827"/>
      <c r="E726" s="827"/>
      <c r="F726" s="827"/>
      <c r="G726" s="827"/>
      <c r="H726" s="827"/>
      <c r="I726" s="827"/>
      <c r="J726" s="827"/>
      <c r="K726" s="827"/>
    </row>
    <row r="727" spans="1:19" ht="13.5" x14ac:dyDescent="0.25">
      <c r="A727" s="827"/>
      <c r="B727" s="1276" t="s">
        <v>94</v>
      </c>
      <c r="C727" s="827"/>
      <c r="D727" s="827"/>
      <c r="E727" s="827"/>
      <c r="F727" s="827"/>
      <c r="G727" s="827"/>
      <c r="H727" s="827"/>
      <c r="I727" s="827"/>
      <c r="J727" s="827"/>
      <c r="K727" s="827"/>
      <c r="M727" s="6" t="s">
        <v>66</v>
      </c>
      <c r="O727" s="30">
        <v>12</v>
      </c>
      <c r="P727" s="30">
        <v>16</v>
      </c>
      <c r="Q727" s="30">
        <v>20</v>
      </c>
      <c r="R727" s="30">
        <v>22</v>
      </c>
      <c r="S727" s="30">
        <v>25</v>
      </c>
    </row>
    <row r="728" spans="1:19" x14ac:dyDescent="0.2">
      <c r="A728" s="827"/>
      <c r="B728" s="1222" t="s">
        <v>173</v>
      </c>
      <c r="C728" s="827"/>
      <c r="D728" s="827"/>
      <c r="E728" s="827"/>
      <c r="F728" s="1282">
        <f>F689/2</f>
        <v>196.59577918839773</v>
      </c>
      <c r="G728" s="1222" t="s">
        <v>111</v>
      </c>
      <c r="H728" s="1229">
        <f>F687</f>
        <v>86.493529411764712</v>
      </c>
      <c r="I728" s="1222" t="s">
        <v>174</v>
      </c>
      <c r="J728" s="1282">
        <f>F688/2</f>
        <v>16.332513747377369</v>
      </c>
      <c r="K728" s="1222" t="s">
        <v>129</v>
      </c>
      <c r="M728" s="6" t="s">
        <v>67</v>
      </c>
      <c r="O728" s="30">
        <f>IF(H717=0,100000000,TRUNC(785.4*O727^2/H717/25)*25)</f>
        <v>125</v>
      </c>
      <c r="P728" s="30">
        <f>IF(H717=0,100000000,TRUNC(785.4*P727^2/H717/25)*25)</f>
        <v>250</v>
      </c>
      <c r="Q728" s="30">
        <f>IF(H717=0,100000000,TRUNC(785.4*Q727^2/H717/25)*25)</f>
        <v>400</v>
      </c>
      <c r="R728" s="30">
        <f>IF(H717=0,100000000,TRUNC(785.4*R727^2/H717/25)*25)</f>
        <v>500</v>
      </c>
      <c r="S728" s="30">
        <f>IF(H717=0,100000000,TRUNC(785.4*S727^2/H717/25)*25)</f>
        <v>625</v>
      </c>
    </row>
    <row r="729" spans="1:19" x14ac:dyDescent="0.2">
      <c r="A729" s="827"/>
      <c r="B729" s="1222" t="s">
        <v>175</v>
      </c>
      <c r="C729" s="827"/>
      <c r="D729" s="827"/>
      <c r="E729" s="827"/>
      <c r="F729" s="827"/>
      <c r="G729" s="827"/>
      <c r="H729" s="827"/>
      <c r="I729" s="1272" t="str">
        <f>IF(F730=J35/2,"There is no solution to the quadratic equation.","")</f>
        <v>There is no solution to the quadratic equation.</v>
      </c>
      <c r="J729" s="827"/>
      <c r="K729" s="827"/>
      <c r="M729" s="6" t="s">
        <v>68</v>
      </c>
      <c r="O729" s="30">
        <f>785.4*O727^2/O728</f>
        <v>904.78079999999989</v>
      </c>
      <c r="P729" s="30">
        <f>785.4*P727^2/P728</f>
        <v>804.24959999999999</v>
      </c>
      <c r="Q729" s="30">
        <f>785.4*Q727^2/Q728</f>
        <v>785.4</v>
      </c>
      <c r="R729" s="30">
        <f>785.4*R727^2/R728</f>
        <v>760.2672</v>
      </c>
      <c r="S729" s="30">
        <f>785.4*S727^2/S728</f>
        <v>785.4</v>
      </c>
    </row>
    <row r="730" spans="1:19" x14ac:dyDescent="0.2">
      <c r="A730" s="827"/>
      <c r="B730" s="827"/>
      <c r="C730" s="1222" t="s">
        <v>176</v>
      </c>
      <c r="D730" s="827"/>
      <c r="E730" s="827"/>
      <c r="F730" s="1229">
        <f>IF(H728^2-4*J728*F728&lt;0,J35/2,(H728-SQRT(H728^2-4*J728*F728))/2/J728)</f>
        <v>2.6478939724037764</v>
      </c>
      <c r="G730" s="1222" t="s">
        <v>24</v>
      </c>
      <c r="H730" s="827"/>
      <c r="I730" s="1272" t="str">
        <f>IF(F730=J35/2,"No curtailment should be made:   d  =  B'/2","")</f>
        <v>No curtailment should be made:   d  =  B'/2</v>
      </c>
      <c r="J730" s="827"/>
      <c r="K730" s="827"/>
      <c r="M730" s="6" t="s">
        <v>69</v>
      </c>
      <c r="O730" s="30">
        <f>IF(OR(O728&gt;300,O728&lt;100),100000000,O729-H717)</f>
        <v>144.78079999999989</v>
      </c>
      <c r="P730" s="30">
        <f>IF(OR(P728&gt;300,P728&lt;100),100000001,P729-H717)</f>
        <v>44.249599999999987</v>
      </c>
      <c r="Q730" s="30">
        <f>IF(OR(Q728&gt;300,Q728&lt;100),100000001,Q729-H717)</f>
        <v>100000001</v>
      </c>
      <c r="R730" s="30">
        <f>IF(OR(R728&gt;300,R728&lt;100),100000001,R729-H717)</f>
        <v>100000001</v>
      </c>
      <c r="S730" s="30">
        <f>IF(OR(S728&gt;300,S728&lt;100),100000001,S729-H717)</f>
        <v>100000001</v>
      </c>
    </row>
    <row r="731" spans="1:19" x14ac:dyDescent="0.2">
      <c r="A731" s="827"/>
      <c r="B731" s="827"/>
      <c r="C731" s="1222" t="s">
        <v>177</v>
      </c>
      <c r="D731" s="827"/>
      <c r="E731" s="827"/>
      <c r="F731" s="1229">
        <f>IF(F703-$H$65&gt;12*C724,F730+(-E35/2+F703-$H$65)/1000,F730+(-E35/2+12*C724)/1000)</f>
        <v>2.9572076978939723</v>
      </c>
      <c r="G731" s="1222" t="s">
        <v>24</v>
      </c>
      <c r="H731" s="827"/>
      <c r="I731" s="827"/>
      <c r="J731" s="827"/>
      <c r="K731" s="827"/>
      <c r="M731" s="6" t="s">
        <v>70</v>
      </c>
      <c r="O731" s="30">
        <f>IF(S728&lt;100,25,IF(MIN(O730:S730)=O730,12,IF(MIN(O730:S730)=P730,16,IF(MIN(O730:S730)=Q730,20,IF(MIN(O730:S730)=R730,22,IF(MIN(O730:S730)=S730,25,0))))))</f>
        <v>16</v>
      </c>
      <c r="P731" s="6" t="s">
        <v>71</v>
      </c>
      <c r="Q731" s="30">
        <f>IF(O731=12,O728,IF(O731=16,P728,IF(O731=20,Q728,IF(O731=22,R728,IF(O731=25,S728,0)))))</f>
        <v>250</v>
      </c>
      <c r="R731" s="6" t="s">
        <v>72</v>
      </c>
    </row>
    <row r="732" spans="1:19" x14ac:dyDescent="0.2">
      <c r="A732" s="827"/>
      <c r="B732" s="827"/>
      <c r="C732" s="1222" t="s">
        <v>133</v>
      </c>
      <c r="D732" s="827"/>
      <c r="E732" s="827"/>
      <c r="F732" s="1229">
        <f>H35/2-F731</f>
        <v>-0.64362745098039209</v>
      </c>
      <c r="G732" s="1272" t="str">
        <f>IF(F732&gt;=1," m &gt; 1 m  Curtailment should be made."," m &lt; 1 m   Curtailment should not be made:  x = B/2")</f>
        <v xml:space="preserve"> m &lt; 1 m   Curtailment should not be made:  x = B/2</v>
      </c>
      <c r="H732" s="827"/>
      <c r="I732" s="827"/>
      <c r="J732" s="827"/>
      <c r="K732" s="827"/>
    </row>
    <row r="733" spans="1:19" x14ac:dyDescent="0.2">
      <c r="A733" s="827"/>
      <c r="B733" s="827"/>
      <c r="C733" s="827"/>
      <c r="D733" s="827"/>
      <c r="E733" s="827"/>
      <c r="F733" s="827"/>
      <c r="G733" s="827"/>
      <c r="H733" s="827"/>
      <c r="I733" s="827"/>
      <c r="J733" s="827"/>
      <c r="K733" s="827"/>
    </row>
    <row r="734" spans="1:19" ht="13.5" x14ac:dyDescent="0.25">
      <c r="A734" s="827"/>
      <c r="B734" s="1276" t="s">
        <v>87</v>
      </c>
      <c r="C734" s="827"/>
      <c r="D734" s="827"/>
      <c r="E734" s="827"/>
      <c r="F734" s="827"/>
      <c r="G734" s="827"/>
      <c r="H734" s="827"/>
      <c r="I734" s="827"/>
      <c r="J734" s="827"/>
      <c r="K734" s="827"/>
    </row>
    <row r="735" spans="1:19" x14ac:dyDescent="0.2">
      <c r="A735" s="827"/>
      <c r="B735" s="1222" t="s">
        <v>161</v>
      </c>
      <c r="C735" s="827"/>
      <c r="D735" s="827"/>
      <c r="E735" s="827"/>
      <c r="F735" s="997">
        <f>H723/2</f>
        <v>1736.850626461764</v>
      </c>
      <c r="G735" s="1222" t="s">
        <v>78</v>
      </c>
      <c r="H735" s="827"/>
      <c r="I735" s="827"/>
      <c r="J735" s="827"/>
      <c r="K735" s="827"/>
      <c r="M735" s="6" t="s">
        <v>66</v>
      </c>
      <c r="O735" s="30">
        <v>12</v>
      </c>
      <c r="P735" s="30">
        <v>16</v>
      </c>
      <c r="Q735" s="30">
        <v>20</v>
      </c>
      <c r="R735" s="30">
        <v>22</v>
      </c>
      <c r="S735" s="30">
        <v>25</v>
      </c>
    </row>
    <row r="736" spans="1:19" x14ac:dyDescent="0.2">
      <c r="A736" s="827"/>
      <c r="B736" s="1272" t="str">
        <f>IF(F735&gt;=F722,"Ast(Moment)  &gt;  Ast(Shrinkage)","Ast(Moment)  &lt;  Ast(Shrinkage)")</f>
        <v>Ast(Moment)  &gt;  Ast(Shrinkage)</v>
      </c>
      <c r="C736" s="827"/>
      <c r="D736" s="827"/>
      <c r="E736" s="827"/>
      <c r="F736" s="1278" t="s">
        <v>114</v>
      </c>
      <c r="G736" s="1279"/>
      <c r="H736" s="1280">
        <f>IF(OR(F732&lt;1,F735&lt;F722),J35/2,F731)</f>
        <v>2.6478939724037764</v>
      </c>
      <c r="I736" s="1278" t="s">
        <v>115</v>
      </c>
      <c r="J736" s="827"/>
      <c r="K736" s="827"/>
      <c r="M736" s="6" t="s">
        <v>67</v>
      </c>
      <c r="O736" s="30">
        <f>IF(H723=0,100000000,TRUNC(785.4*O735^2/H723/25)*25)</f>
        <v>25</v>
      </c>
      <c r="P736" s="30">
        <f>IF(H723=0,100000000,TRUNC(785.4*P735^2/H723/25)*25)</f>
        <v>50</v>
      </c>
      <c r="Q736" s="30">
        <f>IF(H723=0,100000000,TRUNC(785.4*Q735^2/H723/25)*25)</f>
        <v>75</v>
      </c>
      <c r="R736" s="30">
        <f>IF(H723=0,100000000,TRUNC(785.4*R735^2/H723/25)*25)</f>
        <v>100</v>
      </c>
      <c r="S736" s="30">
        <f>IF(H723=0,100000000,TRUNC(785.4*S735^2/H723/25)*25)</f>
        <v>125</v>
      </c>
    </row>
    <row r="737" spans="1:19" x14ac:dyDescent="0.2">
      <c r="A737" s="827"/>
      <c r="B737" s="827"/>
      <c r="C737" s="827"/>
      <c r="D737" s="827"/>
      <c r="E737" s="827"/>
      <c r="F737" s="827"/>
      <c r="G737" s="827"/>
      <c r="H737" s="827"/>
      <c r="I737" s="827"/>
      <c r="J737" s="827"/>
      <c r="K737" s="827"/>
      <c r="M737" s="6" t="s">
        <v>68</v>
      </c>
      <c r="O737" s="30">
        <f>785.4*O735^2/O736</f>
        <v>4523.9039999999995</v>
      </c>
      <c r="P737" s="30">
        <f>785.4*P735^2/P736</f>
        <v>4021.248</v>
      </c>
      <c r="Q737" s="30">
        <f>785.4*Q735^2/Q736</f>
        <v>4188.8</v>
      </c>
      <c r="R737" s="30">
        <f>785.4*R735^2/R736</f>
        <v>3801.3359999999998</v>
      </c>
      <c r="S737" s="30">
        <f>785.4*S735^2/S736</f>
        <v>3927</v>
      </c>
    </row>
    <row r="738" spans="1:19" ht="13.5" x14ac:dyDescent="0.25">
      <c r="A738" s="827"/>
      <c r="B738" s="1276" t="s">
        <v>116</v>
      </c>
      <c r="C738" s="827"/>
      <c r="D738" s="827"/>
      <c r="E738" s="827"/>
      <c r="F738" s="827"/>
      <c r="G738" s="827"/>
      <c r="H738" s="827"/>
      <c r="I738" s="827"/>
      <c r="J738" s="827"/>
      <c r="K738" s="827"/>
      <c r="M738" s="6" t="s">
        <v>69</v>
      </c>
      <c r="O738" s="30">
        <f>IF(OR(O736&gt;300,O736&lt;100),100000000,O737-H723)</f>
        <v>100000000</v>
      </c>
      <c r="P738" s="30">
        <f>IF(OR(P736&gt;300,P736&lt;100),100000001,P737-H723)</f>
        <v>100000001</v>
      </c>
      <c r="Q738" s="30">
        <f>IF(OR(Q736&gt;300,Q736&lt;100),100000001,Q737-H723)</f>
        <v>100000001</v>
      </c>
      <c r="R738" s="30">
        <f>IF(OR(R736&gt;300,R736&lt;100),100000001,R737-H723)</f>
        <v>327.63474707647174</v>
      </c>
      <c r="S738" s="30">
        <f>IF(OR(S736&gt;300,S736&lt;100),100000001,S737-H723)</f>
        <v>453.29874707647195</v>
      </c>
    </row>
    <row r="739" spans="1:19" x14ac:dyDescent="0.2">
      <c r="A739" s="827"/>
      <c r="B739" s="1222" t="s">
        <v>173</v>
      </c>
      <c r="C739" s="827"/>
      <c r="D739" s="827"/>
      <c r="E739" s="827"/>
      <c r="F739" s="1282">
        <f>3*F689/4</f>
        <v>294.89366878259659</v>
      </c>
      <c r="G739" s="1222" t="s">
        <v>111</v>
      </c>
      <c r="H739" s="1229">
        <f>F687</f>
        <v>86.493529411764712</v>
      </c>
      <c r="I739" s="1222" t="s">
        <v>174</v>
      </c>
      <c r="J739" s="1282">
        <f>F688/2</f>
        <v>16.332513747377369</v>
      </c>
      <c r="K739" s="1222" t="s">
        <v>129</v>
      </c>
      <c r="M739" s="6" t="s">
        <v>70</v>
      </c>
      <c r="O739" s="30">
        <f>IF(S736&lt;100,25,IF(MIN(O738:S738)=O738,12,IF(MIN(O738:S738)=P738,16,IF(MIN(O738:S738)=Q738,20,IF(MIN(O738:S738)=R738,22,IF(MIN(O738:S738)=S738,25,0))))))</f>
        <v>22</v>
      </c>
      <c r="P739" s="6" t="s">
        <v>71</v>
      </c>
      <c r="Q739" s="30">
        <f>IF(O739=12,O736,IF(O739=16,P736,IF(O739=20,Q736,IF(O739=22,R736,IF(O739=25,S736,0)))))</f>
        <v>100</v>
      </c>
      <c r="R739" s="6" t="s">
        <v>72</v>
      </c>
    </row>
    <row r="740" spans="1:19" x14ac:dyDescent="0.2">
      <c r="A740" s="827"/>
      <c r="B740" s="1222" t="s">
        <v>175</v>
      </c>
      <c r="C740" s="827"/>
      <c r="D740" s="827"/>
      <c r="E740" s="827"/>
      <c r="F740" s="827"/>
      <c r="G740" s="1272" t="str">
        <f>IF(E741=J35/2,"There is no solution to the quadratic equation.","")</f>
        <v>There is no solution to the quadratic equation.</v>
      </c>
      <c r="H740" s="827"/>
      <c r="I740" s="827"/>
      <c r="J740" s="827"/>
      <c r="K740" s="827"/>
    </row>
    <row r="741" spans="1:19" x14ac:dyDescent="0.2">
      <c r="A741" s="827"/>
      <c r="B741" s="1222" t="s">
        <v>176</v>
      </c>
      <c r="C741" s="827"/>
      <c r="D741" s="827"/>
      <c r="E741" s="1229">
        <f>IF(H739^2-4*J739*F739&lt;0,J35/2,(H739-SQRT(H739^2-4*J739*F739))/2/J739)</f>
        <v>2.6478939724037764</v>
      </c>
      <c r="F741" s="1222" t="s">
        <v>24</v>
      </c>
      <c r="G741" s="1272" t="str">
        <f>IF(E741=J35/2,"No curtailment should be made: d = B'/2","")</f>
        <v>No curtailment should be made: d = B'/2</v>
      </c>
      <c r="H741" s="827"/>
      <c r="I741" s="827"/>
      <c r="J741" s="827"/>
      <c r="K741" s="827"/>
    </row>
    <row r="742" spans="1:19" x14ac:dyDescent="0.2">
      <c r="A742" s="827"/>
      <c r="B742" s="1222" t="s">
        <v>177</v>
      </c>
      <c r="C742" s="827"/>
      <c r="D742" s="827"/>
      <c r="E742" s="1229">
        <f>IF(F703-$H$65&gt;12*C724,E741+(-E35/2+F703-$H$65)/1000,E741+(-E35/2+12*C724)/1000)</f>
        <v>2.9572076978939723</v>
      </c>
      <c r="F742" s="1222" t="s">
        <v>24</v>
      </c>
      <c r="G742" s="827"/>
      <c r="H742" s="827"/>
      <c r="I742" s="827"/>
      <c r="J742" s="827"/>
      <c r="K742" s="827"/>
    </row>
    <row r="743" spans="1:19" x14ac:dyDescent="0.2">
      <c r="A743" s="827"/>
      <c r="B743" s="1222" t="s">
        <v>133</v>
      </c>
      <c r="C743" s="827"/>
      <c r="D743" s="827"/>
      <c r="E743" s="1229">
        <f>J35/2-E742</f>
        <v>-0.30931372549019587</v>
      </c>
      <c r="F743" s="1272" t="str">
        <f>IF(E743&gt;=1," m &gt; 1 m   Curtailment should be made."," m &lt; 1 m    Curtailment should not be made:  x = B/2")</f>
        <v xml:space="preserve"> m &lt; 1 m    Curtailment should not be made:  x = B/2</v>
      </c>
      <c r="G743" s="827"/>
      <c r="H743" s="827"/>
      <c r="I743" s="827"/>
      <c r="J743" s="827"/>
      <c r="K743" s="827"/>
    </row>
    <row r="744" spans="1:19" x14ac:dyDescent="0.2">
      <c r="A744" s="827"/>
      <c r="B744" s="827"/>
      <c r="C744" s="827"/>
      <c r="D744" s="827"/>
      <c r="E744" s="827"/>
      <c r="F744" s="827"/>
      <c r="G744" s="827"/>
      <c r="H744" s="827"/>
      <c r="I744" s="827"/>
      <c r="J744" s="827"/>
      <c r="K744" s="827"/>
    </row>
    <row r="745" spans="1:19" ht="13.5" x14ac:dyDescent="0.25">
      <c r="A745" s="827"/>
      <c r="B745" s="1276" t="s">
        <v>87</v>
      </c>
      <c r="C745" s="827"/>
      <c r="D745" s="827"/>
      <c r="E745" s="827"/>
      <c r="F745" s="827"/>
      <c r="G745" s="827"/>
      <c r="H745" s="827"/>
      <c r="I745" s="827"/>
      <c r="J745" s="827"/>
      <c r="K745" s="827"/>
    </row>
    <row r="746" spans="1:19" x14ac:dyDescent="0.2">
      <c r="A746" s="827"/>
      <c r="B746" s="1222" t="s">
        <v>287</v>
      </c>
      <c r="C746" s="827"/>
      <c r="D746" s="827"/>
      <c r="E746" s="827"/>
      <c r="F746" s="997">
        <f>F721/4</f>
        <v>868.42531323088201</v>
      </c>
      <c r="G746" s="1222" t="s">
        <v>78</v>
      </c>
      <c r="H746" s="827"/>
      <c r="I746" s="827"/>
      <c r="J746" s="827"/>
      <c r="K746" s="827"/>
    </row>
    <row r="747" spans="1:19" x14ac:dyDescent="0.2">
      <c r="A747" s="827"/>
      <c r="B747" s="1272" t="str">
        <f>IF(F746&gt;=F722,"Ast(moment)  &gt;  Ast(shrinkage)","Ast(moment)  &lt;  Ast(shrinkage)")</f>
        <v>Ast(moment)  &gt;  Ast(shrinkage)</v>
      </c>
      <c r="C747" s="827"/>
      <c r="D747" s="827"/>
      <c r="E747" s="827"/>
      <c r="F747" s="1278" t="s">
        <v>114</v>
      </c>
      <c r="G747" s="1279"/>
      <c r="H747" s="1280">
        <f>IF(OR(E743&lt;1,F746&lt;F722),J35/2,E742)</f>
        <v>2.6478939724037764</v>
      </c>
      <c r="I747" s="1278" t="s">
        <v>115</v>
      </c>
      <c r="J747" s="827"/>
      <c r="K747" s="827"/>
    </row>
    <row r="748" spans="1:19" x14ac:dyDescent="0.2">
      <c r="A748" s="827"/>
      <c r="B748" s="1272"/>
      <c r="C748" s="827"/>
      <c r="D748" s="827"/>
      <c r="E748" s="827"/>
      <c r="F748" s="1278"/>
      <c r="G748" s="1279"/>
      <c r="H748" s="1280"/>
      <c r="I748" s="1278"/>
      <c r="J748" s="827"/>
      <c r="K748" s="827"/>
    </row>
    <row r="749" spans="1:19" x14ac:dyDescent="0.2">
      <c r="A749" s="827"/>
      <c r="B749" s="827"/>
      <c r="C749" s="827"/>
      <c r="D749" s="827"/>
      <c r="E749" s="827"/>
      <c r="F749" s="827"/>
      <c r="G749" s="827"/>
      <c r="H749" s="827"/>
      <c r="I749" s="827"/>
      <c r="J749" s="827"/>
      <c r="K749" s="827"/>
    </row>
    <row r="750" spans="1:19" ht="14.25" thickBot="1" x14ac:dyDescent="0.3">
      <c r="A750" s="1300" t="s">
        <v>182</v>
      </c>
      <c r="B750" s="848"/>
      <c r="C750" s="848"/>
      <c r="D750" s="848"/>
      <c r="E750" s="848"/>
      <c r="F750" s="848"/>
      <c r="G750" s="848"/>
      <c r="H750" s="848"/>
      <c r="I750" s="848"/>
      <c r="J750" s="848"/>
      <c r="K750" s="848"/>
    </row>
    <row r="751" spans="1:19" x14ac:dyDescent="0.2">
      <c r="A751" s="827"/>
      <c r="B751" s="827"/>
      <c r="C751" s="827"/>
      <c r="D751" s="827"/>
      <c r="E751" s="827"/>
      <c r="F751" s="827"/>
      <c r="G751" s="827"/>
      <c r="H751" s="827"/>
      <c r="I751" s="827"/>
      <c r="J751" s="827"/>
      <c r="K751" s="827"/>
    </row>
    <row r="752" spans="1:19" ht="13.5" x14ac:dyDescent="0.25">
      <c r="A752" s="1276" t="s">
        <v>54</v>
      </c>
      <c r="B752" s="827"/>
      <c r="C752" s="827"/>
      <c r="D752" s="827"/>
      <c r="E752" s="827"/>
      <c r="F752" s="827"/>
      <c r="G752" s="827"/>
      <c r="H752" s="827"/>
      <c r="I752" s="827"/>
      <c r="J752" s="827"/>
      <c r="K752" s="827"/>
    </row>
    <row r="753" spans="1:19" x14ac:dyDescent="0.2">
      <c r="A753" s="827"/>
      <c r="B753" s="1222" t="s">
        <v>135</v>
      </c>
      <c r="C753" s="827"/>
      <c r="D753" s="827"/>
      <c r="E753" s="1229">
        <f>$H$49*F36*$G$46</f>
        <v>59.490277871547406</v>
      </c>
      <c r="F753" s="1222" t="s">
        <v>35</v>
      </c>
      <c r="G753" s="827"/>
      <c r="H753" s="827"/>
      <c r="I753" s="827"/>
      <c r="J753" s="827"/>
      <c r="K753" s="827"/>
    </row>
    <row r="754" spans="1:19" x14ac:dyDescent="0.2">
      <c r="A754" s="827"/>
      <c r="B754" s="827"/>
      <c r="C754" s="827"/>
      <c r="D754" s="827"/>
      <c r="E754" s="827"/>
      <c r="F754" s="827"/>
      <c r="G754" s="827"/>
      <c r="H754" s="827"/>
      <c r="I754" s="827"/>
      <c r="J754" s="827"/>
      <c r="K754" s="827"/>
    </row>
    <row r="755" spans="1:19" x14ac:dyDescent="0.2">
      <c r="A755" s="827"/>
      <c r="B755" s="1222" t="s">
        <v>136</v>
      </c>
      <c r="C755" s="827"/>
      <c r="D755" s="827"/>
      <c r="E755" s="1229">
        <f>E753*F36/2</f>
        <v>171.03454888069879</v>
      </c>
      <c r="F755" s="1222" t="s">
        <v>57</v>
      </c>
      <c r="G755" s="827"/>
      <c r="H755" s="827"/>
      <c r="I755" s="827"/>
      <c r="J755" s="827"/>
      <c r="K755" s="827"/>
    </row>
    <row r="756" spans="1:19" x14ac:dyDescent="0.2">
      <c r="A756" s="827"/>
      <c r="B756" s="1222" t="s">
        <v>137</v>
      </c>
      <c r="C756" s="827"/>
      <c r="D756" s="827"/>
      <c r="E756" s="1229">
        <f>E753*F36^2/6</f>
        <v>327.81621868800602</v>
      </c>
      <c r="F756" s="1222" t="s">
        <v>58</v>
      </c>
      <c r="G756" s="827"/>
      <c r="H756" s="827"/>
      <c r="I756" s="827"/>
      <c r="J756" s="827"/>
      <c r="K756" s="827"/>
    </row>
    <row r="757" spans="1:19" x14ac:dyDescent="0.2">
      <c r="A757" s="827"/>
      <c r="B757" s="827"/>
      <c r="C757" s="827"/>
      <c r="D757" s="827"/>
      <c r="E757" s="827"/>
      <c r="F757" s="827"/>
      <c r="G757" s="827"/>
      <c r="H757" s="827"/>
      <c r="I757" s="827"/>
      <c r="J757" s="827"/>
      <c r="K757" s="827"/>
    </row>
    <row r="758" spans="1:19" ht="13.5" x14ac:dyDescent="0.25">
      <c r="A758" s="1276" t="s">
        <v>59</v>
      </c>
      <c r="B758" s="827"/>
      <c r="C758" s="827"/>
      <c r="D758" s="827"/>
      <c r="E758" s="827"/>
      <c r="F758" s="827"/>
      <c r="G758" s="827"/>
      <c r="H758" s="827"/>
      <c r="I758" s="827"/>
      <c r="J758" s="827"/>
      <c r="K758" s="827"/>
    </row>
    <row r="759" spans="1:19" x14ac:dyDescent="0.2">
      <c r="A759" s="827"/>
      <c r="B759" s="1222" t="s">
        <v>60</v>
      </c>
      <c r="C759" s="827"/>
      <c r="D759" s="827"/>
      <c r="E759" s="827"/>
      <c r="F759" s="997">
        <f>SQRT(E756/$G$71)*1000</f>
        <v>511.49418245561327</v>
      </c>
      <c r="G759" s="1222" t="s">
        <v>43</v>
      </c>
      <c r="H759" s="827"/>
      <c r="I759" s="827"/>
      <c r="J759" s="827"/>
      <c r="K759" s="827"/>
    </row>
    <row r="760" spans="1:19" x14ac:dyDescent="0.2">
      <c r="A760" s="827"/>
      <c r="B760" s="1222" t="s">
        <v>61</v>
      </c>
      <c r="C760" s="827"/>
      <c r="D760" s="827"/>
      <c r="E760" s="827"/>
      <c r="F760" s="997">
        <f>E755/$H$57*1000</f>
        <v>399.00162398557023</v>
      </c>
      <c r="G760" s="1222" t="s">
        <v>43</v>
      </c>
      <c r="H760" s="827"/>
      <c r="I760" s="827"/>
      <c r="J760" s="827"/>
      <c r="K760" s="827"/>
    </row>
    <row r="761" spans="1:19" x14ac:dyDescent="0.2">
      <c r="A761" s="827"/>
      <c r="B761" s="827"/>
      <c r="C761" s="827"/>
      <c r="D761" s="827"/>
      <c r="E761" s="827"/>
      <c r="F761" s="827"/>
      <c r="G761" s="827"/>
      <c r="H761" s="827"/>
      <c r="I761" s="827"/>
      <c r="J761" s="827"/>
      <c r="K761" s="827"/>
    </row>
    <row r="762" spans="1:19" x14ac:dyDescent="0.2">
      <c r="A762" s="827"/>
      <c r="B762" s="1222" t="s">
        <v>138</v>
      </c>
      <c r="C762" s="827"/>
      <c r="D762" s="827"/>
      <c r="E762" s="827"/>
      <c r="F762" s="997">
        <f>MAX(F759:F760)+$H$65</f>
        <v>586.49418245561333</v>
      </c>
      <c r="G762" s="1222" t="s">
        <v>43</v>
      </c>
      <c r="H762" s="827"/>
      <c r="I762" s="827"/>
      <c r="J762" s="827"/>
      <c r="K762" s="827"/>
    </row>
    <row r="763" spans="1:19" x14ac:dyDescent="0.2">
      <c r="A763" s="827"/>
      <c r="B763" s="1222" t="s">
        <v>139</v>
      </c>
      <c r="C763" s="827"/>
      <c r="D763" s="827"/>
      <c r="E763" s="827"/>
      <c r="F763" s="997">
        <f>$E$36</f>
        <v>650</v>
      </c>
      <c r="G763" s="1222" t="s">
        <v>43</v>
      </c>
      <c r="H763" s="827"/>
      <c r="I763" s="827"/>
      <c r="J763" s="827"/>
      <c r="K763" s="827"/>
      <c r="M763" s="6" t="s">
        <v>66</v>
      </c>
      <c r="O763" s="30">
        <v>12</v>
      </c>
      <c r="P763" s="30">
        <v>16</v>
      </c>
      <c r="Q763" s="30">
        <v>20</v>
      </c>
      <c r="R763" s="30">
        <v>22</v>
      </c>
      <c r="S763" s="30">
        <v>25</v>
      </c>
    </row>
    <row r="764" spans="1:19" x14ac:dyDescent="0.2">
      <c r="A764" s="827"/>
      <c r="B764" s="1272" t="str">
        <f>IF(F763&gt;=F762,"ta  &gt;  tr     Design is OK.","ta  &lt;  tr     Design is Not OK.")</f>
        <v>ta  &gt;  tr     Design is OK.</v>
      </c>
      <c r="C764" s="827"/>
      <c r="D764" s="827"/>
      <c r="E764" s="827"/>
      <c r="F764" s="827"/>
      <c r="G764" s="1222" t="s">
        <v>64</v>
      </c>
      <c r="H764" s="827"/>
      <c r="I764" s="827"/>
      <c r="J764" s="827"/>
      <c r="K764" s="827"/>
      <c r="M764" s="6" t="s">
        <v>67</v>
      </c>
      <c r="O764" s="30">
        <f>IF(H768=0,100000000,TRUNC(785.4*O763^2/H768/25)*25)</f>
        <v>100</v>
      </c>
      <c r="P764" s="30">
        <f>IF(H768=0,100000000,TRUNC(785.4*P763^2/H768/25)*25)</f>
        <v>200</v>
      </c>
      <c r="Q764" s="30">
        <f>IF(H768=0,100000000,TRUNC(785.4*Q763^2/H768/25)*25)</f>
        <v>325</v>
      </c>
      <c r="R764" s="30">
        <f>IF(H768=0,100000000,TRUNC(785.4*R763^2/H768/25)*25)</f>
        <v>400</v>
      </c>
      <c r="S764" s="30">
        <f>IF(H768=0,100000000,TRUNC(785.4*S763^2/H768/25)*25)</f>
        <v>500</v>
      </c>
    </row>
    <row r="765" spans="1:19" x14ac:dyDescent="0.2">
      <c r="A765" s="827"/>
      <c r="B765" s="827"/>
      <c r="C765" s="827"/>
      <c r="D765" s="827"/>
      <c r="E765" s="827"/>
      <c r="F765" s="827"/>
      <c r="G765" s="827"/>
      <c r="H765" s="827"/>
      <c r="I765" s="827"/>
      <c r="J765" s="827"/>
      <c r="K765" s="827"/>
      <c r="M765" s="6" t="s">
        <v>68</v>
      </c>
      <c r="O765" s="30">
        <f>785.4*O763^2/O764</f>
        <v>1130.9759999999999</v>
      </c>
      <c r="P765" s="30">
        <f>785.4*P763^2/P764</f>
        <v>1005.312</v>
      </c>
      <c r="Q765" s="30">
        <f>785.4*Q763^2/Q764</f>
        <v>966.64615384615388</v>
      </c>
      <c r="R765" s="30">
        <f>785.4*R763^2/R764</f>
        <v>950.33399999999995</v>
      </c>
      <c r="S765" s="30">
        <f>785.4*S763^2/S764</f>
        <v>981.75</v>
      </c>
    </row>
    <row r="766" spans="1:19" ht="13.5" x14ac:dyDescent="0.25">
      <c r="A766" s="1276" t="s">
        <v>123</v>
      </c>
      <c r="B766" s="827"/>
      <c r="C766" s="827"/>
      <c r="D766" s="827"/>
      <c r="E766" s="827"/>
      <c r="F766" s="827"/>
      <c r="G766" s="827"/>
      <c r="H766" s="827"/>
      <c r="I766" s="827"/>
      <c r="J766" s="827"/>
      <c r="K766" s="827"/>
      <c r="M766" s="6" t="s">
        <v>69</v>
      </c>
      <c r="O766" s="30">
        <f>IF(OR(O764&gt;300,O764&lt;100),100000000,O765-H768)</f>
        <v>180.97599999999989</v>
      </c>
      <c r="P766" s="30">
        <f>IF(OR(P764&gt;300,P764&lt;100),100000001,P765-H768)</f>
        <v>55.312000000000012</v>
      </c>
      <c r="Q766" s="30">
        <f>IF(OR(Q764&gt;300,Q764&lt;100),100000001,Q765-H768)</f>
        <v>100000001</v>
      </c>
      <c r="R766" s="30">
        <f>IF(OR(R764&gt;300,R764&lt;100),100000001,R765-H768)</f>
        <v>100000001</v>
      </c>
      <c r="S766" s="30">
        <f>IF(OR(S764&gt;300,S764&lt;100),100000001,S765-H768)</f>
        <v>100000001</v>
      </c>
    </row>
    <row r="767" spans="1:19" x14ac:dyDescent="0.2">
      <c r="A767" s="827"/>
      <c r="B767" s="1222" t="s">
        <v>140</v>
      </c>
      <c r="C767" s="827"/>
      <c r="D767" s="827"/>
      <c r="E767" s="827"/>
      <c r="F767" s="1229">
        <f>$G$42</f>
        <v>16.322989922192562</v>
      </c>
      <c r="G767" s="1222" t="s">
        <v>24</v>
      </c>
      <c r="H767" s="827"/>
      <c r="I767" s="827"/>
      <c r="J767" s="827"/>
      <c r="K767" s="827"/>
      <c r="M767" s="6" t="s">
        <v>70</v>
      </c>
      <c r="O767" s="30">
        <f>IF(S764&lt;100,25,IF(MIN(O766:S766)=O766,12,IF(MIN(O766:S766)=P766,16,IF(MIN(O766:S766)=Q766,20,IF(MIN(O766:S766)=R766,22,IF(MIN(O766:S766)=S766,25,0))))))</f>
        <v>16</v>
      </c>
      <c r="P767" s="6" t="s">
        <v>71</v>
      </c>
      <c r="Q767" s="30">
        <f>IF(O767=12,O764,IF(O767=16,P764,IF(O767=20,Q764,IF(O767=22,R764,IF(O767=25,S764,0)))))</f>
        <v>200</v>
      </c>
      <c r="R767" s="6" t="s">
        <v>72</v>
      </c>
    </row>
    <row r="768" spans="1:19" x14ac:dyDescent="0.2">
      <c r="A768" s="827"/>
      <c r="B768" s="1222" t="s">
        <v>141</v>
      </c>
      <c r="C768" s="827"/>
      <c r="D768" s="827"/>
      <c r="E768" s="827"/>
      <c r="F768" s="827"/>
      <c r="G768" s="827"/>
      <c r="H768" s="997">
        <f>IF(AND(F767&lt;=9,F763&lt;380),$C$157*F763*1000,IF(F767&lt;=9,$C$157*380000,IF(F763&lt;380,$C$158*F763*1000,$C$158*380000)))</f>
        <v>950</v>
      </c>
      <c r="I768" s="1222" t="s">
        <v>78</v>
      </c>
      <c r="J768" s="827"/>
      <c r="K768" s="827"/>
    </row>
    <row r="769" spans="1:19" x14ac:dyDescent="0.2">
      <c r="A769" s="827"/>
      <c r="B769" s="1222" t="s">
        <v>79</v>
      </c>
      <c r="C769" s="997">
        <f>IF(D977=0,O767,D977)</f>
        <v>16</v>
      </c>
      <c r="D769" s="1222" t="s">
        <v>71</v>
      </c>
      <c r="E769" s="997">
        <f>IF(D977=0,IF(Q767&gt;300,300,Q767),E977)</f>
        <v>200</v>
      </c>
      <c r="F769" s="1222" t="s">
        <v>80</v>
      </c>
      <c r="G769" s="827"/>
      <c r="H769" s="997">
        <f>785.4*C769^2/E769</f>
        <v>1005.312</v>
      </c>
      <c r="I769" s="1222" t="s">
        <v>81</v>
      </c>
      <c r="J769" s="827"/>
      <c r="K769" s="827"/>
    </row>
    <row r="770" spans="1:19" x14ac:dyDescent="0.2">
      <c r="A770" s="827"/>
      <c r="B770" s="1222" t="s">
        <v>142</v>
      </c>
      <c r="C770" s="827"/>
      <c r="D770" s="827"/>
      <c r="E770" s="827"/>
      <c r="F770" s="827"/>
      <c r="G770" s="827"/>
      <c r="H770" s="997">
        <f>IF(AND(F767&lt;=9,F763&lt;380),$D$157*F763*1000,IF(F767&lt;=9,$D$157*380000,IF(F763&lt;380,$D$158*F763*1000,$D$158*380000)))</f>
        <v>570</v>
      </c>
      <c r="I770" s="1222" t="s">
        <v>78</v>
      </c>
      <c r="J770" s="827"/>
      <c r="K770" s="827"/>
    </row>
    <row r="771" spans="1:19" x14ac:dyDescent="0.2">
      <c r="A771" s="827"/>
      <c r="B771" s="1222" t="s">
        <v>79</v>
      </c>
      <c r="C771" s="997">
        <v>16</v>
      </c>
      <c r="D771" s="1222" t="s">
        <v>71</v>
      </c>
      <c r="E771" s="997">
        <v>250</v>
      </c>
      <c r="F771" s="1222" t="s">
        <v>80</v>
      </c>
      <c r="G771" s="827"/>
      <c r="H771" s="997">
        <f>785.4*C771^2/E771</f>
        <v>804.24959999999999</v>
      </c>
      <c r="I771" s="1222" t="s">
        <v>81</v>
      </c>
      <c r="J771" s="827"/>
      <c r="K771" s="827"/>
      <c r="M771" s="6" t="s">
        <v>66</v>
      </c>
      <c r="O771" s="30">
        <v>12</v>
      </c>
      <c r="P771" s="30">
        <v>16</v>
      </c>
      <c r="Q771" s="30">
        <v>20</v>
      </c>
      <c r="R771" s="30">
        <v>22</v>
      </c>
      <c r="S771" s="30">
        <v>25</v>
      </c>
    </row>
    <row r="772" spans="1:19" x14ac:dyDescent="0.2">
      <c r="A772" s="827"/>
      <c r="B772" s="827"/>
      <c r="C772" s="827"/>
      <c r="D772" s="827"/>
      <c r="E772" s="827"/>
      <c r="F772" s="827"/>
      <c r="G772" s="827"/>
      <c r="H772" s="827"/>
      <c r="I772" s="827"/>
      <c r="J772" s="827"/>
      <c r="K772" s="827"/>
      <c r="M772" s="6" t="s">
        <v>67</v>
      </c>
      <c r="O772" s="30">
        <f>IF(H770=0,100000000,TRUNC(785.4*O771^2/H770/25)*25)</f>
        <v>175</v>
      </c>
      <c r="P772" s="30">
        <f>IF(H770=0,100000000,TRUNC(785.4*P771^2/H770/25)*25)</f>
        <v>350</v>
      </c>
      <c r="Q772" s="30">
        <f>IF(H770=0,100000000,TRUNC(785.4*Q771^2/H770/25)*25)</f>
        <v>550</v>
      </c>
      <c r="R772" s="30">
        <f>IF(H770=0,100000000,TRUNC(785.4*R771^2/H770/25)*25)</f>
        <v>650</v>
      </c>
      <c r="S772" s="30">
        <f>IF(H770=0,100000000,TRUNC(785.4*S771^2/H770/25)*25)</f>
        <v>850</v>
      </c>
    </row>
    <row r="773" spans="1:19" ht="13.5" x14ac:dyDescent="0.25">
      <c r="A773" s="1276" t="s">
        <v>143</v>
      </c>
      <c r="B773" s="827"/>
      <c r="C773" s="827"/>
      <c r="D773" s="827"/>
      <c r="E773" s="827"/>
      <c r="F773" s="827"/>
      <c r="G773" s="827"/>
      <c r="H773" s="827"/>
      <c r="I773" s="827"/>
      <c r="J773" s="827"/>
      <c r="K773" s="827"/>
      <c r="M773" s="6" t="s">
        <v>68</v>
      </c>
      <c r="O773" s="30">
        <f>785.4*O771^2/O772</f>
        <v>646.27199999999993</v>
      </c>
      <c r="P773" s="30">
        <f>785.4*P771^2/P772</f>
        <v>574.46399999999994</v>
      </c>
      <c r="Q773" s="30">
        <f>785.4*Q771^2/Q772</f>
        <v>571.20000000000005</v>
      </c>
      <c r="R773" s="30">
        <f>785.4*R771^2/R772</f>
        <v>584.82092307692301</v>
      </c>
      <c r="S773" s="30">
        <f>785.4*S771^2/S772</f>
        <v>577.5</v>
      </c>
    </row>
    <row r="774" spans="1:19" x14ac:dyDescent="0.2">
      <c r="A774" s="827"/>
      <c r="B774" s="1222" t="s">
        <v>144</v>
      </c>
      <c r="C774" s="827"/>
      <c r="D774" s="827"/>
      <c r="E774" s="827"/>
      <c r="F774" s="1229">
        <f>F36+G36/1000</f>
        <v>6.45</v>
      </c>
      <c r="G774" s="1222" t="s">
        <v>24</v>
      </c>
      <c r="H774" s="827"/>
      <c r="I774" s="827"/>
      <c r="J774" s="827"/>
      <c r="K774" s="827"/>
      <c r="M774" s="6" t="s">
        <v>69</v>
      </c>
      <c r="O774" s="30">
        <f>IF(OR(O772&gt;300,O772&lt;100),100000000,O773-H770)</f>
        <v>76.271999999999935</v>
      </c>
      <c r="P774" s="30">
        <f>IF(OR(P772&gt;300,P772&lt;100),100000001,P773-H770)</f>
        <v>100000001</v>
      </c>
      <c r="Q774" s="30">
        <f>IF(OR(Q772&gt;300,Q772&lt;100),100000001,Q773-H770)</f>
        <v>100000001</v>
      </c>
      <c r="R774" s="30">
        <f>IF(OR(R772&gt;300,R772&lt;100),100000001,R773-H770)</f>
        <v>100000001</v>
      </c>
      <c r="S774" s="30">
        <f>IF(OR(S772&gt;300,S772&lt;100),100000001,S773-H770)</f>
        <v>100000001</v>
      </c>
    </row>
    <row r="775" spans="1:19" x14ac:dyDescent="0.2">
      <c r="A775" s="827"/>
      <c r="B775" s="1222" t="s">
        <v>84</v>
      </c>
      <c r="C775" s="827"/>
      <c r="D775" s="827"/>
      <c r="E775" s="827"/>
      <c r="F775" s="827"/>
      <c r="G775" s="827"/>
      <c r="H775" s="997">
        <f>IF(AND(F774&lt;=9,F763&lt;380),$C$157*F763*1000,IF(F774&lt;=9,$C$157*380000,IF(F763&lt;380,$C$158*F763*1000,$C$158*380000)))</f>
        <v>760</v>
      </c>
      <c r="I775" s="1222" t="s">
        <v>78</v>
      </c>
      <c r="J775" s="827"/>
      <c r="K775" s="827"/>
      <c r="M775" s="6" t="s">
        <v>70</v>
      </c>
      <c r="O775" s="30">
        <f>IF(S772&lt;100,25,IF(MIN(O774:S774)=O774,12,IF(MIN(O774:S774)=P774,16,IF(MIN(O774:S774)=Q774,20,IF(MIN(O774:S774)=R774,22,IF(MIN(O774:S774)=S774,25,0))))))</f>
        <v>12</v>
      </c>
      <c r="P775" s="6" t="s">
        <v>71</v>
      </c>
      <c r="Q775" s="30">
        <f>IF(O775=12,O772,IF(O775=16,P772,IF(O775=20,Q772,IF(O775=22,R772,IF(O775=25,S772,0)))))</f>
        <v>175</v>
      </c>
      <c r="R775" s="6" t="s">
        <v>72</v>
      </c>
    </row>
    <row r="776" spans="1:19" x14ac:dyDescent="0.2">
      <c r="A776" s="827"/>
      <c r="B776" s="1222" t="s">
        <v>79</v>
      </c>
      <c r="C776" s="997">
        <f>IF(D997=0,O783,D997)</f>
        <v>16</v>
      </c>
      <c r="D776" s="1222" t="s">
        <v>71</v>
      </c>
      <c r="E776" s="997">
        <v>200</v>
      </c>
      <c r="F776" s="1222" t="s">
        <v>80</v>
      </c>
      <c r="G776" s="827"/>
      <c r="H776" s="997">
        <f>785.4*C776^2/E776</f>
        <v>1005.312</v>
      </c>
      <c r="I776" s="1222" t="s">
        <v>81</v>
      </c>
      <c r="J776" s="827"/>
      <c r="K776" s="827"/>
    </row>
    <row r="777" spans="1:19" x14ac:dyDescent="0.2">
      <c r="A777" s="827"/>
      <c r="B777" s="827"/>
      <c r="C777" s="827"/>
      <c r="D777" s="827"/>
      <c r="E777" s="827"/>
      <c r="F777" s="827"/>
      <c r="G777" s="827"/>
      <c r="H777" s="827"/>
      <c r="I777" s="827"/>
      <c r="J777" s="827"/>
      <c r="K777" s="827"/>
    </row>
    <row r="778" spans="1:19" ht="13.5" x14ac:dyDescent="0.25">
      <c r="A778" s="1276" t="s">
        <v>145</v>
      </c>
      <c r="B778" s="827"/>
      <c r="C778" s="827"/>
      <c r="D778" s="827"/>
      <c r="E778" s="827"/>
      <c r="F778" s="827"/>
      <c r="G778" s="827"/>
      <c r="H778" s="827"/>
      <c r="I778" s="827"/>
      <c r="J778" s="827"/>
      <c r="K778" s="827"/>
    </row>
    <row r="779" spans="1:19" x14ac:dyDescent="0.2">
      <c r="A779" s="827"/>
      <c r="B779" s="1222" t="s">
        <v>146</v>
      </c>
      <c r="C779" s="827"/>
      <c r="D779" s="827"/>
      <c r="E779" s="827"/>
      <c r="F779" s="997">
        <f>E756/$H$54/$G$70/(F763-$H$65)*1000000000</f>
        <v>3423.8187620444023</v>
      </c>
      <c r="G779" s="1222" t="s">
        <v>78</v>
      </c>
      <c r="H779" s="827"/>
      <c r="I779" s="827"/>
      <c r="J779" s="827"/>
      <c r="K779" s="827"/>
      <c r="M779" s="6" t="s">
        <v>66</v>
      </c>
      <c r="O779" s="30">
        <v>12</v>
      </c>
      <c r="P779" s="30">
        <v>16</v>
      </c>
      <c r="Q779" s="30">
        <v>20</v>
      </c>
      <c r="R779" s="30">
        <v>22</v>
      </c>
      <c r="S779" s="30">
        <v>25</v>
      </c>
    </row>
    <row r="780" spans="1:19" x14ac:dyDescent="0.2">
      <c r="A780" s="827"/>
      <c r="B780" s="1222" t="s">
        <v>147</v>
      </c>
      <c r="C780" s="827"/>
      <c r="D780" s="827"/>
      <c r="E780" s="827"/>
      <c r="F780" s="997">
        <f>IF(AND(F774&lt;=9,F763&lt;380),$D$157*F763*1000,IF(F774&lt;=9,$D$157*380000,IF(F763&lt;380,$D$158*F763*1000,$D$158*380000)))</f>
        <v>380</v>
      </c>
      <c r="G780" s="1222" t="s">
        <v>78</v>
      </c>
      <c r="H780" s="827"/>
      <c r="I780" s="827"/>
      <c r="J780" s="827"/>
      <c r="K780" s="827"/>
      <c r="M780" s="6" t="s">
        <v>67</v>
      </c>
      <c r="O780" s="30">
        <f>IF(H775=0,100000000,TRUNC(785.4*O779^2/H775/25)*25)</f>
        <v>125</v>
      </c>
      <c r="P780" s="30">
        <f>IF(H775=0,100000000,TRUNC(785.4*P779^2/H775/25)*25)</f>
        <v>250</v>
      </c>
      <c r="Q780" s="30">
        <f>IF(H775=0,100000000,TRUNC(785.4*Q779^2/H775/25)*25)</f>
        <v>400</v>
      </c>
      <c r="R780" s="30">
        <f>IF(H775=0,100000000,TRUNC(785.4*R779^2/H775/25)*25)</f>
        <v>500</v>
      </c>
      <c r="S780" s="30">
        <f>IF(H775=0,100000000,TRUNC(785.4*S779^2/H775/25)*25)</f>
        <v>625</v>
      </c>
    </row>
    <row r="781" spans="1:19" x14ac:dyDescent="0.2">
      <c r="A781" s="827"/>
      <c r="B781" s="1222" t="s">
        <v>88</v>
      </c>
      <c r="C781" s="827"/>
      <c r="D781" s="827"/>
      <c r="E781" s="827"/>
      <c r="F781" s="827"/>
      <c r="G781" s="827"/>
      <c r="H781" s="997">
        <f>MAX(F779:F780)</f>
        <v>3423.8187620444023</v>
      </c>
      <c r="I781" s="1222" t="s">
        <v>89</v>
      </c>
      <c r="J781" s="827"/>
      <c r="K781" s="827"/>
      <c r="M781" s="6" t="s">
        <v>68</v>
      </c>
      <c r="O781" s="30">
        <f>785.4*O779^2/O780</f>
        <v>904.78079999999989</v>
      </c>
      <c r="P781" s="30">
        <f>785.4*P779^2/P780</f>
        <v>804.24959999999999</v>
      </c>
      <c r="Q781" s="30">
        <f>785.4*Q779^2/Q780</f>
        <v>785.4</v>
      </c>
      <c r="R781" s="30">
        <f>785.4*R779^2/R780</f>
        <v>760.2672</v>
      </c>
      <c r="S781" s="30">
        <f>785.4*S779^2/S780</f>
        <v>785.4</v>
      </c>
    </row>
    <row r="782" spans="1:19" x14ac:dyDescent="0.2">
      <c r="A782" s="851"/>
      <c r="B782" s="1277" t="s">
        <v>79</v>
      </c>
      <c r="C782" s="1031">
        <v>25</v>
      </c>
      <c r="D782" s="1277" t="s">
        <v>71</v>
      </c>
      <c r="E782" s="1031">
        <v>125</v>
      </c>
      <c r="F782" s="1277" t="s">
        <v>80</v>
      </c>
      <c r="G782" s="851"/>
      <c r="H782" s="1031">
        <f>785.4*C782^2/E782</f>
        <v>3927</v>
      </c>
      <c r="I782" s="1277" t="s">
        <v>81</v>
      </c>
      <c r="J782" s="851"/>
      <c r="K782" s="851"/>
      <c r="M782" s="6" t="s">
        <v>69</v>
      </c>
      <c r="O782" s="30">
        <f>IF(OR(O780&gt;300,O780&lt;100),100000000,O781-H775)</f>
        <v>144.78079999999989</v>
      </c>
      <c r="P782" s="30">
        <f>IF(OR(P780&gt;300,P780&lt;100),100000001,P781-H775)</f>
        <v>44.249599999999987</v>
      </c>
      <c r="Q782" s="30">
        <f>IF(OR(Q780&gt;300,Q780&lt;100),100000001,Q781-H775)</f>
        <v>100000001</v>
      </c>
      <c r="R782" s="30">
        <f>IF(OR(R780&gt;300,R780&lt;100),100000001,R781-H775)</f>
        <v>100000001</v>
      </c>
      <c r="S782" s="30">
        <f>IF(OR(S780&gt;300,S780&lt;100),100000001,S781-H775)</f>
        <v>100000001</v>
      </c>
    </row>
    <row r="783" spans="1:19" x14ac:dyDescent="0.2">
      <c r="A783" s="827"/>
      <c r="B783" s="827"/>
      <c r="C783" s="827"/>
      <c r="D783" s="827"/>
      <c r="E783" s="827"/>
      <c r="F783" s="827"/>
      <c r="G783" s="827"/>
      <c r="H783" s="827"/>
      <c r="I783" s="827"/>
      <c r="J783" s="827"/>
      <c r="K783" s="827"/>
      <c r="M783" s="6" t="s">
        <v>70</v>
      </c>
      <c r="O783" s="30">
        <f>IF(S780&lt;100,25,IF(MIN(O782:S782)=O782,12,IF(MIN(O782:S782)=P782,16,IF(MIN(O782:S782)=Q782,20,IF(MIN(O782:S782)=R782,22,IF(MIN(O782:S782)=S782,25,0))))))</f>
        <v>16</v>
      </c>
      <c r="P783" s="6" t="s">
        <v>71</v>
      </c>
      <c r="Q783" s="30">
        <f>IF(O783=12,O780,IF(O783=16,P780,IF(O783=20,Q780,IF(O783=22,R780,IF(O783=25,S780,0)))))</f>
        <v>250</v>
      </c>
      <c r="R783" s="6" t="s">
        <v>72</v>
      </c>
    </row>
    <row r="784" spans="1:19" ht="13.5" x14ac:dyDescent="0.25">
      <c r="A784" s="827"/>
      <c r="B784" s="1276" t="s">
        <v>90</v>
      </c>
      <c r="C784" s="827"/>
      <c r="D784" s="827"/>
      <c r="E784" s="827"/>
      <c r="F784" s="827"/>
      <c r="G784" s="827"/>
      <c r="H784" s="827"/>
      <c r="I784" s="827"/>
      <c r="J784" s="827"/>
      <c r="K784" s="827"/>
    </row>
    <row r="785" spans="1:20" x14ac:dyDescent="0.2">
      <c r="A785" s="827"/>
      <c r="B785" s="1222" t="s">
        <v>148</v>
      </c>
      <c r="C785" s="827"/>
      <c r="D785" s="1229">
        <f>$H$59/C782</f>
        <v>672.79752674931865</v>
      </c>
      <c r="E785" s="1222" t="s">
        <v>149</v>
      </c>
      <c r="F785" s="997">
        <f>$H$60</f>
        <v>1103</v>
      </c>
      <c r="G785" s="1222" t="s">
        <v>35</v>
      </c>
      <c r="H785" s="1222" t="s">
        <v>150</v>
      </c>
      <c r="I785" s="827"/>
      <c r="J785" s="1229">
        <f>MIN(D785,F785)</f>
        <v>672.79752674931865</v>
      </c>
      <c r="K785" s="1222" t="s">
        <v>35</v>
      </c>
    </row>
    <row r="786" spans="1:20" x14ac:dyDescent="0.2">
      <c r="A786" s="827"/>
      <c r="B786" s="1222" t="s">
        <v>151</v>
      </c>
      <c r="C786" s="827"/>
      <c r="D786" s="1229">
        <f>E755/(PI()*C782/E782)/$G$70/(F763-$H$65)*1000</f>
        <v>529.65998518369645</v>
      </c>
      <c r="E786" s="1222" t="s">
        <v>35</v>
      </c>
      <c r="F786" s="1272" t="str">
        <f>IF(J785&gt;=D786,"bs(allow)  &gt;  bs(actual)    Design is OK.  &lt;-----","bs(allow)  &lt;  bs(actual)    Design is not OK.  &lt;-----")</f>
        <v>bs(allow)  &gt;  bs(actual)    Design is OK.  &lt;-----</v>
      </c>
      <c r="G786" s="827"/>
      <c r="H786" s="827"/>
      <c r="I786" s="827"/>
      <c r="J786" s="827"/>
      <c r="K786" s="827"/>
    </row>
    <row r="787" spans="1:20" x14ac:dyDescent="0.2">
      <c r="A787" s="827"/>
      <c r="B787" s="827"/>
      <c r="C787" s="827"/>
      <c r="D787" s="827"/>
      <c r="E787" s="827"/>
      <c r="F787" s="827"/>
      <c r="G787" s="827"/>
      <c r="H787" s="827"/>
      <c r="I787" s="827"/>
      <c r="J787" s="827"/>
      <c r="K787" s="827"/>
      <c r="M787" s="6" t="s">
        <v>66</v>
      </c>
      <c r="O787" s="30">
        <v>12</v>
      </c>
      <c r="P787" s="30">
        <v>16</v>
      </c>
      <c r="Q787" s="30">
        <v>20</v>
      </c>
      <c r="R787" s="30">
        <v>22</v>
      </c>
      <c r="S787" s="30">
        <v>25</v>
      </c>
    </row>
    <row r="788" spans="1:20" ht="13.5" x14ac:dyDescent="0.25">
      <c r="A788" s="1276" t="s">
        <v>93</v>
      </c>
      <c r="B788" s="827"/>
      <c r="C788" s="827"/>
      <c r="D788" s="827"/>
      <c r="E788" s="827"/>
      <c r="F788" s="827"/>
      <c r="G788" s="827"/>
      <c r="H788" s="827"/>
      <c r="I788" s="827"/>
      <c r="J788" s="827"/>
      <c r="K788" s="827"/>
      <c r="M788" s="6" t="s">
        <v>67</v>
      </c>
      <c r="O788" s="30">
        <f>IF(H781=0,100000000,TRUNC(785.4*O787^2/H781/25)*25)</f>
        <v>25</v>
      </c>
      <c r="P788" s="30">
        <f>IF(H781=0,100000000,TRUNC(785.4*P787^2/H781/25)*25)</f>
        <v>50</v>
      </c>
      <c r="Q788" s="30">
        <f>IF(H781=0,100000000,TRUNC(785.4*Q787^2/H781/25)*25)</f>
        <v>75</v>
      </c>
      <c r="R788" s="30">
        <f>IF(H781=0,100000000,TRUNC(785.4*R787^2/H781/25)*25)</f>
        <v>100</v>
      </c>
      <c r="S788" s="30">
        <f>IF(H781=0,100000000,TRUNC(785.4*S787^2/H781/25)*25)</f>
        <v>125</v>
      </c>
    </row>
    <row r="789" spans="1:20" ht="13.5" x14ac:dyDescent="0.25">
      <c r="A789" s="827"/>
      <c r="B789" s="1276" t="s">
        <v>94</v>
      </c>
      <c r="C789" s="827"/>
      <c r="D789" s="827"/>
      <c r="E789" s="827"/>
      <c r="F789" s="827"/>
      <c r="G789" s="827"/>
      <c r="H789" s="827"/>
      <c r="I789" s="827"/>
      <c r="J789" s="827"/>
      <c r="K789" s="827"/>
      <c r="M789" s="6" t="s">
        <v>68</v>
      </c>
      <c r="O789" s="30">
        <f>785.4*O787^2/O788</f>
        <v>4523.9039999999995</v>
      </c>
      <c r="P789" s="30">
        <f>785.4*P787^2/P788</f>
        <v>4021.248</v>
      </c>
      <c r="Q789" s="30">
        <f>785.4*Q787^2/Q788</f>
        <v>4188.8</v>
      </c>
      <c r="R789" s="30">
        <f>785.4*R787^2/R788</f>
        <v>3801.3359999999998</v>
      </c>
      <c r="S789" s="30">
        <f>785.4*S787^2/S788</f>
        <v>3927</v>
      </c>
    </row>
    <row r="790" spans="1:20" x14ac:dyDescent="0.2">
      <c r="A790" s="827"/>
      <c r="B790" s="1222" t="s">
        <v>156</v>
      </c>
      <c r="C790" s="827"/>
      <c r="D790" s="1229">
        <f>1/2*H782*$H$54*$G$70*($D$36-$H$65)/1000000000</f>
        <v>73.563985143607496</v>
      </c>
      <c r="E790" s="1222" t="s">
        <v>99</v>
      </c>
      <c r="F790" s="1282">
        <f>1/2*H782*$H$54*$G$70*($E$36-$D$36)/F36/1000000000</f>
        <v>19.901367961555653</v>
      </c>
      <c r="G790" s="1222" t="s">
        <v>417</v>
      </c>
      <c r="H790" s="1230">
        <f>$H$49*$G$46/6</f>
        <v>1.7243558803347074</v>
      </c>
      <c r="I790" s="1222" t="s">
        <v>104</v>
      </c>
      <c r="J790" s="827"/>
      <c r="K790" s="827"/>
      <c r="M790" s="6" t="s">
        <v>69</v>
      </c>
      <c r="O790" s="30">
        <f>IF(OR(O788&gt;300,O788&lt;100),100000000,O789-H781)</f>
        <v>100000000</v>
      </c>
      <c r="P790" s="30">
        <f>IF(OR(P788&gt;300,P788&lt;100),100000001,P789-H781)</f>
        <v>100000001</v>
      </c>
      <c r="Q790" s="30">
        <f>IF(OR(Q788&gt;300,Q788&lt;100),100000001,Q789-H781)</f>
        <v>100000001</v>
      </c>
      <c r="R790" s="30">
        <f>IF(OR(R788&gt;300,R788&lt;100),100000001,R789-H781)</f>
        <v>377.51723795559747</v>
      </c>
      <c r="S790" s="30">
        <f>IF(OR(S788&gt;300,S788&lt;100),100000001,S789-H781)</f>
        <v>503.18123795559768</v>
      </c>
    </row>
    <row r="791" spans="1:20" x14ac:dyDescent="0.2">
      <c r="A791" s="827"/>
      <c r="B791" s="1222" t="s">
        <v>158</v>
      </c>
      <c r="C791" s="827"/>
      <c r="D791" s="1230">
        <f>$H$49*$G$46/6</f>
        <v>1.7243558803347074</v>
      </c>
      <c r="E791" s="1222" t="s">
        <v>104</v>
      </c>
      <c r="F791" s="827"/>
      <c r="G791" s="827"/>
      <c r="H791" s="827"/>
      <c r="I791" s="827"/>
      <c r="J791" s="827"/>
      <c r="K791" s="827"/>
      <c r="M791" s="6" t="s">
        <v>70</v>
      </c>
      <c r="O791" s="30">
        <f>IF(S788&lt;100,25,IF(MIN(O790:S790)=O790,12,IF(MIN(O790:S790)=P790,16,IF(MIN(O790:S790)=Q790,20,IF(MIN(O790:S790)=R790,22,IF(MIN(O790:S790)=S790,25,0))))))</f>
        <v>22</v>
      </c>
      <c r="P791" s="6" t="s">
        <v>71</v>
      </c>
      <c r="Q791" s="30">
        <f>IF(O791=12,O788,IF(O791=16,P788,IF(O791=20,Q788,IF(O791=22,R788,IF(O791=25,S788,0)))))</f>
        <v>100</v>
      </c>
      <c r="R791" s="6" t="s">
        <v>72</v>
      </c>
    </row>
    <row r="792" spans="1:20" x14ac:dyDescent="0.2">
      <c r="A792" s="827"/>
      <c r="B792" s="1222" t="s">
        <v>159</v>
      </c>
      <c r="C792" s="827"/>
      <c r="D792" s="827"/>
      <c r="E792" s="827"/>
      <c r="F792" s="1229">
        <f>T804</f>
        <v>4.5632000000000001</v>
      </c>
      <c r="G792" s="1222" t="s">
        <v>107</v>
      </c>
      <c r="H792" s="827"/>
      <c r="I792" s="827"/>
      <c r="J792" s="827"/>
      <c r="K792" s="827"/>
    </row>
    <row r="793" spans="1:20" x14ac:dyDescent="0.2">
      <c r="A793" s="827"/>
      <c r="B793" s="827"/>
      <c r="C793" s="1222" t="s">
        <v>160</v>
      </c>
      <c r="D793" s="827"/>
      <c r="E793" s="827"/>
      <c r="F793" s="1229">
        <f>IF(E36+(E36-D36)*F792/F36-$H$65&gt;12*C782,F36-F792+(D36+(E36-D36)*F792/F36-$H$65)/1000,F36-F792+(12*C782)/1000)</f>
        <v>1.6895599999999997</v>
      </c>
      <c r="G793" s="1222" t="s">
        <v>24</v>
      </c>
      <c r="H793" s="827"/>
      <c r="I793" s="827"/>
      <c r="J793" s="827"/>
      <c r="K793" s="827"/>
    </row>
    <row r="794" spans="1:20" x14ac:dyDescent="0.2">
      <c r="A794" s="827"/>
      <c r="B794" s="827"/>
      <c r="C794" s="1222" t="s">
        <v>112</v>
      </c>
      <c r="D794" s="827"/>
      <c r="E794" s="827"/>
      <c r="F794" s="1229">
        <f>F36-F793</f>
        <v>4.0604399999999998</v>
      </c>
      <c r="G794" s="1272" t="str">
        <f>IF(F794&gt;=1,"m &gt; 1 m   Curtailment should be made."," m &lt; 1 m  Curtailment should not be made.")</f>
        <v>m &gt; 1 m   Curtailment should be made.</v>
      </c>
      <c r="H794" s="827"/>
      <c r="I794" s="827"/>
      <c r="J794" s="827"/>
      <c r="K794" s="827"/>
    </row>
    <row r="795" spans="1:20" x14ac:dyDescent="0.2">
      <c r="A795" s="827"/>
      <c r="B795" s="827"/>
      <c r="C795" s="827"/>
      <c r="D795" s="827"/>
      <c r="E795" s="827"/>
      <c r="F795" s="827"/>
      <c r="G795" s="827"/>
      <c r="H795" s="827"/>
      <c r="I795" s="827"/>
      <c r="J795" s="827"/>
      <c r="K795" s="827"/>
    </row>
    <row r="796" spans="1:20" ht="13.5" x14ac:dyDescent="0.25">
      <c r="A796" s="827"/>
      <c r="B796" s="1276" t="s">
        <v>87</v>
      </c>
      <c r="C796" s="827"/>
      <c r="D796" s="827"/>
      <c r="E796" s="827"/>
      <c r="F796" s="827"/>
      <c r="G796" s="827"/>
      <c r="H796" s="827"/>
      <c r="I796" s="827"/>
      <c r="J796" s="827"/>
      <c r="K796" s="827"/>
    </row>
    <row r="797" spans="1:20" x14ac:dyDescent="0.2">
      <c r="A797" s="827"/>
      <c r="B797" s="1222" t="s">
        <v>287</v>
      </c>
      <c r="C797" s="827"/>
      <c r="D797" s="827"/>
      <c r="E797" s="827"/>
      <c r="F797" s="997">
        <f>F779/2</f>
        <v>1711.9093810222012</v>
      </c>
      <c r="G797" s="1222" t="s">
        <v>78</v>
      </c>
      <c r="H797" s="827"/>
      <c r="I797" s="827"/>
      <c r="J797" s="827"/>
      <c r="K797" s="827"/>
      <c r="M797" s="6" t="s">
        <v>152</v>
      </c>
      <c r="O797" s="6" t="s">
        <v>153</v>
      </c>
      <c r="Q797" s="6" t="s">
        <v>154</v>
      </c>
      <c r="S797" s="6" t="s">
        <v>155</v>
      </c>
    </row>
    <row r="798" spans="1:20" x14ac:dyDescent="0.2">
      <c r="A798" s="827"/>
      <c r="B798" s="1272" t="str">
        <f>IF(F797&gt;=F780,"Ast(moment) &gt; Ast(shrinkage)","Ast(moment) &lt; Ast(shrinkage)")</f>
        <v>Ast(moment) &gt; Ast(shrinkage)</v>
      </c>
      <c r="C798" s="827"/>
      <c r="D798" s="827"/>
      <c r="E798" s="827"/>
      <c r="F798" s="1278" t="s">
        <v>114</v>
      </c>
      <c r="G798" s="1279"/>
      <c r="H798" s="1280">
        <f>IF(OR(F794&lt;1,F797&lt;F780),F36/2,F793)</f>
        <v>1.6895599999999997</v>
      </c>
      <c r="I798" s="1278" t="s">
        <v>115</v>
      </c>
      <c r="J798" s="827"/>
      <c r="K798" s="827"/>
      <c r="M798" s="6" t="s">
        <v>157</v>
      </c>
      <c r="O798" s="6" t="s">
        <v>157</v>
      </c>
      <c r="Q798" s="6" t="s">
        <v>157</v>
      </c>
      <c r="S798" s="6" t="s">
        <v>157</v>
      </c>
    </row>
    <row r="799" spans="1:20" x14ac:dyDescent="0.2">
      <c r="A799" s="827"/>
      <c r="B799" s="827"/>
      <c r="C799" s="827"/>
      <c r="D799" s="827"/>
      <c r="E799" s="827"/>
      <c r="F799" s="827"/>
      <c r="G799" s="827"/>
      <c r="H799" s="827"/>
      <c r="I799" s="827"/>
      <c r="J799" s="827"/>
      <c r="K799" s="827"/>
      <c r="M799" s="24">
        <f>D791*N799^3-F790*N799</f>
        <v>0</v>
      </c>
      <c r="N799" s="24">
        <v>0</v>
      </c>
      <c r="O799" s="24">
        <f>H790*P799^3-F790*P799</f>
        <v>2.1485837692422791</v>
      </c>
      <c r="P799" s="24">
        <f>N805</f>
        <v>3.4499999999999997</v>
      </c>
      <c r="Q799" s="24">
        <f>H790*R799^3-F790*R799</f>
        <v>56.934474422787957</v>
      </c>
      <c r="R799" s="24">
        <f>P804</f>
        <v>4.37</v>
      </c>
      <c r="S799" s="24">
        <f>H790*T799^3-F790*T799</f>
        <v>72.22600188157341</v>
      </c>
      <c r="T799" s="24">
        <f>R804</f>
        <v>4.5540000000000003</v>
      </c>
    </row>
    <row r="800" spans="1:20" ht="13.5" x14ac:dyDescent="0.25">
      <c r="A800" s="827"/>
      <c r="B800" s="1276" t="s">
        <v>116</v>
      </c>
      <c r="C800" s="827"/>
      <c r="D800" s="827"/>
      <c r="E800" s="827"/>
      <c r="F800" s="827"/>
      <c r="G800" s="1301"/>
      <c r="H800" s="827"/>
      <c r="I800" s="827"/>
      <c r="J800" s="827"/>
      <c r="K800" s="827"/>
      <c r="M800" s="24">
        <f>H790*N800^3-F790*N800</f>
        <v>-20.264043406284955</v>
      </c>
      <c r="N800" s="24">
        <f>0.2*F36</f>
        <v>1.1500000000000001</v>
      </c>
      <c r="O800" s="24">
        <f>H790*P800^3-F790*P800</f>
        <v>12.698020733223828</v>
      </c>
      <c r="P800" s="24">
        <f>N805+0.04*F36</f>
        <v>3.6799999999999997</v>
      </c>
      <c r="Q800" s="24">
        <f>H790*R800^3-F790*R800</f>
        <v>60.611333831031928</v>
      </c>
      <c r="R800" s="24">
        <f>P804+0.008*F36</f>
        <v>4.4160000000000004</v>
      </c>
      <c r="S800" s="24">
        <f>H790*T800^3-F790*T800</f>
        <v>73.031915701357192</v>
      </c>
      <c r="T800" s="24">
        <f>R804+0.0016*F36</f>
        <v>4.5632000000000001</v>
      </c>
    </row>
    <row r="801" spans="1:20" x14ac:dyDescent="0.2">
      <c r="A801" s="827"/>
      <c r="B801" s="1222" t="s">
        <v>156</v>
      </c>
      <c r="C801" s="827"/>
      <c r="D801" s="827"/>
      <c r="E801" s="1229">
        <f>1/4*H782*$H$54*$G$70*(D36-$H$65)/1000000000</f>
        <v>36.781992571803748</v>
      </c>
      <c r="F801" s="1222" t="s">
        <v>99</v>
      </c>
      <c r="G801" s="1230">
        <f>1/4*H782*$H$54*$G$70*(E36-D36)/F36/1000000000</f>
        <v>9.9506839807778267</v>
      </c>
      <c r="H801" s="1222" t="s">
        <v>100</v>
      </c>
      <c r="I801" s="827"/>
      <c r="J801" s="827"/>
      <c r="K801" s="827"/>
      <c r="M801" s="24">
        <f>H790*N801^3-F790*N801</f>
        <v>-24.79290831554562</v>
      </c>
      <c r="N801" s="24">
        <f>0.4*F36</f>
        <v>2.3000000000000003</v>
      </c>
      <c r="O801" s="24">
        <f>H790*P801^3-F790*P801</f>
        <v>25.261560544824491</v>
      </c>
      <c r="P801" s="24">
        <f>N805+0.08*F36</f>
        <v>3.9099999999999997</v>
      </c>
      <c r="Q801" s="24">
        <f>H790*R801^3-F790*R801</f>
        <v>64.384870175961552</v>
      </c>
      <c r="R801" s="24">
        <f>P804+0.016*F36</f>
        <v>4.4619999999999997</v>
      </c>
      <c r="S801" s="24">
        <f>H790*T801^3-F790*T801</f>
        <v>73.841825501190655</v>
      </c>
      <c r="T801" s="24">
        <f>R804+0.0032*F36</f>
        <v>4.5724</v>
      </c>
    </row>
    <row r="802" spans="1:20" x14ac:dyDescent="0.2">
      <c r="A802" s="827"/>
      <c r="B802" s="1222" t="s">
        <v>158</v>
      </c>
      <c r="C802" s="827"/>
      <c r="D802" s="827"/>
      <c r="E802" s="1230">
        <f>$H$49*$G$46/6</f>
        <v>1.7243558803347074</v>
      </c>
      <c r="F802" s="1222" t="s">
        <v>104</v>
      </c>
      <c r="G802" s="827"/>
      <c r="H802" s="827"/>
      <c r="I802" s="827"/>
      <c r="J802" s="827"/>
      <c r="K802" s="827"/>
      <c r="M802" s="24">
        <f>H790*N802^3-F790*N802</f>
        <v>2.1485837692422791</v>
      </c>
      <c r="N802" s="24">
        <f>0.6*F36</f>
        <v>3.4499999999999997</v>
      </c>
      <c r="O802" s="24">
        <f>H790*P802^3-F790*P802</f>
        <v>39.965084632020449</v>
      </c>
      <c r="P802" s="24">
        <f>N805+0.12*F36</f>
        <v>4.1399999999999997</v>
      </c>
      <c r="Q802" s="24">
        <f>H790*R802^3-F790*R802</f>
        <v>68.256090509000828</v>
      </c>
      <c r="R802" s="24">
        <f>P804+0.024*F36</f>
        <v>4.508</v>
      </c>
      <c r="S802" s="24">
        <f>H790*T802^3-F790*T802</f>
        <v>74.655739337485187</v>
      </c>
      <c r="T802" s="24">
        <f>R804+0.0048*F36</f>
        <v>4.5815999999999999</v>
      </c>
    </row>
    <row r="803" spans="1:20" x14ac:dyDescent="0.2">
      <c r="A803" s="827"/>
      <c r="B803" s="1222" t="s">
        <v>159</v>
      </c>
      <c r="C803" s="827"/>
      <c r="D803" s="827"/>
      <c r="E803" s="827"/>
      <c r="F803" s="1229">
        <f>T814</f>
        <v>3.4499999999999997</v>
      </c>
      <c r="G803" s="1222" t="s">
        <v>107</v>
      </c>
      <c r="H803" s="827"/>
      <c r="I803" s="827"/>
      <c r="J803" s="827"/>
      <c r="K803" s="827"/>
      <c r="M803" s="24">
        <f>H790*N803^3-F790*N803</f>
        <v>76.295611345103097</v>
      </c>
      <c r="N803" s="24">
        <f>0.8*F36</f>
        <v>4.6000000000000005</v>
      </c>
      <c r="O803" s="24">
        <f>H790*P803^3-F790*P803</f>
        <v>56.934474422787957</v>
      </c>
      <c r="P803" s="24">
        <f>N805+0.16*F36</f>
        <v>4.37</v>
      </c>
      <c r="Q803" s="24">
        <f>H790*R803^3-F790*R803</f>
        <v>72.22600188157341</v>
      </c>
      <c r="R803" s="24">
        <f>P804+0.032*F36</f>
        <v>4.5540000000000003</v>
      </c>
      <c r="S803" s="24">
        <f>H790*T803^3-F790*T803</f>
        <v>75.47366526665229</v>
      </c>
      <c r="T803" s="24">
        <f>R804+0.0064*F36</f>
        <v>4.5908000000000007</v>
      </c>
    </row>
    <row r="804" spans="1:20" x14ac:dyDescent="0.2">
      <c r="A804" s="827"/>
      <c r="B804" s="1222" t="s">
        <v>160</v>
      </c>
      <c r="C804" s="827"/>
      <c r="D804" s="827"/>
      <c r="E804" s="1229">
        <f>IF(D36+(E36-D36)*F803/F36-$H$65&gt;12*C782,F36-F803+(D36+(E36-D36)*F803/F36-$H$65)/1000,F36-F803+(12*C782)/1000)</f>
        <v>2.7350000000000003</v>
      </c>
      <c r="F804" s="1222" t="s">
        <v>24</v>
      </c>
      <c r="G804" s="827"/>
      <c r="H804" s="827"/>
      <c r="I804" s="827"/>
      <c r="J804" s="827"/>
      <c r="K804" s="827"/>
      <c r="M804" s="24">
        <f>H790*N804^3-F790*N804</f>
        <v>213.38335290906102</v>
      </c>
      <c r="N804" s="24">
        <f>F36</f>
        <v>5.75</v>
      </c>
      <c r="O804" s="167"/>
      <c r="P804" s="24">
        <f>IF(O800&gt;O799,VLOOKUP(D790,O799:P803,2),IF(O801&gt;O800,VLOOKUP(D790,O800:P803,2),IF(O802&gt;O801,VLOOKUP(D790,O801:P803,2),IF(O803&gt;O802,VLOOKUP(D790,O802:P803,2),P803))))</f>
        <v>4.37</v>
      </c>
      <c r="Q804" s="167"/>
      <c r="R804" s="24">
        <f>IF(Q800&gt;Q799,VLOOKUP(D790,Q799:R803,2),IF(Q801&gt;Q800,VLOOKUP(D790,Q800:R803,2),IF(Q802&gt;Q801,VLOOKUP(D790,Q801:R803,2),IF(Q803&gt;Q802,VLOOKUP(D790,Q802:R803,2),R803))))</f>
        <v>4.5540000000000003</v>
      </c>
      <c r="S804" s="167"/>
      <c r="T804" s="24">
        <f>IF(S800&gt;S799,VLOOKUP(D790,S799:T803,2),IF(S801&gt;S800,VLOOKUP(D790,S800:T803,2),IF(S802&gt;S801,VLOOKUP(D790,S801:T803,2),IF(S803&gt;S802,VLOOKUP(D790,S802:T803,2),T803))))</f>
        <v>4.5632000000000001</v>
      </c>
    </row>
    <row r="805" spans="1:20" x14ac:dyDescent="0.2">
      <c r="A805" s="827"/>
      <c r="B805" s="1222" t="s">
        <v>112</v>
      </c>
      <c r="C805" s="827"/>
      <c r="D805" s="827"/>
      <c r="E805" s="1229">
        <f>F36-E804</f>
        <v>3.0149999999999997</v>
      </c>
      <c r="F805" s="1272" t="str">
        <f>IF(E805&gt;=1,"m &gt; 1 m  Curtailment should be made."," m &lt; 1 m   Curtailment should not be made.")</f>
        <v>m &gt; 1 m  Curtailment should be made.</v>
      </c>
      <c r="G805" s="827"/>
      <c r="H805" s="827"/>
      <c r="I805" s="827"/>
      <c r="J805" s="827"/>
      <c r="K805" s="827"/>
      <c r="M805" s="127"/>
      <c r="N805" s="25">
        <f>IF(M800&gt;M799,VLOOKUP(D790,M799:N804,2),IF(M801&gt;M800,VLOOKUP(D790,M800:N804,2),IF(M802&gt;M801,VLOOKUP(D790,M801:N804,2),IF(M803&gt;M802,VLOOKUP(D790,M802:N804,2),IF(M804&gt;M803,VLOOKUP(D790,M803:N804,2),N804)))))</f>
        <v>3.4499999999999997</v>
      </c>
      <c r="O805" s="127"/>
    </row>
    <row r="806" spans="1:20" x14ac:dyDescent="0.2">
      <c r="A806" s="827"/>
      <c r="B806" s="827"/>
      <c r="C806" s="827"/>
      <c r="D806" s="827"/>
      <c r="E806" s="827"/>
      <c r="F806" s="827"/>
      <c r="G806" s="827"/>
      <c r="H806" s="827"/>
      <c r="I806" s="827"/>
      <c r="J806" s="827"/>
      <c r="K806" s="827"/>
      <c r="O806" s="127"/>
    </row>
    <row r="807" spans="1:20" ht="13.5" x14ac:dyDescent="0.25">
      <c r="A807" s="827"/>
      <c r="B807" s="1276" t="s">
        <v>87</v>
      </c>
      <c r="C807" s="827"/>
      <c r="D807" s="827"/>
      <c r="E807" s="827"/>
      <c r="F807" s="827"/>
      <c r="G807" s="827"/>
      <c r="H807" s="827"/>
      <c r="I807" s="827"/>
      <c r="J807" s="827"/>
      <c r="K807" s="827"/>
      <c r="M807" s="6" t="s">
        <v>152</v>
      </c>
      <c r="O807" s="128" t="s">
        <v>153</v>
      </c>
      <c r="Q807" s="6" t="s">
        <v>154</v>
      </c>
      <c r="S807" s="6" t="s">
        <v>155</v>
      </c>
    </row>
    <row r="808" spans="1:20" x14ac:dyDescent="0.2">
      <c r="A808" s="827"/>
      <c r="B808" s="1222" t="s">
        <v>297</v>
      </c>
      <c r="C808" s="827"/>
      <c r="D808" s="827"/>
      <c r="E808" s="827"/>
      <c r="F808" s="997">
        <f>F779/4</f>
        <v>855.95469051110058</v>
      </c>
      <c r="G808" s="1222" t="s">
        <v>78</v>
      </c>
      <c r="H808" s="827"/>
      <c r="I808" s="827"/>
      <c r="J808" s="827"/>
      <c r="K808" s="827"/>
      <c r="M808" s="6" t="s">
        <v>157</v>
      </c>
      <c r="O808" s="128" t="s">
        <v>157</v>
      </c>
      <c r="Q808" s="6" t="s">
        <v>157</v>
      </c>
      <c r="S808" s="6" t="s">
        <v>157</v>
      </c>
    </row>
    <row r="809" spans="1:20" x14ac:dyDescent="0.2">
      <c r="A809" s="827"/>
      <c r="B809" s="1272" t="str">
        <f>IF(F808&gt;=F780,"Ast(moment) &gt; Ast(shrinkage)","Ast(moment) &lt; Ast(shrinkage)")</f>
        <v>Ast(moment) &gt; Ast(shrinkage)</v>
      </c>
      <c r="C809" s="827"/>
      <c r="D809" s="827"/>
      <c r="E809" s="827"/>
      <c r="F809" s="1278" t="s">
        <v>114</v>
      </c>
      <c r="G809" s="1279"/>
      <c r="H809" s="1280">
        <f>IF(OR(E805&lt;1,F808&lt;F780),F36/2,E804)</f>
        <v>2.7350000000000003</v>
      </c>
      <c r="I809" s="1278" t="s">
        <v>115</v>
      </c>
      <c r="J809" s="827"/>
      <c r="K809" s="827"/>
      <c r="M809" s="340">
        <f>E802*N809^3-G801*N809</f>
        <v>0</v>
      </c>
      <c r="N809" s="340">
        <v>0</v>
      </c>
      <c r="O809" s="340">
        <f>E802*P809^3-G801*P809</f>
        <v>36.478443502925778</v>
      </c>
      <c r="P809" s="340">
        <f>N815</f>
        <v>3.4499999999999997</v>
      </c>
      <c r="Q809" s="340">
        <f>E802*R809^3-G801*R809</f>
        <v>36.478443502925778</v>
      </c>
      <c r="R809" s="340">
        <f>P814</f>
        <v>3.4499999999999997</v>
      </c>
      <c r="S809" s="340">
        <f>E802*T809^3-G801*T809</f>
        <v>36.478443502925778</v>
      </c>
      <c r="T809" s="340">
        <f>R814</f>
        <v>3.4499999999999997</v>
      </c>
    </row>
    <row r="810" spans="1:20" x14ac:dyDescent="0.2">
      <c r="A810" s="827"/>
      <c r="B810" s="1272"/>
      <c r="C810" s="827"/>
      <c r="D810" s="827"/>
      <c r="E810" s="827"/>
      <c r="F810" s="1278"/>
      <c r="G810" s="1279"/>
      <c r="H810" s="1280"/>
      <c r="I810" s="1278"/>
      <c r="J810" s="827"/>
      <c r="K810" s="827"/>
      <c r="M810" s="340">
        <f>E802*N810^3-G801*N810</f>
        <v>-8.8207568283904543</v>
      </c>
      <c r="N810" s="340">
        <f>0.2*F36</f>
        <v>1.1500000000000001</v>
      </c>
      <c r="O810" s="340">
        <f>E802*P810^3-G801*P810</f>
        <v>49.316537782486229</v>
      </c>
      <c r="P810" s="340">
        <f>N815+0.04*F36</f>
        <v>3.6799999999999997</v>
      </c>
      <c r="Q810" s="340">
        <f>E802*R810^3-G801*R810</f>
        <v>38.890976439571197</v>
      </c>
      <c r="R810" s="340">
        <f>P814+0.008*F36</f>
        <v>3.4959999999999996</v>
      </c>
      <c r="S810" s="340">
        <f>E802*T810^3-G801*T810</f>
        <v>36.95487555606644</v>
      </c>
      <c r="T810" s="340">
        <f>R814+0.0016*F36</f>
        <v>3.4591999999999996</v>
      </c>
    </row>
    <row r="811" spans="1:20" x14ac:dyDescent="0.2">
      <c r="A811" s="827"/>
      <c r="B811" s="1272"/>
      <c r="C811" s="827"/>
      <c r="D811" s="827"/>
      <c r="E811" s="827"/>
      <c r="F811" s="1278"/>
      <c r="G811" s="1279"/>
      <c r="H811" s="1280"/>
      <c r="I811" s="1278"/>
      <c r="J811" s="827"/>
      <c r="K811" s="827"/>
      <c r="M811" s="340">
        <f>E802*N811^3-G801*N811</f>
        <v>-1.9063351597566154</v>
      </c>
      <c r="N811" s="340">
        <f>0.4*F36</f>
        <v>2.3000000000000003</v>
      </c>
      <c r="O811" s="340">
        <f>E802*P811^3-G801*P811</f>
        <v>64.168734909665787</v>
      </c>
      <c r="P811" s="340">
        <f>N815+0.08*F36</f>
        <v>3.9099999999999997</v>
      </c>
      <c r="Q811" s="340">
        <f>E802*R811^3-G801*R811</f>
        <v>41.380045284426146</v>
      </c>
      <c r="R811" s="340">
        <f>P814+0.016*F36</f>
        <v>3.5419999999999998</v>
      </c>
      <c r="S811" s="340">
        <f>E802*T811^3-G801*T811</f>
        <v>37.434336819889943</v>
      </c>
      <c r="T811" s="340">
        <f>R814+0.0032*F36</f>
        <v>3.4683999999999999</v>
      </c>
    </row>
    <row r="812" spans="1:20" x14ac:dyDescent="0.2">
      <c r="A812" s="827"/>
      <c r="B812" s="827"/>
      <c r="C812" s="827"/>
      <c r="D812" s="827"/>
      <c r="E812" s="827"/>
      <c r="F812" s="827"/>
      <c r="G812" s="827"/>
      <c r="H812" s="827"/>
      <c r="I812" s="827"/>
      <c r="J812" s="827"/>
      <c r="K812" s="827"/>
      <c r="M812" s="340">
        <f>E802*N812^3-G801*N812</f>
        <v>36.478443502925778</v>
      </c>
      <c r="N812" s="340">
        <f>0.6*F36</f>
        <v>3.4499999999999997</v>
      </c>
      <c r="O812" s="340">
        <f>E802*P812^3-G801*P812</f>
        <v>81.160916312440648</v>
      </c>
      <c r="P812" s="340">
        <f>N815+0.12*F36</f>
        <v>4.1399999999999997</v>
      </c>
      <c r="Q812" s="340">
        <f>E802*R812^3-G801*R812</f>
        <v>43.946657088914407</v>
      </c>
      <c r="R812" s="340">
        <f>P814+0.024*F36</f>
        <v>3.5879999999999996</v>
      </c>
      <c r="S812" s="340">
        <f>E802*T812^3-G801*T812</f>
        <v>37.916835350807631</v>
      </c>
      <c r="T812" s="340">
        <f>R814+0.0048*F36</f>
        <v>3.4775999999999998</v>
      </c>
    </row>
    <row r="813" spans="1:20" ht="13.5" x14ac:dyDescent="0.25">
      <c r="A813" s="1268" t="s">
        <v>183</v>
      </c>
      <c r="B813" s="827"/>
      <c r="C813" s="827"/>
      <c r="D813" s="827"/>
      <c r="E813" s="827"/>
      <c r="F813" s="827"/>
      <c r="G813" s="827"/>
      <c r="H813" s="827"/>
      <c r="I813" s="827"/>
      <c r="J813" s="827"/>
      <c r="K813" s="827"/>
      <c r="M813" s="340">
        <f>E802*N813^3-G801*N813</f>
        <v>122.0687576566811</v>
      </c>
      <c r="N813" s="340">
        <f>0.8*F36</f>
        <v>4.6000000000000005</v>
      </c>
      <c r="O813" s="340">
        <f>E802*P813^3-G801*P813</f>
        <v>100.41896341878706</v>
      </c>
      <c r="P813" s="340">
        <f>N815+0.16*F36</f>
        <v>4.37</v>
      </c>
      <c r="Q813" s="340">
        <f>E802*R813^3-G801*R813</f>
        <v>46.591818904459849</v>
      </c>
      <c r="R813" s="340">
        <f>P814+0.032*F36</f>
        <v>3.6339999999999999</v>
      </c>
      <c r="S813" s="340">
        <f>E802*T813^3-G801*T813</f>
        <v>38.402379205230915</v>
      </c>
      <c r="T813" s="340">
        <f>R814+0.0064*F36</f>
        <v>3.4867999999999997</v>
      </c>
    </row>
    <row r="814" spans="1:20" x14ac:dyDescent="0.2">
      <c r="A814" s="827"/>
      <c r="B814" s="827"/>
      <c r="C814" s="827"/>
      <c r="D814" s="827"/>
      <c r="E814" s="827"/>
      <c r="F814" s="827"/>
      <c r="G814" s="827"/>
      <c r="H814" s="827"/>
      <c r="I814" s="827"/>
      <c r="J814" s="827"/>
      <c r="K814" s="827"/>
      <c r="M814" s="340">
        <f>E802*N814^3-G801*N814</f>
        <v>270.5997857985335</v>
      </c>
      <c r="N814" s="340">
        <f>F36</f>
        <v>5.75</v>
      </c>
      <c r="O814" s="341"/>
      <c r="P814" s="340">
        <f>IF(O810&gt;O809,VLOOKUP(E801,O809:P813,2),IF(O811&gt;O810,VLOOKUP(E801,O810:P813,2),IF(O812&gt;O811,VLOOKUP(E801,O811:P813,2),IF(O813&gt;O812,VLOOKUP(E801,O812:P813,2),P813))))</f>
        <v>3.4499999999999997</v>
      </c>
      <c r="Q814" s="341"/>
      <c r="R814" s="340">
        <f>IF(Q810&gt;Q809,VLOOKUP(E801,Q809:R813,2),IF(Q811&gt;Q810,VLOOKUP(E801,Q810:R813,2),IF(Q812&gt;Q811,VLOOKUP(E801,Q811:R813,2),IF(Q813&gt;Q812,VLOOKUP(E801,Q812:R813,2),R813))))</f>
        <v>3.4499999999999997</v>
      </c>
      <c r="S814" s="341"/>
      <c r="T814" s="340">
        <f>IF(S810&gt;S809,VLOOKUP(E801,S809:T813,2),IF(S811&gt;S810,VLOOKUP(E801,S810:T813,2),IF(S812&gt;S811,VLOOKUP(E801,S811:T813,2),IF(S813&gt;S812,VLOOKUP(E801,S812:T813,2),T813))))</f>
        <v>3.4499999999999997</v>
      </c>
    </row>
    <row r="815" spans="1:20" ht="13.5" x14ac:dyDescent="0.25">
      <c r="A815" s="1276" t="s">
        <v>54</v>
      </c>
      <c r="B815" s="827"/>
      <c r="C815" s="827"/>
      <c r="D815" s="827"/>
      <c r="E815" s="827"/>
      <c r="F815" s="827"/>
      <c r="G815" s="827"/>
      <c r="H815" s="827"/>
      <c r="I815" s="827"/>
      <c r="J815" s="827"/>
      <c r="K815" s="827"/>
      <c r="M815" s="341"/>
      <c r="N815" s="340">
        <f>IF(M810&gt;M809,VLOOKUP(E801,M809:N814,2),IF(M811&gt;M810,VLOOKUP(E801,M810:N814,2),IF(M812&gt;M811,VLOOKUP(E801,M811:N814,2),IF(M813&gt;M812,VLOOKUP(E801,M812:N814,2),IF(M814&gt;M813,VLOOKUP(E801,M813:N814,2),N814)))))</f>
        <v>3.4499999999999997</v>
      </c>
      <c r="O815" s="341"/>
      <c r="P815" s="341"/>
      <c r="Q815" s="341"/>
      <c r="R815" s="341"/>
      <c r="S815" s="341"/>
      <c r="T815" s="341"/>
    </row>
    <row r="816" spans="1:20" x14ac:dyDescent="0.2">
      <c r="A816" s="827"/>
      <c r="B816" s="1222" t="s">
        <v>163</v>
      </c>
      <c r="C816" s="827"/>
      <c r="D816" s="827"/>
      <c r="E816" s="827"/>
      <c r="F816" s="1229">
        <f>(D36+E36)/2000*F36*$G$45+(E36-D36)/2000*F36*$G$46</f>
        <v>84.179999999999993</v>
      </c>
      <c r="G816" s="1222" t="s">
        <v>57</v>
      </c>
      <c r="H816" s="827"/>
      <c r="I816" s="827"/>
      <c r="J816" s="827"/>
      <c r="K816" s="827"/>
    </row>
    <row r="817" spans="1:11" x14ac:dyDescent="0.2">
      <c r="A817" s="827"/>
      <c r="B817" s="1222" t="s">
        <v>164</v>
      </c>
      <c r="C817" s="827"/>
      <c r="D817" s="827"/>
      <c r="E817" s="827"/>
      <c r="F817" s="1229">
        <f>2*F816/J36</f>
        <v>26.102325581395345</v>
      </c>
      <c r="G817" s="1222" t="s">
        <v>120</v>
      </c>
      <c r="H817" s="827"/>
      <c r="I817" s="827"/>
      <c r="J817" s="827"/>
      <c r="K817" s="827"/>
    </row>
    <row r="818" spans="1:11" x14ac:dyDescent="0.2">
      <c r="A818" s="827"/>
      <c r="B818" s="1222" t="s">
        <v>165</v>
      </c>
      <c r="C818" s="827"/>
      <c r="D818" s="827"/>
      <c r="E818" s="1229">
        <f>$H$49*I36^3/6*$G$46</f>
        <v>391.39602207425219</v>
      </c>
      <c r="F818" s="1222" t="s">
        <v>58</v>
      </c>
      <c r="G818" s="827"/>
      <c r="H818" s="827"/>
      <c r="I818" s="827"/>
      <c r="J818" s="827"/>
      <c r="K818" s="827"/>
    </row>
    <row r="819" spans="1:11" x14ac:dyDescent="0.2">
      <c r="A819" s="827"/>
      <c r="B819" s="1222" t="s">
        <v>166</v>
      </c>
      <c r="C819" s="827"/>
      <c r="D819" s="827"/>
      <c r="E819" s="827"/>
      <c r="F819" s="827"/>
      <c r="G819" s="827"/>
      <c r="H819" s="1229">
        <f>((E36-D36)*F36/2*(2/3*D36+E36/3)+D36*F36*D36/2)/((D36+E36)/2*F36)/1000</f>
        <v>0.24824561403508769</v>
      </c>
      <c r="I819" s="1222" t="s">
        <v>24</v>
      </c>
      <c r="J819" s="827"/>
      <c r="K819" s="827"/>
    </row>
    <row r="820" spans="1:11" x14ac:dyDescent="0.2">
      <c r="A820" s="827"/>
      <c r="B820" s="1222" t="s">
        <v>167</v>
      </c>
      <c r="C820" s="827"/>
      <c r="D820" s="827"/>
      <c r="E820" s="827"/>
      <c r="F820" s="1229">
        <f>E818-F816*H819+F817*H819^2/2</f>
        <v>371.30299574056812</v>
      </c>
      <c r="G820" s="1222" t="s">
        <v>58</v>
      </c>
      <c r="H820" s="827"/>
      <c r="I820" s="827"/>
      <c r="J820" s="827"/>
      <c r="K820" s="827"/>
    </row>
    <row r="821" spans="1:11" x14ac:dyDescent="0.2">
      <c r="A821" s="827"/>
      <c r="B821" s="1222" t="s">
        <v>168</v>
      </c>
      <c r="C821" s="827"/>
      <c r="D821" s="827"/>
      <c r="E821" s="827"/>
      <c r="F821" s="1229">
        <f>E818-F816*(H36/2+H819)+F817*J36^2/8</f>
        <v>262.11695628477855</v>
      </c>
      <c r="G821" s="1222" t="s">
        <v>58</v>
      </c>
      <c r="H821" s="827"/>
      <c r="I821" s="827"/>
      <c r="J821" s="827"/>
      <c r="K821" s="827"/>
    </row>
    <row r="822" spans="1:11" x14ac:dyDescent="0.2">
      <c r="A822" s="827"/>
      <c r="B822" s="827"/>
      <c r="C822" s="827"/>
      <c r="D822" s="827"/>
      <c r="E822" s="827"/>
      <c r="F822" s="827"/>
      <c r="G822" s="827"/>
      <c r="H822" s="827"/>
      <c r="I822" s="827"/>
      <c r="J822" s="827"/>
      <c r="K822" s="827"/>
    </row>
    <row r="823" spans="1:11" x14ac:dyDescent="0.2">
      <c r="A823" s="827"/>
      <c r="B823" s="1222" t="s">
        <v>169</v>
      </c>
      <c r="C823" s="827"/>
      <c r="D823" s="827"/>
      <c r="E823" s="1229">
        <f>IF(F821&gt;0,0,F821)</f>
        <v>0</v>
      </c>
      <c r="F823" s="1222" t="s">
        <v>58</v>
      </c>
      <c r="G823" s="1272" t="str">
        <f>IF(F821&gt;0,"(Moment at Midspan produces Bottom Tension)","")</f>
        <v>(Moment at Midspan produces Bottom Tension)</v>
      </c>
      <c r="H823" s="827"/>
      <c r="I823" s="827"/>
      <c r="J823" s="827"/>
      <c r="K823" s="827"/>
    </row>
    <row r="824" spans="1:11" x14ac:dyDescent="0.2">
      <c r="A824" s="827"/>
      <c r="B824" s="1222" t="s">
        <v>170</v>
      </c>
      <c r="C824" s="827"/>
      <c r="D824" s="827"/>
      <c r="E824" s="1229">
        <f>F820</f>
        <v>371.30299574056812</v>
      </c>
      <c r="F824" s="1222" t="s">
        <v>57</v>
      </c>
      <c r="G824" s="827"/>
      <c r="H824" s="827"/>
      <c r="I824" s="827"/>
      <c r="J824" s="827"/>
      <c r="K824" s="827"/>
    </row>
    <row r="825" spans="1:11" x14ac:dyDescent="0.2">
      <c r="A825" s="827"/>
      <c r="B825" s="1222" t="s">
        <v>171</v>
      </c>
      <c r="C825" s="827"/>
      <c r="D825" s="827"/>
      <c r="E825" s="1229">
        <f>F816</f>
        <v>84.179999999999993</v>
      </c>
      <c r="F825" s="1222" t="s">
        <v>58</v>
      </c>
      <c r="G825" s="827"/>
      <c r="H825" s="827"/>
      <c r="I825" s="827"/>
      <c r="J825" s="827"/>
      <c r="K825" s="827"/>
    </row>
    <row r="826" spans="1:11" x14ac:dyDescent="0.2">
      <c r="A826" s="827"/>
      <c r="B826" s="827"/>
      <c r="C826" s="827"/>
      <c r="D826" s="827"/>
      <c r="E826" s="827"/>
      <c r="F826" s="827"/>
      <c r="G826" s="827"/>
      <c r="H826" s="827"/>
      <c r="I826" s="827"/>
      <c r="J826" s="827"/>
      <c r="K826" s="827"/>
    </row>
    <row r="827" spans="1:11" ht="13.5" x14ac:dyDescent="0.25">
      <c r="A827" s="1276" t="s">
        <v>59</v>
      </c>
      <c r="B827" s="827"/>
      <c r="C827" s="827"/>
      <c r="D827" s="827"/>
      <c r="E827" s="827"/>
      <c r="F827" s="827"/>
      <c r="G827" s="827"/>
      <c r="H827" s="827"/>
      <c r="I827" s="827"/>
      <c r="J827" s="827"/>
      <c r="K827" s="827"/>
    </row>
    <row r="828" spans="1:11" x14ac:dyDescent="0.2">
      <c r="A828" s="827"/>
      <c r="B828" s="1222" t="s">
        <v>60</v>
      </c>
      <c r="C828" s="827"/>
      <c r="D828" s="827"/>
      <c r="E828" s="827"/>
      <c r="F828" s="997">
        <f>SQRT(MAX(E823:E824)/$G$71)*1000</f>
        <v>544.36438897392975</v>
      </c>
      <c r="G828" s="1222" t="s">
        <v>43</v>
      </c>
      <c r="H828" s="827"/>
      <c r="I828" s="827"/>
      <c r="J828" s="827"/>
      <c r="K828" s="827"/>
    </row>
    <row r="829" spans="1:11" x14ac:dyDescent="0.2">
      <c r="A829" s="827"/>
      <c r="B829" s="1222" t="s">
        <v>61</v>
      </c>
      <c r="C829" s="827"/>
      <c r="D829" s="827"/>
      <c r="E829" s="827"/>
      <c r="F829" s="997">
        <f>E825/$H$57*1000</f>
        <v>196.38112256801284</v>
      </c>
      <c r="G829" s="1222" t="s">
        <v>43</v>
      </c>
      <c r="H829" s="827"/>
      <c r="I829" s="827"/>
      <c r="J829" s="827"/>
      <c r="K829" s="827"/>
    </row>
    <row r="830" spans="1:11" x14ac:dyDescent="0.2">
      <c r="A830" s="827"/>
      <c r="B830" s="827"/>
      <c r="C830" s="827"/>
      <c r="D830" s="827"/>
      <c r="E830" s="827"/>
      <c r="F830" s="827"/>
      <c r="G830" s="827"/>
      <c r="H830" s="827"/>
      <c r="I830" s="827"/>
      <c r="J830" s="827"/>
      <c r="K830" s="827"/>
    </row>
    <row r="831" spans="1:11" x14ac:dyDescent="0.2">
      <c r="A831" s="827"/>
      <c r="B831" s="1222" t="s">
        <v>138</v>
      </c>
      <c r="C831" s="827"/>
      <c r="D831" s="827"/>
      <c r="E831" s="827"/>
      <c r="F831" s="997">
        <f>MAX(F828:F829)+$H$65</f>
        <v>619.36438897392975</v>
      </c>
      <c r="G831" s="1222" t="s">
        <v>43</v>
      </c>
      <c r="H831" s="827"/>
      <c r="I831" s="827"/>
      <c r="J831" s="827"/>
      <c r="K831" s="827"/>
    </row>
    <row r="832" spans="1:11" x14ac:dyDescent="0.2">
      <c r="A832" s="827"/>
      <c r="B832" s="1222" t="s">
        <v>139</v>
      </c>
      <c r="C832" s="827"/>
      <c r="D832" s="827"/>
      <c r="E832" s="827"/>
      <c r="F832" s="997">
        <f>$G$36</f>
        <v>700</v>
      </c>
      <c r="G832" s="1222" t="s">
        <v>43</v>
      </c>
      <c r="H832" s="827"/>
      <c r="I832" s="827"/>
      <c r="J832" s="827"/>
      <c r="K832" s="827"/>
    </row>
    <row r="833" spans="1:19" x14ac:dyDescent="0.2">
      <c r="A833" s="827"/>
      <c r="B833" s="1272" t="str">
        <f>IF(F832&gt;=F831,"ta  &gt;  tr     Design is OK.","ta  &lt;  tr     Design is Not OK.")</f>
        <v>ta  &gt;  tr     Design is OK.</v>
      </c>
      <c r="C833" s="827"/>
      <c r="D833" s="827"/>
      <c r="E833" s="827"/>
      <c r="F833" s="827"/>
      <c r="G833" s="827"/>
      <c r="H833" s="1222" t="s">
        <v>64</v>
      </c>
      <c r="I833" s="827"/>
      <c r="J833" s="827"/>
      <c r="K833" s="827"/>
    </row>
    <row r="834" spans="1:19" x14ac:dyDescent="0.2">
      <c r="A834" s="827"/>
      <c r="B834" s="1292" t="str">
        <f>IF(F832&gt;1.5*F831,"WARNING:  Actual Member Thickness is considerably larger (&gt;50%) than required.","")</f>
        <v/>
      </c>
      <c r="C834" s="827"/>
      <c r="D834" s="827"/>
      <c r="E834" s="827"/>
      <c r="F834" s="827"/>
      <c r="G834" s="827"/>
      <c r="H834" s="827"/>
      <c r="I834" s="827"/>
      <c r="J834" s="827"/>
      <c r="K834" s="827"/>
    </row>
    <row r="835" spans="1:19" ht="13.5" x14ac:dyDescent="0.25">
      <c r="A835" s="1276" t="s">
        <v>123</v>
      </c>
      <c r="B835" s="827"/>
      <c r="C835" s="827"/>
      <c r="D835" s="827"/>
      <c r="E835" s="827"/>
      <c r="F835" s="827"/>
      <c r="G835" s="827"/>
      <c r="H835" s="827"/>
      <c r="I835" s="827"/>
      <c r="J835" s="827"/>
      <c r="K835" s="827"/>
    </row>
    <row r="836" spans="1:19" x14ac:dyDescent="0.2">
      <c r="A836" s="827"/>
      <c r="B836" s="1222" t="s">
        <v>124</v>
      </c>
      <c r="C836" s="827"/>
      <c r="D836" s="827"/>
      <c r="E836" s="827"/>
      <c r="F836" s="1229">
        <f>MAX($C$32:$C$37)</f>
        <v>16.2</v>
      </c>
      <c r="G836" s="1222" t="s">
        <v>24</v>
      </c>
      <c r="H836" s="827"/>
      <c r="I836" s="827"/>
      <c r="J836" s="827"/>
      <c r="K836" s="827"/>
    </row>
    <row r="837" spans="1:19" x14ac:dyDescent="0.2">
      <c r="A837" s="827"/>
      <c r="B837" s="1222" t="s">
        <v>141</v>
      </c>
      <c r="C837" s="827"/>
      <c r="D837" s="827"/>
      <c r="E837" s="827"/>
      <c r="F837" s="827"/>
      <c r="G837" s="827"/>
      <c r="H837" s="997">
        <f>IF(AND(F836&lt;=9,F832&lt;380),$C$157*F832*1000,IF(F836&lt;=9,$C$157*380000,IF(F832&lt;380,$C$158*F832*1000,$C$158*380000)))</f>
        <v>950</v>
      </c>
      <c r="I837" s="1222" t="s">
        <v>78</v>
      </c>
      <c r="J837" s="827"/>
      <c r="K837" s="827"/>
    </row>
    <row r="838" spans="1:19" x14ac:dyDescent="0.2">
      <c r="A838" s="827"/>
      <c r="B838" s="1222" t="s">
        <v>79</v>
      </c>
      <c r="C838" s="997">
        <f>IF(D984=0,O846,D984)</f>
        <v>16</v>
      </c>
      <c r="D838" s="1222" t="s">
        <v>71</v>
      </c>
      <c r="E838" s="997">
        <f>IF(D984=0,IF(Q846&gt;300,300,Q846),E984)</f>
        <v>200</v>
      </c>
      <c r="F838" s="1222" t="s">
        <v>80</v>
      </c>
      <c r="G838" s="827"/>
      <c r="H838" s="997">
        <f>785.4*C838^2/E838</f>
        <v>1005.312</v>
      </c>
      <c r="I838" s="1222" t="s">
        <v>81</v>
      </c>
      <c r="J838" s="827"/>
      <c r="K838" s="827"/>
    </row>
    <row r="839" spans="1:19" x14ac:dyDescent="0.2">
      <c r="A839" s="827"/>
      <c r="B839" s="1222" t="s">
        <v>142</v>
      </c>
      <c r="C839" s="827"/>
      <c r="D839" s="827"/>
      <c r="E839" s="827"/>
      <c r="F839" s="827"/>
      <c r="G839" s="827"/>
      <c r="H839" s="997">
        <f>IF(AND(F836&lt;=9,F832&lt;380),$D$157*F832*1000,IF(F836&lt;=9,$D$157*380000,IF(F832&lt;380,$D$158*F832*1000,$D$158*380000)))</f>
        <v>570</v>
      </c>
      <c r="I839" s="1222" t="s">
        <v>78</v>
      </c>
      <c r="J839" s="827"/>
      <c r="K839" s="827"/>
    </row>
    <row r="840" spans="1:19" x14ac:dyDescent="0.2">
      <c r="A840" s="827"/>
      <c r="B840" s="1222" t="s">
        <v>79</v>
      </c>
      <c r="C840" s="997">
        <v>16</v>
      </c>
      <c r="D840" s="1222" t="s">
        <v>71</v>
      </c>
      <c r="E840" s="997">
        <v>250</v>
      </c>
      <c r="F840" s="1222" t="s">
        <v>80</v>
      </c>
      <c r="G840" s="827"/>
      <c r="H840" s="997">
        <f>785.4*C840^2/E840</f>
        <v>804.24959999999999</v>
      </c>
      <c r="I840" s="1222" t="s">
        <v>81</v>
      </c>
      <c r="J840" s="827"/>
      <c r="K840" s="827"/>
    </row>
    <row r="841" spans="1:19" x14ac:dyDescent="0.2">
      <c r="A841" s="827"/>
      <c r="B841" s="827"/>
      <c r="C841" s="827"/>
      <c r="D841" s="827"/>
      <c r="E841" s="827"/>
      <c r="F841" s="827"/>
      <c r="G841" s="827"/>
      <c r="H841" s="827"/>
      <c r="I841" s="827"/>
      <c r="J841" s="827"/>
      <c r="K841" s="827"/>
    </row>
    <row r="842" spans="1:19" ht="13.5" x14ac:dyDescent="0.25">
      <c r="A842" s="1276" t="s">
        <v>125</v>
      </c>
      <c r="B842" s="827"/>
      <c r="C842" s="827"/>
      <c r="D842" s="827"/>
      <c r="E842" s="827"/>
      <c r="F842" s="827"/>
      <c r="G842" s="827"/>
      <c r="H842" s="827"/>
      <c r="I842" s="827"/>
      <c r="J842" s="827"/>
      <c r="K842" s="827"/>
      <c r="M842" s="6" t="s">
        <v>66</v>
      </c>
      <c r="O842" s="30">
        <v>12</v>
      </c>
      <c r="P842" s="30">
        <v>16</v>
      </c>
      <c r="Q842" s="30">
        <v>20</v>
      </c>
      <c r="R842" s="30">
        <v>22</v>
      </c>
      <c r="S842" s="30">
        <v>25</v>
      </c>
    </row>
    <row r="843" spans="1:19" x14ac:dyDescent="0.2">
      <c r="A843" s="827"/>
      <c r="B843" s="1222" t="s">
        <v>161</v>
      </c>
      <c r="C843" s="827"/>
      <c r="D843" s="827"/>
      <c r="E843" s="827"/>
      <c r="F843" s="997">
        <f>E823/$H$54/$G$70/(F832-$H$65)*1000000000</f>
        <v>0</v>
      </c>
      <c r="G843" s="1222" t="s">
        <v>78</v>
      </c>
      <c r="H843" s="827"/>
      <c r="I843" s="827"/>
      <c r="J843" s="827"/>
      <c r="K843" s="827"/>
      <c r="M843" s="6" t="s">
        <v>67</v>
      </c>
      <c r="O843" s="30">
        <f>IF(H837=0,100000000,TRUNC(785.4*O842^2/H837/25)*25)</f>
        <v>100</v>
      </c>
      <c r="P843" s="30">
        <f>IF(H837=0,100000000,TRUNC(785.4*P842^2/H837/25)*25)</f>
        <v>200</v>
      </c>
      <c r="Q843" s="30">
        <f>IF(H837=0,100000000,TRUNC(785.4*Q842^2/H837/25)*25)</f>
        <v>325</v>
      </c>
      <c r="R843" s="30">
        <f>IF(H837=0,100000000,TRUNC(785.4*R842^2/H837/25)*25)</f>
        <v>400</v>
      </c>
      <c r="S843" s="30">
        <f>IF(H837=0,100000000,TRUNC(785.4*S842^2/H837/25)*25)</f>
        <v>500</v>
      </c>
    </row>
    <row r="844" spans="1:19" x14ac:dyDescent="0.2">
      <c r="A844" s="827"/>
      <c r="B844" s="1222" t="s">
        <v>172</v>
      </c>
      <c r="C844" s="827"/>
      <c r="D844" s="827"/>
      <c r="E844" s="827"/>
      <c r="F844" s="1229">
        <f>H36+E36/500</f>
        <v>7.1</v>
      </c>
      <c r="G844" s="1222" t="s">
        <v>24</v>
      </c>
      <c r="H844" s="827"/>
      <c r="I844" s="827"/>
      <c r="J844" s="827"/>
      <c r="K844" s="827"/>
      <c r="M844" s="6" t="s">
        <v>68</v>
      </c>
      <c r="O844" s="30">
        <f>785.4*O842^2/O843</f>
        <v>1130.9759999999999</v>
      </c>
      <c r="P844" s="30">
        <f>785.4*P842^2/P843</f>
        <v>1005.312</v>
      </c>
      <c r="Q844" s="30">
        <f>785.4*Q842^2/Q843</f>
        <v>966.64615384615388</v>
      </c>
      <c r="R844" s="30">
        <f>785.4*R842^2/R843</f>
        <v>950.33399999999995</v>
      </c>
      <c r="S844" s="30">
        <f>785.4*S842^2/S843</f>
        <v>981.75</v>
      </c>
    </row>
    <row r="845" spans="1:19" x14ac:dyDescent="0.2">
      <c r="A845" s="827"/>
      <c r="B845" s="1222" t="s">
        <v>113</v>
      </c>
      <c r="C845" s="827"/>
      <c r="D845" s="827"/>
      <c r="E845" s="827"/>
      <c r="F845" s="997">
        <f>IF(AND(F844&lt;=9,F832&lt;380),$C$157*F832*1000,IF(F844&lt;=9,$C$157*380000,IF(F832&lt;380,$C$158*F832*1000,$C$158*380000)))</f>
        <v>760</v>
      </c>
      <c r="G845" s="1222" t="s">
        <v>78</v>
      </c>
      <c r="H845" s="827"/>
      <c r="I845" s="827"/>
      <c r="J845" s="827"/>
      <c r="K845" s="827"/>
      <c r="M845" s="6" t="s">
        <v>69</v>
      </c>
      <c r="O845" s="30">
        <f>IF(OR(O843&gt;300,O843&lt;100),100000000,O844-H837)</f>
        <v>180.97599999999989</v>
      </c>
      <c r="P845" s="30">
        <f>IF(OR(P843&gt;300,P843&lt;100),100000001,P844-H837)</f>
        <v>55.312000000000012</v>
      </c>
      <c r="Q845" s="30">
        <f>IF(OR(Q843&gt;300,Q843&lt;100),100000001,Q844-H837)</f>
        <v>100000001</v>
      </c>
      <c r="R845" s="30">
        <f>IF(OR(R843&gt;300,R843&lt;100),100000001,R844-H837)</f>
        <v>100000001</v>
      </c>
      <c r="S845" s="30">
        <f>IF(OR(S843&gt;300,S843&lt;100),100000001,S844-H837)</f>
        <v>100000001</v>
      </c>
    </row>
    <row r="846" spans="1:19" x14ac:dyDescent="0.2">
      <c r="A846" s="827"/>
      <c r="B846" s="1222" t="s">
        <v>88</v>
      </c>
      <c r="C846" s="827"/>
      <c r="D846" s="827"/>
      <c r="E846" s="827"/>
      <c r="F846" s="827"/>
      <c r="G846" s="827"/>
      <c r="H846" s="997">
        <f>MAX(F843:F845)</f>
        <v>760</v>
      </c>
      <c r="I846" s="1222" t="s">
        <v>78</v>
      </c>
      <c r="J846" s="827"/>
      <c r="K846" s="827"/>
      <c r="M846" s="6" t="s">
        <v>70</v>
      </c>
      <c r="O846" s="30">
        <f>IF(S843&lt;100,25,IF(MIN(O845:S845)=O845,12,IF(MIN(O845:S845)=P845,16,IF(MIN(O845:S845)=Q845,20,IF(MIN(O845:S845)=R845,22,IF(MIN(O845:S845)=S845,25,0))))))</f>
        <v>16</v>
      </c>
      <c r="P846" s="6" t="s">
        <v>71</v>
      </c>
      <c r="Q846" s="30">
        <f>IF(O846=12,O843,IF(O846=16,P843,IF(O846=20,Q843,IF(O846=22,R843,IF(O846=25,S843,0)))))</f>
        <v>200</v>
      </c>
      <c r="R846" s="6" t="s">
        <v>72</v>
      </c>
    </row>
    <row r="847" spans="1:19" x14ac:dyDescent="0.2">
      <c r="A847" s="827"/>
      <c r="B847" s="1222" t="s">
        <v>79</v>
      </c>
      <c r="C847" s="997">
        <v>16</v>
      </c>
      <c r="D847" s="1222" t="s">
        <v>71</v>
      </c>
      <c r="E847" s="997">
        <v>200</v>
      </c>
      <c r="F847" s="1222" t="s">
        <v>80</v>
      </c>
      <c r="G847" s="827"/>
      <c r="H847" s="997">
        <f>785.4*C847^2/E847</f>
        <v>1005.312</v>
      </c>
      <c r="I847" s="1222" t="s">
        <v>81</v>
      </c>
      <c r="J847" s="827"/>
      <c r="K847" s="827"/>
    </row>
    <row r="848" spans="1:19" x14ac:dyDescent="0.2">
      <c r="A848" s="827"/>
      <c r="B848" s="827"/>
      <c r="C848" s="827"/>
      <c r="D848" s="827"/>
      <c r="E848" s="827"/>
      <c r="F848" s="827"/>
      <c r="G848" s="827"/>
      <c r="H848" s="827"/>
      <c r="I848" s="827"/>
      <c r="J848" s="827"/>
      <c r="K848" s="827"/>
    </row>
    <row r="849" spans="1:19" ht="13.5" x14ac:dyDescent="0.25">
      <c r="A849" s="1276" t="s">
        <v>126</v>
      </c>
      <c r="B849" s="827"/>
      <c r="C849" s="827"/>
      <c r="D849" s="827"/>
      <c r="E849" s="827"/>
      <c r="F849" s="827"/>
      <c r="G849" s="827"/>
      <c r="H849" s="827"/>
      <c r="I849" s="827"/>
      <c r="J849" s="827"/>
      <c r="K849" s="827"/>
    </row>
    <row r="850" spans="1:19" x14ac:dyDescent="0.2">
      <c r="A850" s="827"/>
      <c r="B850" s="1222" t="s">
        <v>161</v>
      </c>
      <c r="C850" s="827"/>
      <c r="D850" s="827"/>
      <c r="E850" s="827"/>
      <c r="F850" s="997">
        <f>E824/$H$54/$G$70/(F832-$H$65)*1000000000</f>
        <v>3567.7680465083522</v>
      </c>
      <c r="G850" s="1222" t="s">
        <v>78</v>
      </c>
      <c r="H850" s="827"/>
      <c r="I850" s="827"/>
      <c r="J850" s="827"/>
      <c r="K850" s="827"/>
      <c r="M850" s="6" t="s">
        <v>66</v>
      </c>
      <c r="O850" s="30">
        <v>12</v>
      </c>
      <c r="P850" s="30">
        <v>16</v>
      </c>
      <c r="Q850" s="30">
        <v>20</v>
      </c>
      <c r="R850" s="30">
        <v>22</v>
      </c>
      <c r="S850" s="30">
        <v>25</v>
      </c>
    </row>
    <row r="851" spans="1:19" x14ac:dyDescent="0.2">
      <c r="A851" s="827"/>
      <c r="B851" s="1222" t="s">
        <v>113</v>
      </c>
      <c r="C851" s="827"/>
      <c r="D851" s="827"/>
      <c r="E851" s="827"/>
      <c r="F851" s="997">
        <f>IF(AND(F844&lt;=9,F832&lt;380),$D$157*F832*1000,IF(F844&lt;=9,$D$157*380000,IF(F832&lt;380,$D$158*F832*1000,$D$158*380000)))</f>
        <v>380</v>
      </c>
      <c r="G851" s="1222" t="s">
        <v>78</v>
      </c>
      <c r="H851" s="827"/>
      <c r="I851" s="827"/>
      <c r="J851" s="827"/>
      <c r="K851" s="827"/>
      <c r="M851" s="6" t="s">
        <v>67</v>
      </c>
      <c r="O851" s="30">
        <f>IF(H839=0,100000000,TRUNC(785.4*O850^2/H839/25)*25)</f>
        <v>175</v>
      </c>
      <c r="P851" s="30">
        <f>IF(H839=0,100000000,TRUNC(785.4*P850^2/H839/25)*25)</f>
        <v>350</v>
      </c>
      <c r="Q851" s="30">
        <f>IF(H839=0,100000000,TRUNC(785.4*Q850^2/H839/25)*25)</f>
        <v>550</v>
      </c>
      <c r="R851" s="30">
        <f>IF(H839=0,100000000,TRUNC(785.4*R850^2/H839/25)*25)</f>
        <v>650</v>
      </c>
      <c r="S851" s="30">
        <f>IF(H839=0,100000000,TRUNC(785.4*S850^2/H839/25)*25)</f>
        <v>850</v>
      </c>
    </row>
    <row r="852" spans="1:19" x14ac:dyDescent="0.2">
      <c r="A852" s="827"/>
      <c r="B852" s="1222" t="s">
        <v>88</v>
      </c>
      <c r="C852" s="827"/>
      <c r="D852" s="827"/>
      <c r="E852" s="827"/>
      <c r="F852" s="827"/>
      <c r="G852" s="827"/>
      <c r="H852" s="997">
        <f>MAX(F850:F851)</f>
        <v>3567.7680465083522</v>
      </c>
      <c r="I852" s="1222" t="s">
        <v>89</v>
      </c>
      <c r="J852" s="827"/>
      <c r="K852" s="827"/>
      <c r="M852" s="6" t="s">
        <v>68</v>
      </c>
      <c r="O852" s="30">
        <f>785.4*O850^2/O851</f>
        <v>646.27199999999993</v>
      </c>
      <c r="P852" s="30">
        <f>785.4*P850^2/P851</f>
        <v>574.46399999999994</v>
      </c>
      <c r="Q852" s="30">
        <f>785.4*Q850^2/Q851</f>
        <v>571.20000000000005</v>
      </c>
      <c r="R852" s="30">
        <f>785.4*R850^2/R851</f>
        <v>584.82092307692301</v>
      </c>
      <c r="S852" s="30">
        <f>785.4*S850^2/S851</f>
        <v>577.5</v>
      </c>
    </row>
    <row r="853" spans="1:19" x14ac:dyDescent="0.2">
      <c r="A853" s="827"/>
      <c r="B853" s="1277" t="s">
        <v>79</v>
      </c>
      <c r="C853" s="1031">
        <v>25</v>
      </c>
      <c r="D853" s="1277" t="s">
        <v>71</v>
      </c>
      <c r="E853" s="1031">
        <v>125</v>
      </c>
      <c r="F853" s="1277" t="s">
        <v>2449</v>
      </c>
      <c r="G853" s="851"/>
      <c r="H853" s="1031">
        <f>785.4*C853^2/E853</f>
        <v>3927</v>
      </c>
      <c r="I853" s="1277" t="s">
        <v>81</v>
      </c>
      <c r="J853" s="851"/>
      <c r="K853" s="851"/>
      <c r="M853" s="6" t="s">
        <v>69</v>
      </c>
      <c r="O853" s="30">
        <f>IF(OR(O851&gt;300,O851&lt;100),100000000,O852-H839)</f>
        <v>76.271999999999935</v>
      </c>
      <c r="P853" s="30">
        <f>IF(OR(P851&gt;300,P851&lt;100),100000001,P852-H839)</f>
        <v>100000001</v>
      </c>
      <c r="Q853" s="30">
        <f>IF(OR(Q851&gt;300,Q851&lt;100),100000001,Q852-H839)</f>
        <v>100000001</v>
      </c>
      <c r="R853" s="30">
        <f>IF(OR(R851&gt;300,R851&lt;100),100000001,R852-H839)</f>
        <v>100000001</v>
      </c>
      <c r="S853" s="30">
        <f>IF(OR(S851&gt;300,S851&lt;100),100000001,S852-H839)</f>
        <v>100000001</v>
      </c>
    </row>
    <row r="854" spans="1:19" x14ac:dyDescent="0.2">
      <c r="A854" s="827"/>
      <c r="B854" s="827"/>
      <c r="C854" s="827"/>
      <c r="D854" s="827"/>
      <c r="E854" s="827"/>
      <c r="F854" s="827"/>
      <c r="G854" s="827"/>
      <c r="H854" s="827"/>
      <c r="I854" s="827"/>
      <c r="J854" s="827"/>
      <c r="K854" s="827"/>
      <c r="M854" s="6" t="s">
        <v>70</v>
      </c>
      <c r="O854" s="30">
        <f>IF(S851&lt;100,25,IF(MIN(O853:S853)=O853,12,IF(MIN(O853:S853)=P853,16,IF(MIN(O853:S853)=Q853,20,IF(MIN(O853:S853)=R853,22,IF(MIN(O853:S853)=S853,25,0))))))</f>
        <v>12</v>
      </c>
      <c r="P854" s="6" t="s">
        <v>71</v>
      </c>
      <c r="Q854" s="30">
        <f>IF(O854=12,O851,IF(O854=16,P851,IF(O854=20,Q851,IF(O854=22,R851,IF(O854=25,S851,0)))))</f>
        <v>175</v>
      </c>
      <c r="R854" s="6" t="s">
        <v>72</v>
      </c>
    </row>
    <row r="855" spans="1:19" ht="13.5" x14ac:dyDescent="0.25">
      <c r="A855" s="1276" t="s">
        <v>93</v>
      </c>
      <c r="B855" s="827"/>
      <c r="C855" s="827"/>
      <c r="D855" s="827"/>
      <c r="E855" s="827"/>
      <c r="F855" s="827"/>
      <c r="G855" s="827"/>
      <c r="H855" s="827"/>
      <c r="I855" s="827"/>
      <c r="J855" s="827"/>
      <c r="K855" s="827"/>
    </row>
    <row r="856" spans="1:19" ht="13.5" x14ac:dyDescent="0.25">
      <c r="A856" s="827"/>
      <c r="B856" s="1276" t="s">
        <v>94</v>
      </c>
      <c r="C856" s="827"/>
      <c r="D856" s="827"/>
      <c r="E856" s="827"/>
      <c r="F856" s="827"/>
      <c r="G856" s="827"/>
      <c r="H856" s="827"/>
      <c r="I856" s="827"/>
      <c r="J856" s="827"/>
      <c r="K856" s="827"/>
    </row>
    <row r="857" spans="1:19" x14ac:dyDescent="0.2">
      <c r="A857" s="827"/>
      <c r="B857" s="1222" t="s">
        <v>173</v>
      </c>
      <c r="C857" s="827"/>
      <c r="D857" s="827"/>
      <c r="E857" s="827"/>
      <c r="F857" s="1282">
        <f>E818/2</f>
        <v>195.69801103712609</v>
      </c>
      <c r="G857" s="1222" t="s">
        <v>111</v>
      </c>
      <c r="H857" s="1272">
        <f>F816</f>
        <v>84.179999999999993</v>
      </c>
      <c r="I857" s="1222" t="s">
        <v>174</v>
      </c>
      <c r="J857" s="1272">
        <f>F817/2</f>
        <v>13.051162790697672</v>
      </c>
      <c r="K857" s="1222" t="s">
        <v>129</v>
      </c>
    </row>
    <row r="858" spans="1:19" x14ac:dyDescent="0.2">
      <c r="A858" s="827"/>
      <c r="B858" s="1222" t="s">
        <v>175</v>
      </c>
      <c r="C858" s="827"/>
      <c r="D858" s="827"/>
      <c r="E858" s="827"/>
      <c r="F858" s="827"/>
      <c r="G858" s="827"/>
      <c r="H858" s="1289" t="str">
        <f>IF(F859=J36/2,"There is no solution to the quadratic equation.","")</f>
        <v>There is no solution to the quadratic equation.</v>
      </c>
      <c r="I858" s="827"/>
      <c r="J858" s="827"/>
      <c r="K858" s="827"/>
      <c r="M858" s="6" t="s">
        <v>66</v>
      </c>
      <c r="O858" s="30">
        <v>12</v>
      </c>
      <c r="P858" s="30">
        <v>16</v>
      </c>
      <c r="Q858" s="30">
        <v>20</v>
      </c>
      <c r="R858" s="30">
        <v>22</v>
      </c>
      <c r="S858" s="30">
        <v>25</v>
      </c>
    </row>
    <row r="859" spans="1:19" x14ac:dyDescent="0.2">
      <c r="A859" s="827"/>
      <c r="B859" s="1222" t="s">
        <v>176</v>
      </c>
      <c r="C859" s="827"/>
      <c r="D859" s="827"/>
      <c r="E859" s="827"/>
      <c r="F859" s="1229">
        <f>IF(H857^2-4*J857*F857&lt;0,J36/2,(H857-SQRT(H857^2-4*J857*F857))/2/J857)</f>
        <v>3.2250000000000001</v>
      </c>
      <c r="G859" s="1222" t="s">
        <v>24</v>
      </c>
      <c r="H859" s="1289" t="str">
        <f>IF(F859=J36/2,"No curtailment should be made:   d  =  B'/2","")</f>
        <v>No curtailment should be made:   d  =  B'/2</v>
      </c>
      <c r="I859" s="827"/>
      <c r="J859" s="827"/>
      <c r="K859" s="827"/>
      <c r="M859" s="6" t="s">
        <v>67</v>
      </c>
      <c r="O859" s="30">
        <f>IF(H846=0,100000000,TRUNC(785.4*O858^2/H846/25)*25)</f>
        <v>125</v>
      </c>
      <c r="P859" s="30">
        <f>IF(H846=0,100000000,TRUNC(785.4*P858^2/H846/25)*25)</f>
        <v>250</v>
      </c>
      <c r="Q859" s="30">
        <f>IF(H846=0,100000000,TRUNC(785.4*Q858^2/H846/25)*25)</f>
        <v>400</v>
      </c>
      <c r="R859" s="30">
        <f>IF(H846=0,100000000,TRUNC(785.4*R858^2/H846/25)*25)</f>
        <v>500</v>
      </c>
      <c r="S859" s="30">
        <f>IF(H846=0,100000000,TRUNC(785.4*S858^2/H846/25)*25)</f>
        <v>625</v>
      </c>
    </row>
    <row r="860" spans="1:19" x14ac:dyDescent="0.2">
      <c r="A860" s="827"/>
      <c r="B860" s="827"/>
      <c r="C860" s="827"/>
      <c r="D860" s="827"/>
      <c r="E860" s="827"/>
      <c r="F860" s="827"/>
      <c r="G860" s="827"/>
      <c r="H860" s="827"/>
      <c r="I860" s="827"/>
      <c r="J860" s="827"/>
      <c r="K860" s="827"/>
      <c r="M860" s="6" t="s">
        <v>68</v>
      </c>
      <c r="O860" s="30">
        <f>785.4*O858^2/O859</f>
        <v>904.78079999999989</v>
      </c>
      <c r="P860" s="30">
        <f>785.4*P858^2/P859</f>
        <v>804.24959999999999</v>
      </c>
      <c r="Q860" s="30">
        <f>785.4*Q858^2/Q859</f>
        <v>785.4</v>
      </c>
      <c r="R860" s="30">
        <f>785.4*R858^2/R859</f>
        <v>760.2672</v>
      </c>
      <c r="S860" s="30">
        <f>785.4*S858^2/S859</f>
        <v>785.4</v>
      </c>
    </row>
    <row r="861" spans="1:19" x14ac:dyDescent="0.2">
      <c r="A861" s="827"/>
      <c r="B861" s="1222" t="s">
        <v>177</v>
      </c>
      <c r="C861" s="827"/>
      <c r="D861" s="827"/>
      <c r="E861" s="827"/>
      <c r="F861" s="1229">
        <f>IF(F832-$H$65&gt;12*C853,F859+(-E36/2+F832-$H$65)/1000,F859+(-E36/2+12*C853)/1000)</f>
        <v>3.5249999999999999</v>
      </c>
      <c r="G861" s="1222" t="s">
        <v>24</v>
      </c>
      <c r="H861" s="827"/>
      <c r="I861" s="827"/>
      <c r="J861" s="827"/>
      <c r="K861" s="827"/>
      <c r="M861" s="6" t="s">
        <v>69</v>
      </c>
      <c r="O861" s="30">
        <f>IF(OR(O859&gt;300,O859&lt;100),100000000,O860-H846)</f>
        <v>144.78079999999989</v>
      </c>
      <c r="P861" s="30">
        <f>IF(OR(P859&gt;300,P859&lt;100),100000001,P860-H846)</f>
        <v>44.249599999999987</v>
      </c>
      <c r="Q861" s="30">
        <f>IF(OR(Q859&gt;300,Q859&lt;100),100000001,Q860-H846)</f>
        <v>100000001</v>
      </c>
      <c r="R861" s="30">
        <f>IF(OR(R859&gt;300,R859&lt;100),100000001,R860-H846)</f>
        <v>100000001</v>
      </c>
      <c r="S861" s="30">
        <f>IF(OR(S859&gt;300,S859&lt;100),100000001,S860-H846)</f>
        <v>100000001</v>
      </c>
    </row>
    <row r="862" spans="1:19" x14ac:dyDescent="0.2">
      <c r="A862" s="827"/>
      <c r="B862" s="1222" t="s">
        <v>133</v>
      </c>
      <c r="C862" s="827"/>
      <c r="D862" s="827"/>
      <c r="E862" s="827"/>
      <c r="F862" s="1229">
        <f>H36/2-F861</f>
        <v>-0.625</v>
      </c>
      <c r="G862" s="1272" t="str">
        <f>IF(F862&gt;=1,"m &gt; 1 m    Curtailment should be made."," m &lt; 1 m   Curtailment should not be made: x = B/2")</f>
        <v xml:space="preserve"> m &lt; 1 m   Curtailment should not be made: x = B/2</v>
      </c>
      <c r="H862" s="827"/>
      <c r="I862" s="827"/>
      <c r="J862" s="827"/>
      <c r="K862" s="827"/>
      <c r="M862" s="6" t="s">
        <v>70</v>
      </c>
      <c r="O862" s="30">
        <f>IF(S859&lt;100,25,IF(MIN(O861:S861)=O861,12,IF(MIN(O861:S861)=P861,16,IF(MIN(O861:S861)=Q861,20,IF(MIN(O861:S861)=R861,22,IF(MIN(O861:S861)=S861,25,0))))))</f>
        <v>16</v>
      </c>
      <c r="P862" s="6" t="s">
        <v>71</v>
      </c>
      <c r="Q862" s="30">
        <f>IF(O862=12,O859,IF(O862=16,P859,IF(O862=20,Q859,IF(O862=22,R859,IF(O862=25,S859,0)))))</f>
        <v>250</v>
      </c>
      <c r="R862" s="6" t="s">
        <v>72</v>
      </c>
    </row>
    <row r="863" spans="1:19" x14ac:dyDescent="0.2">
      <c r="A863" s="827"/>
      <c r="B863" s="827"/>
      <c r="C863" s="827"/>
      <c r="D863" s="827"/>
      <c r="E863" s="827"/>
      <c r="F863" s="827"/>
      <c r="G863" s="827"/>
      <c r="H863" s="827"/>
      <c r="I863" s="827"/>
      <c r="J863" s="827"/>
      <c r="K863" s="827"/>
    </row>
    <row r="864" spans="1:19" ht="13.5" x14ac:dyDescent="0.25">
      <c r="A864" s="827"/>
      <c r="B864" s="1276" t="s">
        <v>87</v>
      </c>
      <c r="C864" s="827"/>
      <c r="D864" s="827"/>
      <c r="E864" s="827"/>
      <c r="F864" s="827"/>
      <c r="G864" s="827"/>
      <c r="H864" s="827"/>
      <c r="I864" s="827"/>
      <c r="J864" s="827"/>
      <c r="K864" s="827"/>
    </row>
    <row r="865" spans="1:19" x14ac:dyDescent="0.2">
      <c r="A865" s="827"/>
      <c r="B865" s="1222" t="s">
        <v>161</v>
      </c>
      <c r="C865" s="827"/>
      <c r="D865" s="827"/>
      <c r="E865" s="827"/>
      <c r="F865" s="997">
        <f>F850/2</f>
        <v>1783.8840232541761</v>
      </c>
      <c r="G865" s="1222" t="s">
        <v>78</v>
      </c>
      <c r="H865" s="827"/>
      <c r="I865" s="827"/>
      <c r="J865" s="827"/>
      <c r="K865" s="827"/>
    </row>
    <row r="866" spans="1:19" x14ac:dyDescent="0.2">
      <c r="A866" s="827"/>
      <c r="B866" s="1272" t="str">
        <f>IF(F865&gt;=F851,"Ast(Moment)  &gt;  Ast(Shrinkage)","Ast(Moment)  &lt;  Ast(Shrinkage)")</f>
        <v>Ast(Moment)  &gt;  Ast(Shrinkage)</v>
      </c>
      <c r="C866" s="827"/>
      <c r="D866" s="827"/>
      <c r="E866" s="827"/>
      <c r="F866" s="1278" t="s">
        <v>278</v>
      </c>
      <c r="G866" s="1279"/>
      <c r="H866" s="1280">
        <f>IF(OR(F862&lt;1,F865&lt;F851),J36/2,F861)</f>
        <v>3.2250000000000001</v>
      </c>
      <c r="I866" s="1278" t="s">
        <v>115</v>
      </c>
      <c r="J866" s="827"/>
      <c r="K866" s="827"/>
      <c r="M866" s="6" t="s">
        <v>66</v>
      </c>
      <c r="O866" s="30">
        <v>12</v>
      </c>
      <c r="P866" s="30">
        <v>16</v>
      </c>
      <c r="Q866" s="30">
        <v>20</v>
      </c>
      <c r="R866" s="30">
        <v>22</v>
      </c>
      <c r="S866" s="30">
        <v>25</v>
      </c>
    </row>
    <row r="867" spans="1:19" x14ac:dyDescent="0.2">
      <c r="A867" s="827"/>
      <c r="B867" s="827"/>
      <c r="C867" s="827"/>
      <c r="D867" s="827"/>
      <c r="E867" s="827"/>
      <c r="F867" s="827"/>
      <c r="G867" s="827"/>
      <c r="H867" s="827"/>
      <c r="I867" s="827"/>
      <c r="J867" s="827"/>
      <c r="K867" s="827"/>
      <c r="M867" s="6" t="s">
        <v>67</v>
      </c>
      <c r="O867" s="30">
        <f>IF(H852=0,100000000,TRUNC(785.4*O866^2/H852/25)*25)</f>
        <v>25</v>
      </c>
      <c r="P867" s="30">
        <f>IF(H852=0,100000000,TRUNC(785.4*P866^2/H852/25)*25)</f>
        <v>50</v>
      </c>
      <c r="Q867" s="30">
        <f>IF(H852=0,100000000,TRUNC(785.4*Q866^2/H852/25)*25)</f>
        <v>75</v>
      </c>
      <c r="R867" s="30">
        <f>IF(H852=0,100000000,TRUNC(785.4*R866^2/H852/25)*25)</f>
        <v>100</v>
      </c>
      <c r="S867" s="30">
        <f>IF(H852=0,100000000,TRUNC(785.4*S866^2/H852/25)*25)</f>
        <v>125</v>
      </c>
    </row>
    <row r="868" spans="1:19" ht="13.5" x14ac:dyDescent="0.25">
      <c r="A868" s="827"/>
      <c r="B868" s="1276" t="s">
        <v>116</v>
      </c>
      <c r="C868" s="827"/>
      <c r="D868" s="827"/>
      <c r="E868" s="827"/>
      <c r="F868" s="827"/>
      <c r="G868" s="827"/>
      <c r="H868" s="827"/>
      <c r="I868" s="827"/>
      <c r="J868" s="827"/>
      <c r="K868" s="827"/>
      <c r="M868" s="6" t="s">
        <v>68</v>
      </c>
      <c r="O868" s="30">
        <f>785.4*O866^2/O867</f>
        <v>4523.9039999999995</v>
      </c>
      <c r="P868" s="30">
        <f>785.4*P866^2/P867</f>
        <v>4021.248</v>
      </c>
      <c r="Q868" s="30">
        <f>785.4*Q866^2/Q867</f>
        <v>4188.8</v>
      </c>
      <c r="R868" s="30">
        <f>785.4*R866^2/R867</f>
        <v>3801.3359999999998</v>
      </c>
      <c r="S868" s="30">
        <f>785.4*S866^2/S867</f>
        <v>3927</v>
      </c>
    </row>
    <row r="869" spans="1:19" x14ac:dyDescent="0.2">
      <c r="A869" s="827"/>
      <c r="B869" s="1222" t="s">
        <v>173</v>
      </c>
      <c r="C869" s="827"/>
      <c r="D869" s="827"/>
      <c r="E869" s="827"/>
      <c r="F869" s="1282">
        <f>3*E818/4</f>
        <v>293.54701655568914</v>
      </c>
      <c r="G869" s="1222" t="s">
        <v>111</v>
      </c>
      <c r="H869" s="1229">
        <f>F816</f>
        <v>84.179999999999993</v>
      </c>
      <c r="I869" s="1283" t="s">
        <v>174</v>
      </c>
      <c r="J869" s="1272">
        <f>F817/2</f>
        <v>13.051162790697672</v>
      </c>
      <c r="K869" s="1222" t="s">
        <v>129</v>
      </c>
      <c r="M869" s="6" t="s">
        <v>69</v>
      </c>
      <c r="O869" s="30">
        <f>IF(OR(O867&gt;300,O867&lt;100),100000000,O868-H852)</f>
        <v>100000000</v>
      </c>
      <c r="P869" s="30">
        <f>IF(OR(P867&gt;300,P867&lt;100),100000001,P868-H852)</f>
        <v>100000001</v>
      </c>
      <c r="Q869" s="30">
        <f>IF(OR(Q867&gt;300,Q867&lt;100),100000001,Q868-H852)</f>
        <v>100000001</v>
      </c>
      <c r="R869" s="30">
        <f>IF(OR(R867&gt;300,R867&lt;100),100000001,R868-H852)</f>
        <v>233.56795349164759</v>
      </c>
      <c r="S869" s="30">
        <f>IF(OR(S867&gt;300,S867&lt;100),100000001,S868-H852)</f>
        <v>359.2319534916478</v>
      </c>
    </row>
    <row r="870" spans="1:19" x14ac:dyDescent="0.2">
      <c r="A870" s="827"/>
      <c r="B870" s="1222" t="s">
        <v>175</v>
      </c>
      <c r="C870" s="827"/>
      <c r="D870" s="827"/>
      <c r="E870" s="827"/>
      <c r="F870" s="827"/>
      <c r="G870" s="827"/>
      <c r="H870" s="1289" t="str">
        <f>IF(F871=J36/2,"There is no solution to the quadratic equation.","")</f>
        <v>There is no solution to the quadratic equation.</v>
      </c>
      <c r="I870" s="827"/>
      <c r="J870" s="827"/>
      <c r="K870" s="827"/>
      <c r="M870" s="6" t="s">
        <v>70</v>
      </c>
      <c r="O870" s="30">
        <f>IF(S867&lt;100,25,IF(MIN(O869:S869)=O869,12,IF(MIN(O869:S869)=P869,16,IF(MIN(O869:S869)=Q869,20,IF(MIN(O869:S869)=R869,22,IF(MIN(O869:S869)=S869,25,0))))))</f>
        <v>22</v>
      </c>
      <c r="P870" s="6" t="s">
        <v>71</v>
      </c>
      <c r="Q870" s="30">
        <f>IF(O870=12,O867,IF(O870=16,P867,IF(O870=20,Q867,IF(O870=22,R867,IF(O870=25,S867,0)))))</f>
        <v>100</v>
      </c>
      <c r="R870" s="6" t="s">
        <v>72</v>
      </c>
    </row>
    <row r="871" spans="1:19" x14ac:dyDescent="0.2">
      <c r="A871" s="827"/>
      <c r="B871" s="827"/>
      <c r="C871" s="1222" t="s">
        <v>176</v>
      </c>
      <c r="D871" s="827"/>
      <c r="E871" s="827"/>
      <c r="F871" s="1229">
        <f>IF(H869^2-4*J869*F869&lt;0,J36/2,(H869-SQRT(H869^2-4*J869*F869))/2/J869)</f>
        <v>3.2250000000000001</v>
      </c>
      <c r="G871" s="1222" t="s">
        <v>24</v>
      </c>
      <c r="H871" s="1289" t="str">
        <f>IF(F871=J36/2,"No curtailment should be made:   d  =  B'/2","")</f>
        <v>No curtailment should be made:   d  =  B'/2</v>
      </c>
      <c r="I871" s="827"/>
      <c r="J871" s="827"/>
      <c r="K871" s="827"/>
    </row>
    <row r="872" spans="1:19" x14ac:dyDescent="0.2">
      <c r="A872" s="827"/>
      <c r="B872" s="827"/>
      <c r="C872" s="1222" t="s">
        <v>177</v>
      </c>
      <c r="D872" s="827"/>
      <c r="E872" s="827"/>
      <c r="F872" s="1229">
        <f>IF(F832-$H$65&gt;12*C853,F871+(-E36/2+F832-$H$65)/1000,F871+(-E36/2+12*C853)/1000)</f>
        <v>3.5249999999999999</v>
      </c>
      <c r="G872" s="1222" t="s">
        <v>24</v>
      </c>
      <c r="H872" s="827"/>
      <c r="I872" s="827"/>
      <c r="J872" s="827"/>
      <c r="K872" s="827"/>
    </row>
    <row r="873" spans="1:19" x14ac:dyDescent="0.2">
      <c r="A873" s="827"/>
      <c r="B873" s="827"/>
      <c r="C873" s="1222" t="s">
        <v>133</v>
      </c>
      <c r="D873" s="827"/>
      <c r="E873" s="827"/>
      <c r="F873" s="1229">
        <f>J36/2-F872</f>
        <v>-0.29999999999999982</v>
      </c>
      <c r="G873" s="1272" t="str">
        <f>IF(F873&gt;=1,"m &gt; 1 m  Curtailment should be made."," m &lt; 1 m  Curtailment should not be made: x = B/2")</f>
        <v xml:space="preserve"> m &lt; 1 m  Curtailment should not be made: x = B/2</v>
      </c>
      <c r="H873" s="827"/>
      <c r="I873" s="827"/>
      <c r="J873" s="827"/>
      <c r="K873" s="827"/>
    </row>
    <row r="874" spans="1:19" x14ac:dyDescent="0.2">
      <c r="A874" s="827"/>
      <c r="B874" s="827"/>
      <c r="C874" s="827"/>
      <c r="D874" s="827"/>
      <c r="E874" s="827"/>
      <c r="F874" s="827"/>
      <c r="G874" s="827"/>
      <c r="H874" s="827"/>
      <c r="I874" s="827"/>
      <c r="J874" s="827"/>
      <c r="K874" s="827"/>
    </row>
    <row r="875" spans="1:19" x14ac:dyDescent="0.2">
      <c r="A875" s="827"/>
      <c r="B875" s="1222" t="s">
        <v>87</v>
      </c>
      <c r="C875" s="827"/>
      <c r="D875" s="827"/>
      <c r="E875" s="827"/>
      <c r="F875" s="827"/>
      <c r="G875" s="827"/>
      <c r="H875" s="827"/>
      <c r="I875" s="827"/>
      <c r="J875" s="827"/>
      <c r="K875" s="827"/>
    </row>
    <row r="876" spans="1:19" x14ac:dyDescent="0.2">
      <c r="A876" s="827"/>
      <c r="B876" s="1222" t="s">
        <v>287</v>
      </c>
      <c r="C876" s="827"/>
      <c r="D876" s="827"/>
      <c r="E876" s="827"/>
      <c r="F876" s="997">
        <f>F850/4</f>
        <v>891.94201162708805</v>
      </c>
      <c r="G876" s="1222" t="s">
        <v>78</v>
      </c>
      <c r="H876" s="827"/>
      <c r="I876" s="827"/>
      <c r="J876" s="827"/>
      <c r="K876" s="827"/>
    </row>
    <row r="877" spans="1:19" x14ac:dyDescent="0.2">
      <c r="A877" s="827"/>
      <c r="B877" s="1272" t="str">
        <f>IF(F876&gt;=F851,"Ast(moment) &gt; Ast(shrinkage)","Ast(moment) &lt; Ast(shrinkage)")</f>
        <v>Ast(moment) &gt; Ast(shrinkage)</v>
      </c>
      <c r="C877" s="827"/>
      <c r="D877" s="827"/>
      <c r="E877" s="827"/>
      <c r="F877" s="1278" t="s">
        <v>278</v>
      </c>
      <c r="G877" s="1279"/>
      <c r="H877" s="1280">
        <f>IF(OR(F873&lt;1,F876&lt;F851),J36/2,F872)</f>
        <v>3.2250000000000001</v>
      </c>
      <c r="I877" s="1278" t="s">
        <v>115</v>
      </c>
      <c r="J877" s="827"/>
      <c r="K877" s="827"/>
    </row>
    <row r="878" spans="1:19" x14ac:dyDescent="0.2">
      <c r="A878" s="827"/>
      <c r="B878" s="1272"/>
      <c r="C878" s="827"/>
      <c r="D878" s="827"/>
      <c r="E878" s="827"/>
      <c r="F878" s="1278"/>
      <c r="G878" s="1279"/>
      <c r="H878" s="1280"/>
      <c r="I878" s="1278"/>
      <c r="J878" s="827"/>
      <c r="K878" s="827"/>
    </row>
    <row r="879" spans="1:19" x14ac:dyDescent="0.2">
      <c r="A879" s="827"/>
      <c r="B879" s="1272"/>
      <c r="C879" s="827"/>
      <c r="D879" s="827"/>
      <c r="E879" s="827"/>
      <c r="F879" s="1278"/>
      <c r="G879" s="1279"/>
      <c r="H879" s="1280"/>
      <c r="I879" s="1278"/>
      <c r="J879" s="827"/>
      <c r="K879" s="827"/>
    </row>
    <row r="880" spans="1:19" x14ac:dyDescent="0.2">
      <c r="A880" s="827"/>
      <c r="B880" s="1272"/>
      <c r="C880" s="827"/>
      <c r="D880" s="827"/>
      <c r="E880" s="827"/>
      <c r="F880" s="1278"/>
      <c r="G880" s="1279"/>
      <c r="H880" s="1280"/>
      <c r="I880" s="1278"/>
      <c r="J880" s="827"/>
      <c r="K880" s="827"/>
    </row>
    <row r="881" spans="1:18" x14ac:dyDescent="0.2">
      <c r="A881" s="827"/>
      <c r="B881" s="827"/>
      <c r="C881" s="827"/>
      <c r="D881" s="827"/>
      <c r="E881" s="827"/>
      <c r="F881" s="827"/>
      <c r="G881" s="827"/>
      <c r="H881" s="827"/>
      <c r="I881" s="827"/>
      <c r="J881" s="827"/>
      <c r="K881" s="827"/>
    </row>
    <row r="882" spans="1:18" ht="13.5" thickBot="1" x14ac:dyDescent="0.25">
      <c r="A882" s="827"/>
      <c r="B882" s="827"/>
      <c r="C882" s="827"/>
      <c r="D882" s="827"/>
      <c r="E882" s="827"/>
      <c r="F882" s="827"/>
      <c r="G882" s="827"/>
      <c r="H882" s="827"/>
      <c r="I882" s="827"/>
      <c r="J882" s="827"/>
      <c r="K882" s="827"/>
    </row>
    <row r="883" spans="1:18" x14ac:dyDescent="0.2">
      <c r="A883" s="1302" t="s">
        <v>184</v>
      </c>
      <c r="B883" s="1176"/>
      <c r="C883" s="1176"/>
      <c r="D883" s="1176"/>
      <c r="E883" s="1176"/>
      <c r="F883" s="1176"/>
      <c r="G883" s="1176" t="str">
        <f>D3</f>
        <v>DR-5</v>
      </c>
      <c r="H883" s="1176"/>
      <c r="I883" s="1176"/>
      <c r="J883" s="1176"/>
      <c r="K883" s="1177"/>
    </row>
    <row r="884" spans="1:18" x14ac:dyDescent="0.2">
      <c r="A884" s="1178"/>
      <c r="B884" s="845" t="str">
        <f>A4</f>
        <v>WINGWALL AND APRON (R/S)</v>
      </c>
      <c r="C884" s="845"/>
      <c r="D884" s="845"/>
      <c r="E884" s="845"/>
      <c r="F884" s="845"/>
      <c r="G884" s="845"/>
      <c r="H884" s="1183" t="s">
        <v>1966</v>
      </c>
      <c r="I884" s="845" t="str">
        <f>I4</f>
        <v>1.50m x 1.80m</v>
      </c>
      <c r="J884" s="845"/>
      <c r="K884" s="1179"/>
    </row>
    <row r="885" spans="1:18" x14ac:dyDescent="0.2">
      <c r="A885" s="1178"/>
      <c r="B885" s="845"/>
      <c r="C885" s="845"/>
      <c r="D885" s="845"/>
      <c r="E885" s="845"/>
      <c r="F885" s="845"/>
      <c r="G885" s="845"/>
      <c r="H885" s="845"/>
      <c r="I885" s="845"/>
      <c r="J885" s="845"/>
      <c r="K885" s="1179"/>
    </row>
    <row r="886" spans="1:18" x14ac:dyDescent="0.2">
      <c r="A886" s="1178"/>
      <c r="B886" s="1187" t="s">
        <v>185</v>
      </c>
      <c r="C886" s="845"/>
      <c r="D886" s="845"/>
      <c r="E886" s="845"/>
      <c r="F886" s="845"/>
      <c r="G886" s="845"/>
      <c r="H886" s="845"/>
      <c r="I886" s="845"/>
      <c r="J886" s="845"/>
      <c r="K886" s="1179"/>
    </row>
    <row r="887" spans="1:18" x14ac:dyDescent="0.2">
      <c r="A887" s="1178"/>
      <c r="B887" s="845"/>
      <c r="C887" s="845"/>
      <c r="D887" s="845"/>
      <c r="E887" s="845"/>
      <c r="F887" s="1187"/>
      <c r="G887" s="845"/>
      <c r="H887" s="845"/>
      <c r="I887" s="845"/>
      <c r="J887" s="845"/>
      <c r="K887" s="1303"/>
      <c r="L887" s="40"/>
      <c r="M887" s="40"/>
      <c r="N887" s="67"/>
      <c r="O887" s="40"/>
      <c r="P887" s="40"/>
      <c r="Q887" s="40"/>
      <c r="R887" s="40"/>
    </row>
    <row r="888" spans="1:18" ht="15.75" x14ac:dyDescent="0.25">
      <c r="A888" s="1178"/>
      <c r="B888" s="845"/>
      <c r="C888" s="845"/>
      <c r="D888" s="1187"/>
      <c r="E888" s="845"/>
      <c r="F888" s="1304" t="s">
        <v>123</v>
      </c>
      <c r="G888" s="1304"/>
      <c r="H888" s="1304"/>
      <c r="I888" s="1305"/>
      <c r="J888" s="1305"/>
      <c r="K888" s="1303"/>
      <c r="L888" s="67"/>
      <c r="M888" s="40"/>
      <c r="N888" s="1447"/>
      <c r="O888" s="1447"/>
      <c r="P888" s="1447"/>
      <c r="Q888" s="40"/>
      <c r="R888" s="40"/>
    </row>
    <row r="889" spans="1:18" x14ac:dyDescent="0.2">
      <c r="A889" s="1178"/>
      <c r="B889" s="845"/>
      <c r="C889" s="1187"/>
      <c r="D889" s="1448" t="s">
        <v>303</v>
      </c>
      <c r="E889" s="1448"/>
      <c r="F889" s="845"/>
      <c r="G889" s="1306"/>
      <c r="H889" s="1449" t="s">
        <v>304</v>
      </c>
      <c r="I889" s="1449"/>
      <c r="J889" s="1305"/>
      <c r="K889" s="1303"/>
      <c r="L889" s="1447"/>
      <c r="M889" s="1447"/>
      <c r="N889" s="72"/>
      <c r="O889" s="159"/>
      <c r="P889" s="157"/>
      <c r="Q889" s="157"/>
      <c r="R889" s="72"/>
    </row>
    <row r="890" spans="1:18" x14ac:dyDescent="0.2">
      <c r="A890" s="1178"/>
      <c r="B890" s="1307" t="s">
        <v>186</v>
      </c>
      <c r="C890" s="1212" t="s">
        <v>299</v>
      </c>
      <c r="D890" s="1308" t="s">
        <v>2502</v>
      </c>
      <c r="E890" s="1308" t="s">
        <v>301</v>
      </c>
      <c r="F890" s="1308" t="s">
        <v>302</v>
      </c>
      <c r="G890" s="1212" t="s">
        <v>299</v>
      </c>
      <c r="H890" s="1308" t="s">
        <v>2502</v>
      </c>
      <c r="I890" s="1308" t="s">
        <v>301</v>
      </c>
      <c r="J890" s="1308" t="s">
        <v>302</v>
      </c>
      <c r="K890" s="1309"/>
      <c r="L890" s="71"/>
      <c r="M890" s="72"/>
      <c r="N890" s="72"/>
      <c r="O890" s="159"/>
      <c r="P890" s="71"/>
      <c r="Q890" s="72"/>
      <c r="R890" s="72"/>
    </row>
    <row r="891" spans="1:18" ht="15" x14ac:dyDescent="0.2">
      <c r="A891" s="1178"/>
      <c r="B891" s="1310"/>
      <c r="C891" s="1311" t="s">
        <v>2534</v>
      </c>
      <c r="D891" s="1311" t="s">
        <v>215</v>
      </c>
      <c r="E891" s="1311" t="s">
        <v>215</v>
      </c>
      <c r="F891" s="1311" t="s">
        <v>2534</v>
      </c>
      <c r="G891" s="1311" t="s">
        <v>2534</v>
      </c>
      <c r="H891" s="1311" t="s">
        <v>215</v>
      </c>
      <c r="I891" s="1311" t="s">
        <v>215</v>
      </c>
      <c r="J891" s="1311" t="s">
        <v>2534</v>
      </c>
      <c r="K891" s="1312"/>
      <c r="L891" s="117"/>
      <c r="M891" s="117"/>
      <c r="N891" s="117"/>
      <c r="O891" s="117"/>
      <c r="P891" s="117"/>
      <c r="Q891" s="117"/>
      <c r="R891" s="117"/>
    </row>
    <row r="892" spans="1:18" x14ac:dyDescent="0.2">
      <c r="A892" s="1178"/>
      <c r="B892" s="1307" t="s">
        <v>187</v>
      </c>
      <c r="C892" s="1059"/>
      <c r="D892" s="1059"/>
      <c r="E892" s="1059"/>
      <c r="F892" s="1059"/>
      <c r="G892" s="1059"/>
      <c r="H892" s="1059"/>
      <c r="I892" s="1059"/>
      <c r="J892" s="1059"/>
      <c r="K892" s="1060"/>
      <c r="L892" s="86"/>
      <c r="M892" s="86"/>
      <c r="N892" s="86"/>
      <c r="O892" s="86"/>
      <c r="P892" s="86"/>
      <c r="Q892" s="86"/>
      <c r="R892" s="86"/>
    </row>
    <row r="893" spans="1:18" x14ac:dyDescent="0.2">
      <c r="A893" s="1178"/>
      <c r="B893" s="1307" t="s">
        <v>188</v>
      </c>
      <c r="C893" s="1059">
        <f>H160</f>
        <v>950.00000000000011</v>
      </c>
      <c r="D893" s="1059">
        <f>C161</f>
        <v>16</v>
      </c>
      <c r="E893" s="1059">
        <f>E161</f>
        <v>200</v>
      </c>
      <c r="F893" s="1059">
        <f>H161</f>
        <v>1005.312</v>
      </c>
      <c r="G893" s="1059">
        <f>H162</f>
        <v>570.00000000000011</v>
      </c>
      <c r="H893" s="1059">
        <f>C163</f>
        <v>16</v>
      </c>
      <c r="I893" s="1059">
        <f>E163</f>
        <v>250</v>
      </c>
      <c r="J893" s="1059">
        <f>H163</f>
        <v>804.24959999999999</v>
      </c>
      <c r="K893" s="1060"/>
      <c r="L893" s="86"/>
      <c r="M893" s="86"/>
      <c r="N893" s="86"/>
      <c r="O893" s="86"/>
      <c r="P893" s="86"/>
      <c r="Q893" s="86"/>
      <c r="R893" s="86"/>
    </row>
    <row r="894" spans="1:18" x14ac:dyDescent="0.2">
      <c r="A894" s="1178"/>
      <c r="B894" s="1307" t="s">
        <v>189</v>
      </c>
      <c r="C894" s="1059">
        <f>H386</f>
        <v>950.00000000000011</v>
      </c>
      <c r="D894" s="1059">
        <f>C387</f>
        <v>16</v>
      </c>
      <c r="E894" s="1059">
        <f>E387</f>
        <v>200</v>
      </c>
      <c r="F894" s="1059">
        <f>H387</f>
        <v>1005.312</v>
      </c>
      <c r="G894" s="1059">
        <f>H388</f>
        <v>570.00000000000011</v>
      </c>
      <c r="H894" s="1059">
        <f>C389</f>
        <v>16</v>
      </c>
      <c r="I894" s="1059">
        <f>E389</f>
        <v>250</v>
      </c>
      <c r="J894" s="1059">
        <f>H389</f>
        <v>804.24959999999999</v>
      </c>
      <c r="K894" s="1060"/>
      <c r="L894" s="86"/>
      <c r="M894" s="86"/>
      <c r="N894" s="86"/>
      <c r="O894" s="86"/>
      <c r="P894" s="86"/>
      <c r="Q894" s="86"/>
      <c r="R894" s="86"/>
    </row>
    <row r="895" spans="1:18" x14ac:dyDescent="0.2">
      <c r="A895" s="1178"/>
      <c r="B895" s="1307" t="s">
        <v>190</v>
      </c>
      <c r="C895" s="1059">
        <f>H512</f>
        <v>950</v>
      </c>
      <c r="D895" s="1059">
        <f>C513</f>
        <v>16</v>
      </c>
      <c r="E895" s="1059">
        <f>E513</f>
        <v>200</v>
      </c>
      <c r="F895" s="1059">
        <f>H513</f>
        <v>1005.312</v>
      </c>
      <c r="G895" s="1059">
        <f>H514</f>
        <v>570</v>
      </c>
      <c r="H895" s="1059">
        <f>C515</f>
        <v>16</v>
      </c>
      <c r="I895" s="1059">
        <f>E515</f>
        <v>250</v>
      </c>
      <c r="J895" s="1059">
        <f>H515</f>
        <v>804.24959999999999</v>
      </c>
      <c r="K895" s="1060"/>
      <c r="L895" s="86"/>
      <c r="M895" s="86"/>
      <c r="N895" s="86"/>
      <c r="O895" s="86"/>
      <c r="P895" s="86"/>
      <c r="Q895" s="86"/>
      <c r="R895" s="86"/>
    </row>
    <row r="896" spans="1:18" x14ac:dyDescent="0.2">
      <c r="A896" s="1178"/>
      <c r="B896" s="1307" t="s">
        <v>191</v>
      </c>
      <c r="C896" s="1059">
        <f>H641</f>
        <v>950</v>
      </c>
      <c r="D896" s="1059">
        <f>C642</f>
        <v>16</v>
      </c>
      <c r="E896" s="1059">
        <f>E642</f>
        <v>200</v>
      </c>
      <c r="F896" s="1059">
        <f>H642</f>
        <v>1005.312</v>
      </c>
      <c r="G896" s="1059">
        <f>H643</f>
        <v>570</v>
      </c>
      <c r="H896" s="1059">
        <f>C644</f>
        <v>16</v>
      </c>
      <c r="I896" s="1059">
        <f>E644</f>
        <v>250</v>
      </c>
      <c r="J896" s="1059">
        <f>H644</f>
        <v>804.24959999999999</v>
      </c>
      <c r="K896" s="1060"/>
      <c r="L896" s="86"/>
      <c r="M896" s="86"/>
      <c r="N896" s="86"/>
      <c r="O896" s="86"/>
      <c r="P896" s="86"/>
      <c r="Q896" s="86"/>
      <c r="R896" s="86"/>
    </row>
    <row r="897" spans="1:18" x14ac:dyDescent="0.2">
      <c r="A897" s="1178"/>
      <c r="B897" s="1307" t="s">
        <v>192</v>
      </c>
      <c r="C897" s="1059">
        <f>H768</f>
        <v>950</v>
      </c>
      <c r="D897" s="1059">
        <f>C769</f>
        <v>16</v>
      </c>
      <c r="E897" s="1059">
        <f>E769</f>
        <v>200</v>
      </c>
      <c r="F897" s="1059">
        <f>H769</f>
        <v>1005.312</v>
      </c>
      <c r="G897" s="1059">
        <f>H770</f>
        <v>570</v>
      </c>
      <c r="H897" s="1059">
        <f>C771</f>
        <v>16</v>
      </c>
      <c r="I897" s="1059">
        <f>E771</f>
        <v>250</v>
      </c>
      <c r="J897" s="1059">
        <f>H771</f>
        <v>804.24959999999999</v>
      </c>
      <c r="K897" s="1060"/>
      <c r="L897" s="86"/>
      <c r="M897" s="86"/>
      <c r="N897" s="86"/>
      <c r="O897" s="86"/>
      <c r="P897" s="86"/>
      <c r="Q897" s="86"/>
      <c r="R897" s="86"/>
    </row>
    <row r="898" spans="1:18" x14ac:dyDescent="0.2">
      <c r="A898" s="1178"/>
      <c r="B898" s="1307"/>
      <c r="C898" s="1059"/>
      <c r="D898" s="1059"/>
      <c r="E898" s="1059"/>
      <c r="F898" s="1059"/>
      <c r="G898" s="1059"/>
      <c r="H898" s="1059"/>
      <c r="I898" s="1059"/>
      <c r="J898" s="1059"/>
      <c r="K898" s="1060"/>
      <c r="L898" s="86"/>
      <c r="M898" s="86"/>
      <c r="N898" s="86"/>
      <c r="O898" s="86"/>
      <c r="P898" s="86"/>
      <c r="Q898" s="86"/>
      <c r="R898" s="86"/>
    </row>
    <row r="899" spans="1:18" x14ac:dyDescent="0.2">
      <c r="A899" s="1178"/>
      <c r="B899" s="1307" t="s">
        <v>193</v>
      </c>
      <c r="C899" s="1194"/>
      <c r="D899" s="1194"/>
      <c r="E899" s="1194"/>
      <c r="F899" s="1194"/>
      <c r="G899" s="1194"/>
      <c r="H899" s="1194"/>
      <c r="I899" s="1194"/>
      <c r="J899" s="1194"/>
      <c r="K899" s="1313"/>
      <c r="L899" s="92"/>
      <c r="M899" s="92"/>
      <c r="N899" s="92"/>
      <c r="O899" s="92"/>
      <c r="P899" s="92"/>
      <c r="Q899" s="92"/>
      <c r="R899" s="92"/>
    </row>
    <row r="900" spans="1:18" x14ac:dyDescent="0.2">
      <c r="A900" s="1178"/>
      <c r="B900" s="1307" t="s">
        <v>188</v>
      </c>
      <c r="C900" s="1059">
        <f>H284</f>
        <v>950.00000000000011</v>
      </c>
      <c r="D900" s="1059">
        <f>C285</f>
        <v>16</v>
      </c>
      <c r="E900" s="1059">
        <f>E285</f>
        <v>200</v>
      </c>
      <c r="F900" s="1059">
        <f>H285</f>
        <v>1005.312</v>
      </c>
      <c r="G900" s="1059">
        <f>H286</f>
        <v>570.00000000000011</v>
      </c>
      <c r="H900" s="1059">
        <f>C287</f>
        <v>16</v>
      </c>
      <c r="I900" s="1059">
        <f>E287</f>
        <v>250</v>
      </c>
      <c r="J900" s="1059">
        <f>H287</f>
        <v>804.24959999999999</v>
      </c>
      <c r="K900" s="1060"/>
      <c r="L900" s="86"/>
      <c r="M900" s="86"/>
      <c r="N900" s="86"/>
      <c r="O900" s="86"/>
      <c r="P900" s="86"/>
      <c r="Q900" s="86"/>
      <c r="R900" s="86"/>
    </row>
    <row r="901" spans="1:18" x14ac:dyDescent="0.2">
      <c r="A901" s="1178"/>
      <c r="B901" s="1307" t="s">
        <v>189</v>
      </c>
      <c r="C901" s="1059">
        <f>H453</f>
        <v>950</v>
      </c>
      <c r="D901" s="1059">
        <f>C454</f>
        <v>16</v>
      </c>
      <c r="E901" s="1059">
        <f>E454</f>
        <v>200</v>
      </c>
      <c r="F901" s="1059">
        <f>H454</f>
        <v>1005.312</v>
      </c>
      <c r="G901" s="1059">
        <f>H455</f>
        <v>570</v>
      </c>
      <c r="H901" s="1059">
        <f>C456</f>
        <v>16</v>
      </c>
      <c r="I901" s="1059">
        <f>E456</f>
        <v>250</v>
      </c>
      <c r="J901" s="1059">
        <f>H456</f>
        <v>804.24959999999999</v>
      </c>
      <c r="K901" s="1060"/>
      <c r="L901" s="86"/>
      <c r="M901" s="86"/>
      <c r="N901" s="86"/>
      <c r="O901" s="86"/>
      <c r="P901" s="86"/>
      <c r="Q901" s="86"/>
      <c r="R901" s="86"/>
    </row>
    <row r="902" spans="1:18" x14ac:dyDescent="0.2">
      <c r="A902" s="1178"/>
      <c r="B902" s="1307" t="s">
        <v>190</v>
      </c>
      <c r="C902" s="1059">
        <f>H581</f>
        <v>950</v>
      </c>
      <c r="D902" s="1059">
        <f>C582</f>
        <v>16</v>
      </c>
      <c r="E902" s="1059">
        <f>E582</f>
        <v>200</v>
      </c>
      <c r="F902" s="1059">
        <f>H582</f>
        <v>1005.312</v>
      </c>
      <c r="G902" s="1059">
        <f>H583</f>
        <v>570</v>
      </c>
      <c r="H902" s="1059">
        <f>C584</f>
        <v>16</v>
      </c>
      <c r="I902" s="1059">
        <f>E584</f>
        <v>250</v>
      </c>
      <c r="J902" s="1059">
        <f>H584</f>
        <v>804.24959999999999</v>
      </c>
      <c r="K902" s="1060"/>
      <c r="L902" s="86"/>
      <c r="M902" s="86"/>
      <c r="N902" s="86"/>
      <c r="O902" s="86"/>
      <c r="P902" s="86"/>
      <c r="Q902" s="86"/>
      <c r="R902" s="86"/>
    </row>
    <row r="903" spans="1:18" x14ac:dyDescent="0.2">
      <c r="A903" s="1178"/>
      <c r="B903" s="1307" t="s">
        <v>191</v>
      </c>
      <c r="C903" s="1059">
        <f>H708</f>
        <v>950</v>
      </c>
      <c r="D903" s="1059">
        <f>+C709</f>
        <v>16</v>
      </c>
      <c r="E903" s="1059">
        <f>E709</f>
        <v>200</v>
      </c>
      <c r="F903" s="1059">
        <f>H709</f>
        <v>1005.312</v>
      </c>
      <c r="G903" s="1059">
        <f>H710</f>
        <v>570</v>
      </c>
      <c r="H903" s="1059">
        <f>C711</f>
        <v>16</v>
      </c>
      <c r="I903" s="1059">
        <f>E711</f>
        <v>250</v>
      </c>
      <c r="J903" s="1059">
        <f>H711</f>
        <v>804.24959999999999</v>
      </c>
      <c r="K903" s="1060"/>
      <c r="L903" s="86"/>
      <c r="M903" s="86"/>
      <c r="N903" s="86"/>
      <c r="O903" s="86"/>
      <c r="P903" s="86"/>
      <c r="Q903" s="86"/>
      <c r="R903" s="86"/>
    </row>
    <row r="904" spans="1:18" x14ac:dyDescent="0.2">
      <c r="A904" s="1178"/>
      <c r="B904" s="1307" t="s">
        <v>192</v>
      </c>
      <c r="C904" s="1059">
        <f>H837</f>
        <v>950</v>
      </c>
      <c r="D904" s="1059">
        <f>C838</f>
        <v>16</v>
      </c>
      <c r="E904" s="1059">
        <f>E838</f>
        <v>200</v>
      </c>
      <c r="F904" s="1059">
        <f>H838</f>
        <v>1005.312</v>
      </c>
      <c r="G904" s="1059">
        <f>H839</f>
        <v>570</v>
      </c>
      <c r="H904" s="1059">
        <f>C840</f>
        <v>16</v>
      </c>
      <c r="I904" s="1059">
        <f>E840</f>
        <v>250</v>
      </c>
      <c r="J904" s="1059">
        <f>H840</f>
        <v>804.24959999999999</v>
      </c>
      <c r="K904" s="1060"/>
      <c r="L904" s="86"/>
      <c r="M904" s="86"/>
      <c r="N904" s="86"/>
      <c r="O904" s="86"/>
      <c r="P904" s="86"/>
      <c r="Q904" s="86"/>
      <c r="R904" s="86"/>
    </row>
    <row r="905" spans="1:18" x14ac:dyDescent="0.2">
      <c r="A905" s="1178"/>
      <c r="B905" s="1187"/>
      <c r="C905" s="920"/>
      <c r="D905" s="920"/>
      <c r="E905" s="920"/>
      <c r="F905" s="920"/>
      <c r="G905" s="920"/>
      <c r="H905" s="920"/>
      <c r="I905" s="920"/>
      <c r="J905" s="920"/>
      <c r="K905" s="1049"/>
      <c r="L905" s="86"/>
      <c r="M905" s="86"/>
      <c r="N905" s="86"/>
      <c r="O905" s="86"/>
      <c r="P905" s="86"/>
      <c r="Q905" s="86"/>
      <c r="R905" s="86"/>
    </row>
    <row r="906" spans="1:18" x14ac:dyDescent="0.2">
      <c r="A906" s="1178"/>
      <c r="B906" s="1244"/>
      <c r="C906" s="1244"/>
      <c r="D906" s="1244"/>
      <c r="E906" s="1244"/>
      <c r="F906" s="1244"/>
      <c r="G906" s="1244"/>
      <c r="H906" s="1244"/>
      <c r="I906" s="1244"/>
      <c r="J906" s="1244"/>
      <c r="K906" s="1314"/>
      <c r="L906" s="28"/>
      <c r="M906" s="28"/>
      <c r="N906" s="28"/>
      <c r="O906" s="28"/>
      <c r="P906" s="28"/>
      <c r="Q906" s="28"/>
      <c r="R906" s="28"/>
    </row>
    <row r="907" spans="1:18" ht="15.75" x14ac:dyDescent="0.25">
      <c r="A907" s="1178"/>
      <c r="B907" s="845"/>
      <c r="C907" s="1244"/>
      <c r="D907" s="1244"/>
      <c r="E907" s="1463" t="s">
        <v>399</v>
      </c>
      <c r="F907" s="1463"/>
      <c r="G907" s="1463"/>
      <c r="H907" s="1463"/>
      <c r="I907" s="1244"/>
      <c r="J907" s="1244"/>
      <c r="K907" s="1314"/>
      <c r="L907" s="28"/>
      <c r="M907" s="28"/>
      <c r="N907" s="28"/>
      <c r="O907" s="28"/>
      <c r="P907" s="28"/>
      <c r="Q907" s="28"/>
      <c r="R907" s="28"/>
    </row>
    <row r="908" spans="1:18" x14ac:dyDescent="0.2">
      <c r="A908" s="1178"/>
      <c r="B908" s="1194"/>
      <c r="C908" s="1462" t="s">
        <v>400</v>
      </c>
      <c r="D908" s="1462"/>
      <c r="E908" s="1462"/>
      <c r="F908" s="1462"/>
      <c r="G908" s="1462" t="s">
        <v>401</v>
      </c>
      <c r="H908" s="1462"/>
      <c r="I908" s="1462"/>
      <c r="J908" s="1462"/>
      <c r="K908" s="1315"/>
      <c r="L908" s="28"/>
      <c r="M908" s="28"/>
      <c r="N908" s="28"/>
      <c r="O908" s="28"/>
      <c r="P908" s="28"/>
      <c r="Q908" s="28"/>
      <c r="R908" s="28"/>
    </row>
    <row r="909" spans="1:18" x14ac:dyDescent="0.2">
      <c r="A909" s="1178"/>
      <c r="B909" s="1194"/>
      <c r="C909" s="1212" t="s">
        <v>299</v>
      </c>
      <c r="D909" s="1308" t="s">
        <v>2502</v>
      </c>
      <c r="E909" s="1308" t="s">
        <v>301</v>
      </c>
      <c r="F909" s="1308" t="s">
        <v>302</v>
      </c>
      <c r="G909" s="1212" t="s">
        <v>299</v>
      </c>
      <c r="H909" s="1308" t="s">
        <v>2502</v>
      </c>
      <c r="I909" s="1308" t="s">
        <v>301</v>
      </c>
      <c r="J909" s="1308" t="s">
        <v>302</v>
      </c>
      <c r="K909" s="1315"/>
      <c r="L909" s="28"/>
      <c r="M909" s="28"/>
      <c r="N909" s="28"/>
      <c r="O909" s="28"/>
      <c r="P909" s="28"/>
      <c r="Q909" s="28"/>
      <c r="R909" s="28"/>
    </row>
    <row r="910" spans="1:18" ht="15" x14ac:dyDescent="0.2">
      <c r="A910" s="1178"/>
      <c r="B910" s="1194"/>
      <c r="C910" s="1316" t="s">
        <v>2534</v>
      </c>
      <c r="D910" s="1316" t="s">
        <v>215</v>
      </c>
      <c r="E910" s="1316" t="s">
        <v>215</v>
      </c>
      <c r="F910" s="1316" t="s">
        <v>2534</v>
      </c>
      <c r="G910" s="1316" t="s">
        <v>2534</v>
      </c>
      <c r="H910" s="1316" t="s">
        <v>215</v>
      </c>
      <c r="I910" s="1316" t="s">
        <v>215</v>
      </c>
      <c r="J910" s="1316" t="s">
        <v>2534</v>
      </c>
      <c r="K910" s="1315"/>
      <c r="L910" s="28"/>
      <c r="M910" s="670"/>
      <c r="N910" s="28"/>
      <c r="O910" s="28"/>
      <c r="P910" s="28"/>
      <c r="Q910" s="28"/>
      <c r="R910" s="28"/>
    </row>
    <row r="911" spans="1:18" x14ac:dyDescent="0.2">
      <c r="A911" s="1178"/>
      <c r="B911" s="1194" t="s">
        <v>402</v>
      </c>
      <c r="C911" s="1317"/>
      <c r="D911" s="1318"/>
      <c r="E911" s="1318"/>
      <c r="F911" s="1318"/>
      <c r="G911" s="1318"/>
      <c r="H911" s="1318"/>
      <c r="I911" s="1318"/>
      <c r="J911" s="1310"/>
      <c r="K911" s="1315"/>
      <c r="L911" s="28"/>
      <c r="M911" s="28"/>
      <c r="N911" s="28"/>
      <c r="O911" s="28"/>
      <c r="P911" s="28"/>
      <c r="Q911" s="28"/>
      <c r="R911" s="28"/>
    </row>
    <row r="912" spans="1:18" x14ac:dyDescent="0.2">
      <c r="A912" s="1178"/>
      <c r="B912" s="1308" t="s">
        <v>283</v>
      </c>
      <c r="C912" s="1059">
        <f>$H$168</f>
        <v>760</v>
      </c>
      <c r="D912" s="1059">
        <f>$C$169</f>
        <v>16</v>
      </c>
      <c r="E912" s="1059">
        <f>$E$169</f>
        <v>200</v>
      </c>
      <c r="F912" s="1059">
        <f>$H$169</f>
        <v>1005.312</v>
      </c>
      <c r="G912" s="1059">
        <f>$H$179</f>
        <v>3578.8938046504209</v>
      </c>
      <c r="H912" s="1059">
        <f>$C$180</f>
        <v>25</v>
      </c>
      <c r="I912" s="1059">
        <f>$E$180</f>
        <v>125</v>
      </c>
      <c r="J912" s="1059">
        <f>$H$180</f>
        <v>3927</v>
      </c>
      <c r="K912" s="1315"/>
      <c r="L912" s="28"/>
      <c r="M912" s="28"/>
      <c r="N912" s="28"/>
      <c r="O912" s="28"/>
      <c r="P912" s="28"/>
      <c r="Q912" s="28"/>
      <c r="R912" s="28"/>
    </row>
    <row r="913" spans="1:18" x14ac:dyDescent="0.2">
      <c r="A913" s="1178"/>
      <c r="B913" s="1308" t="s">
        <v>284</v>
      </c>
      <c r="C913" s="1059">
        <f>$H$393</f>
        <v>760</v>
      </c>
      <c r="D913" s="1059">
        <f>$C$394</f>
        <v>16</v>
      </c>
      <c r="E913" s="1059">
        <f>$E$394</f>
        <v>200</v>
      </c>
      <c r="F913" s="1059">
        <f>$H$394</f>
        <v>1005.312</v>
      </c>
      <c r="G913" s="1059">
        <f>$H$399</f>
        <v>3149.9132610808501</v>
      </c>
      <c r="H913" s="1059">
        <f>$C$400</f>
        <v>25</v>
      </c>
      <c r="I913" s="1059">
        <f>$E$400</f>
        <v>125</v>
      </c>
      <c r="J913" s="1059">
        <f>$H$400</f>
        <v>3927</v>
      </c>
      <c r="K913" s="1315"/>
      <c r="L913" s="28"/>
      <c r="M913" s="28"/>
      <c r="N913" s="28"/>
      <c r="O913" s="28"/>
      <c r="P913" s="28"/>
      <c r="Q913" s="28"/>
      <c r="R913" s="28"/>
    </row>
    <row r="914" spans="1:18" x14ac:dyDescent="0.2">
      <c r="A914" s="1178"/>
      <c r="B914" s="1308" t="s">
        <v>285</v>
      </c>
      <c r="C914" s="1059">
        <f>$H$519</f>
        <v>760</v>
      </c>
      <c r="D914" s="1059">
        <f>$C$520</f>
        <v>16</v>
      </c>
      <c r="E914" s="1059">
        <f>$E$520</f>
        <v>200</v>
      </c>
      <c r="F914" s="1059">
        <f>$H$520</f>
        <v>1005.312</v>
      </c>
      <c r="G914" s="1059">
        <f>$H$525</f>
        <v>3231.0051551714264</v>
      </c>
      <c r="H914" s="1059">
        <f>$C$526</f>
        <v>25</v>
      </c>
      <c r="I914" s="1059">
        <f>$E$526</f>
        <v>125</v>
      </c>
      <c r="J914" s="1059">
        <f>$H$526</f>
        <v>3927</v>
      </c>
      <c r="K914" s="1315"/>
      <c r="L914" s="28"/>
      <c r="M914" s="28"/>
      <c r="N914" s="28"/>
      <c r="O914" s="28"/>
      <c r="P914" s="28"/>
      <c r="Q914" s="28"/>
      <c r="R914" s="28"/>
    </row>
    <row r="915" spans="1:18" x14ac:dyDescent="0.2">
      <c r="A915" s="1178"/>
      <c r="B915" s="1308" t="s">
        <v>286</v>
      </c>
      <c r="C915" s="1059">
        <f>$H$648</f>
        <v>760</v>
      </c>
      <c r="D915" s="1059">
        <f>$C$649</f>
        <v>16</v>
      </c>
      <c r="E915" s="1059">
        <f>$E$649</f>
        <v>200</v>
      </c>
      <c r="F915" s="1059">
        <f>$H$649</f>
        <v>1005.312</v>
      </c>
      <c r="G915" s="1059">
        <f>$H$654</f>
        <v>3316.3826654649743</v>
      </c>
      <c r="H915" s="1059">
        <f>$C$655</f>
        <v>25</v>
      </c>
      <c r="I915" s="1059">
        <f>$E$655</f>
        <v>125</v>
      </c>
      <c r="J915" s="1059">
        <f>$H$655</f>
        <v>3927</v>
      </c>
      <c r="K915" s="1315"/>
      <c r="L915" s="28"/>
      <c r="M915" s="28"/>
      <c r="N915" s="28"/>
      <c r="O915" s="28"/>
      <c r="P915" s="28"/>
      <c r="Q915" s="28"/>
      <c r="R915" s="28"/>
    </row>
    <row r="916" spans="1:18" x14ac:dyDescent="0.2">
      <c r="A916" s="1178"/>
      <c r="B916" s="1308" t="s">
        <v>295</v>
      </c>
      <c r="C916" s="1059">
        <f>$H$775</f>
        <v>760</v>
      </c>
      <c r="D916" s="1059">
        <f>$C$776</f>
        <v>16</v>
      </c>
      <c r="E916" s="1059">
        <f>$E$776</f>
        <v>200</v>
      </c>
      <c r="F916" s="1059">
        <f>$H$776</f>
        <v>1005.312</v>
      </c>
      <c r="G916" s="1059">
        <f>$H$781</f>
        <v>3423.8187620444023</v>
      </c>
      <c r="H916" s="1059">
        <f>$C$782</f>
        <v>25</v>
      </c>
      <c r="I916" s="1059">
        <f>$E$782</f>
        <v>125</v>
      </c>
      <c r="J916" s="1059">
        <f>$H$782</f>
        <v>3927</v>
      </c>
      <c r="K916" s="1315"/>
      <c r="L916" s="28"/>
      <c r="M916" s="28"/>
      <c r="N916" s="28"/>
      <c r="O916" s="28"/>
      <c r="P916" s="28"/>
      <c r="Q916" s="28"/>
      <c r="R916" s="28"/>
    </row>
    <row r="917" spans="1:18" x14ac:dyDescent="0.2">
      <c r="A917" s="1178"/>
      <c r="B917" s="1308"/>
      <c r="C917" s="1059"/>
      <c r="D917" s="1059"/>
      <c r="E917" s="1059"/>
      <c r="F917" s="1059"/>
      <c r="G917" s="1059"/>
      <c r="H917" s="1059"/>
      <c r="I917" s="1059"/>
      <c r="J917" s="1059"/>
      <c r="K917" s="1315"/>
      <c r="L917" s="28"/>
      <c r="M917" s="28"/>
      <c r="N917" s="28"/>
      <c r="O917" s="28"/>
      <c r="P917" s="28"/>
      <c r="Q917" s="28"/>
      <c r="R917" s="28"/>
    </row>
    <row r="918" spans="1:18" x14ac:dyDescent="0.2">
      <c r="A918" s="1178"/>
      <c r="B918" s="1319" t="s">
        <v>403</v>
      </c>
      <c r="C918" s="1318"/>
      <c r="D918" s="1318"/>
      <c r="E918" s="1318"/>
      <c r="F918" s="1318"/>
      <c r="G918" s="1318"/>
      <c r="H918" s="1318"/>
      <c r="I918" s="1318"/>
      <c r="J918" s="1310"/>
      <c r="K918" s="1315"/>
      <c r="L918" s="28"/>
      <c r="M918" s="28"/>
      <c r="N918" s="28"/>
      <c r="O918" s="28"/>
      <c r="P918" s="28"/>
      <c r="Q918" s="28"/>
      <c r="R918" s="28"/>
    </row>
    <row r="919" spans="1:18" x14ac:dyDescent="0.2">
      <c r="A919" s="1178"/>
      <c r="B919" s="1308" t="s">
        <v>283</v>
      </c>
      <c r="C919" s="1059">
        <f>$H$300</f>
        <v>760</v>
      </c>
      <c r="D919" s="1059">
        <f>$C$301</f>
        <v>16</v>
      </c>
      <c r="E919" s="1059">
        <f>$E$301</f>
        <v>250</v>
      </c>
      <c r="F919" s="1059">
        <f>$H$301</f>
        <v>804.24959999999999</v>
      </c>
      <c r="G919" s="1059">
        <f>$H$310</f>
        <v>3777.0648802701367</v>
      </c>
      <c r="H919" s="1059">
        <f>$C$311</f>
        <v>25</v>
      </c>
      <c r="I919" s="1059">
        <f>$E$311</f>
        <v>125</v>
      </c>
      <c r="J919" s="1059">
        <f>$H$311</f>
        <v>3927</v>
      </c>
      <c r="K919" s="1315"/>
      <c r="L919" s="28"/>
      <c r="M919" s="670"/>
      <c r="N919" s="28"/>
      <c r="O919" s="28"/>
      <c r="P919" s="28"/>
      <c r="Q919" s="28"/>
      <c r="R919" s="28"/>
    </row>
    <row r="920" spans="1:18" x14ac:dyDescent="0.2">
      <c r="A920" s="1178"/>
      <c r="B920" s="1308" t="s">
        <v>284</v>
      </c>
      <c r="C920" s="1059">
        <f>$H$462</f>
        <v>760</v>
      </c>
      <c r="D920" s="1059">
        <f>$C$463</f>
        <v>16</v>
      </c>
      <c r="E920" s="1059">
        <f>$E$463</f>
        <v>200</v>
      </c>
      <c r="F920" s="1059">
        <f>$H$463</f>
        <v>1005.312</v>
      </c>
      <c r="G920" s="1059">
        <f>$H$467</f>
        <v>3330.1118845227079</v>
      </c>
      <c r="H920" s="1059">
        <f>$C$468</f>
        <v>25</v>
      </c>
      <c r="I920" s="1059">
        <f>$E$468</f>
        <v>125</v>
      </c>
      <c r="J920" s="1059">
        <f>$H$468</f>
        <v>3927</v>
      </c>
      <c r="K920" s="1315"/>
      <c r="L920" s="28"/>
      <c r="M920" s="670"/>
      <c r="N920" s="28"/>
      <c r="O920" s="28"/>
      <c r="P920" s="28"/>
      <c r="Q920" s="28"/>
      <c r="R920" s="28"/>
    </row>
    <row r="921" spans="1:18" x14ac:dyDescent="0.2">
      <c r="A921" s="1178"/>
      <c r="B921" s="1308" t="s">
        <v>285</v>
      </c>
      <c r="C921" s="1059">
        <f>$H$590</f>
        <v>760</v>
      </c>
      <c r="D921" s="1059">
        <f>$C$591</f>
        <v>16</v>
      </c>
      <c r="E921" s="1059">
        <f>$E$591</f>
        <v>200</v>
      </c>
      <c r="F921" s="1059">
        <f>$H$591</f>
        <v>1005.312</v>
      </c>
      <c r="G921" s="1059">
        <f>$H$596</f>
        <v>3399.4190809383995</v>
      </c>
      <c r="H921" s="1059">
        <f>$C$597</f>
        <v>25</v>
      </c>
      <c r="I921" s="1059">
        <f>$E$597</f>
        <v>125</v>
      </c>
      <c r="J921" s="1059">
        <f>$H$597</f>
        <v>3927</v>
      </c>
      <c r="K921" s="1315"/>
      <c r="L921" s="28"/>
      <c r="M921" s="28"/>
      <c r="N921" s="28"/>
      <c r="O921" s="28"/>
      <c r="P921" s="28"/>
      <c r="Q921" s="28"/>
      <c r="R921" s="28"/>
    </row>
    <row r="922" spans="1:18" x14ac:dyDescent="0.2">
      <c r="A922" s="1178"/>
      <c r="B922" s="1308" t="s">
        <v>286</v>
      </c>
      <c r="C922" s="1059">
        <f>$H$717</f>
        <v>760</v>
      </c>
      <c r="D922" s="1059">
        <f>$C$718</f>
        <v>16</v>
      </c>
      <c r="E922" s="1059">
        <f>$E$718</f>
        <v>200</v>
      </c>
      <c r="F922" s="1059">
        <f>$H$718</f>
        <v>1005.312</v>
      </c>
      <c r="G922" s="1059">
        <f>$H$723</f>
        <v>3473.701252923528</v>
      </c>
      <c r="H922" s="1059">
        <f>$C$724</f>
        <v>25</v>
      </c>
      <c r="I922" s="1059">
        <f>$E$724</f>
        <v>125</v>
      </c>
      <c r="J922" s="1059">
        <f>$H$724</f>
        <v>3927</v>
      </c>
      <c r="K922" s="1320"/>
      <c r="L922" s="28"/>
      <c r="M922" s="28"/>
      <c r="N922" s="28"/>
      <c r="O922" s="28"/>
      <c r="P922" s="28"/>
      <c r="Q922" s="28"/>
      <c r="R922" s="28"/>
    </row>
    <row r="923" spans="1:18" x14ac:dyDescent="0.2">
      <c r="A923" s="1178"/>
      <c r="B923" s="1308" t="s">
        <v>295</v>
      </c>
      <c r="C923" s="1059">
        <f>$H$846</f>
        <v>760</v>
      </c>
      <c r="D923" s="1059">
        <f>$C$847</f>
        <v>16</v>
      </c>
      <c r="E923" s="1059">
        <f>$E$847</f>
        <v>200</v>
      </c>
      <c r="F923" s="1059">
        <f>$H$847</f>
        <v>1005.312</v>
      </c>
      <c r="G923" s="1059">
        <f>$H$852</f>
        <v>3567.7680465083522</v>
      </c>
      <c r="H923" s="1059">
        <f>$C$853</f>
        <v>25</v>
      </c>
      <c r="I923" s="1059">
        <f>$E$853</f>
        <v>125</v>
      </c>
      <c r="J923" s="1059">
        <f>$H$853</f>
        <v>3927</v>
      </c>
      <c r="K923" s="1315"/>
      <c r="L923" s="28"/>
      <c r="M923" s="28"/>
      <c r="N923" s="28"/>
      <c r="O923" s="28"/>
      <c r="P923" s="28"/>
      <c r="Q923" s="28"/>
      <c r="R923" s="28"/>
    </row>
    <row r="924" spans="1:18" ht="13.5" thickBot="1" x14ac:dyDescent="0.25">
      <c r="A924" s="1218"/>
      <c r="B924" s="1321"/>
      <c r="C924" s="1322"/>
      <c r="D924" s="1322"/>
      <c r="E924" s="1322"/>
      <c r="F924" s="1322"/>
      <c r="G924" s="1322"/>
      <c r="H924" s="1322"/>
      <c r="I924" s="1322"/>
      <c r="J924" s="1322"/>
      <c r="K924" s="1267" t="s">
        <v>2399</v>
      </c>
    </row>
    <row r="925" spans="1:18" ht="13.5" thickBot="1" x14ac:dyDescent="0.25">
      <c r="A925" s="1187"/>
      <c r="B925" s="923"/>
      <c r="C925" s="923"/>
      <c r="D925" s="923"/>
      <c r="E925" s="923"/>
      <c r="F925" s="923"/>
      <c r="G925" s="923"/>
      <c r="H925" s="923"/>
      <c r="I925" s="923"/>
      <c r="J925" s="923"/>
      <c r="K925" s="923"/>
      <c r="L925" s="89"/>
      <c r="M925" s="89"/>
      <c r="N925" s="89"/>
      <c r="O925" s="89"/>
    </row>
    <row r="926" spans="1:18" x14ac:dyDescent="0.2">
      <c r="A926" s="1175"/>
      <c r="B926" s="1323" t="s">
        <v>194</v>
      </c>
      <c r="C926" s="1176"/>
      <c r="D926" s="1176"/>
      <c r="E926" s="1176"/>
      <c r="F926" s="1176"/>
      <c r="G926" s="1176"/>
      <c r="H926" s="1176"/>
      <c r="I926" s="1176"/>
      <c r="J926" s="1176"/>
      <c r="K926" s="1177"/>
    </row>
    <row r="927" spans="1:18" x14ac:dyDescent="0.2">
      <c r="A927" s="1178"/>
      <c r="B927" s="1187"/>
      <c r="C927" s="845"/>
      <c r="D927" s="845"/>
      <c r="E927" s="845"/>
      <c r="F927" s="845"/>
      <c r="G927" s="845"/>
      <c r="H927" s="845"/>
      <c r="I927" s="845"/>
      <c r="J927" s="845"/>
      <c r="K927" s="1179"/>
    </row>
    <row r="928" spans="1:18" x14ac:dyDescent="0.2">
      <c r="A928" s="1178"/>
      <c r="B928" s="1307"/>
      <c r="C928" s="1461" t="s">
        <v>316</v>
      </c>
      <c r="D928" s="1461"/>
      <c r="E928" s="1324"/>
      <c r="F928" s="1194"/>
      <c r="G928" s="1461" t="s">
        <v>317</v>
      </c>
      <c r="H928" s="1461"/>
      <c r="I928" s="1324"/>
      <c r="J928" s="1194"/>
      <c r="K928" s="1179"/>
      <c r="L928" s="1450"/>
      <c r="M928" s="1450"/>
      <c r="N928" s="92"/>
      <c r="O928" s="92"/>
    </row>
    <row r="929" spans="1:15" x14ac:dyDescent="0.2">
      <c r="A929" s="1178"/>
      <c r="B929" s="1307" t="s">
        <v>196</v>
      </c>
      <c r="C929" s="1194" t="s">
        <v>314</v>
      </c>
      <c r="D929" s="1194" t="s">
        <v>312</v>
      </c>
      <c r="E929" s="1194"/>
      <c r="F929" s="1194"/>
      <c r="G929" s="1325" t="s">
        <v>313</v>
      </c>
      <c r="H929" s="1325" t="s">
        <v>315</v>
      </c>
      <c r="I929" s="1325"/>
      <c r="J929" s="1194"/>
      <c r="K929" s="1179"/>
      <c r="L929" s="157"/>
      <c r="M929" s="92"/>
      <c r="N929" s="92"/>
      <c r="O929" s="92"/>
    </row>
    <row r="930" spans="1:15" ht="15" x14ac:dyDescent="0.2">
      <c r="A930" s="1178"/>
      <c r="B930" s="1311"/>
      <c r="C930" s="1311" t="s">
        <v>308</v>
      </c>
      <c r="D930" s="1311" t="s">
        <v>309</v>
      </c>
      <c r="E930" s="1311" t="s">
        <v>306</v>
      </c>
      <c r="F930" s="1311"/>
      <c r="G930" s="1311" t="s">
        <v>2535</v>
      </c>
      <c r="H930" s="1311" t="s">
        <v>2535</v>
      </c>
      <c r="I930" s="1311" t="s">
        <v>307</v>
      </c>
      <c r="J930" s="1311"/>
      <c r="K930" s="1326"/>
      <c r="L930" s="117"/>
      <c r="M930" s="117"/>
      <c r="N930" s="117"/>
      <c r="O930" s="92"/>
    </row>
    <row r="931" spans="1:15" x14ac:dyDescent="0.2">
      <c r="A931" s="1178"/>
      <c r="B931" s="1187" t="s">
        <v>187</v>
      </c>
      <c r="C931" s="845"/>
      <c r="D931" s="845"/>
      <c r="E931" s="845"/>
      <c r="F931" s="1187"/>
      <c r="G931" s="845"/>
      <c r="H931" s="845"/>
      <c r="I931" s="845"/>
      <c r="J931" s="1187"/>
      <c r="K931" s="1179"/>
      <c r="L931" s="92"/>
      <c r="M931" s="92"/>
      <c r="N931" s="92"/>
      <c r="O931" s="92"/>
    </row>
    <row r="932" spans="1:15" x14ac:dyDescent="0.2">
      <c r="A932" s="1178"/>
      <c r="B932" s="1307" t="s">
        <v>188</v>
      </c>
      <c r="C932" s="1059">
        <f>F148</f>
        <v>620.21250356090854</v>
      </c>
      <c r="D932" s="1059">
        <f>F149</f>
        <v>700</v>
      </c>
      <c r="E932" s="1327" t="str">
        <f>IF(D932&gt;=C932,IF(D932&gt;1.5*C932," &gt;50% Exc","    OK"),"  Not OK")</f>
        <v xml:space="preserve">    OK</v>
      </c>
      <c r="F932" s="1328"/>
      <c r="G932" s="1059">
        <f>F186</f>
        <v>672.79752674931865</v>
      </c>
      <c r="H932" s="1059">
        <f>H189</f>
        <v>530.58113298401599</v>
      </c>
      <c r="I932" s="1329" t="str">
        <f>IF(G932&gt;=H932,"    OK","  Not OK")</f>
        <v xml:space="preserve">    OK</v>
      </c>
      <c r="J932" s="1307"/>
      <c r="K932" s="1330"/>
      <c r="L932" s="123"/>
      <c r="M932" s="20"/>
      <c r="N932" s="123"/>
      <c r="O932" s="20"/>
    </row>
    <row r="933" spans="1:15" x14ac:dyDescent="0.2">
      <c r="A933" s="1178"/>
      <c r="B933" s="1307" t="s">
        <v>189</v>
      </c>
      <c r="C933" s="1059">
        <f>F380</f>
        <v>586.49418245561333</v>
      </c>
      <c r="D933" s="1059">
        <f>F381</f>
        <v>700</v>
      </c>
      <c r="E933" s="1327" t="str">
        <f>IF(D933&gt;=C933,IF(D933&gt;1.5*C933," &gt;50% Exc","    OK"),"  Not OK")</f>
        <v xml:space="preserve">    OK</v>
      </c>
      <c r="F933" s="1328"/>
      <c r="G933" s="1059">
        <f>J402</f>
        <v>672.79752674931865</v>
      </c>
      <c r="H933" s="1059">
        <f>D403</f>
        <v>487.28718636900078</v>
      </c>
      <c r="I933" s="1329" t="str">
        <f>IF(G933&gt;=H933,"    OK","  Not OK")</f>
        <v xml:space="preserve">    OK</v>
      </c>
      <c r="J933" s="1307"/>
      <c r="K933" s="1330"/>
      <c r="L933" s="123"/>
      <c r="M933" s="20"/>
      <c r="N933" s="123"/>
      <c r="O933" s="20"/>
    </row>
    <row r="934" spans="1:15" x14ac:dyDescent="0.2">
      <c r="A934" s="1178"/>
      <c r="B934" s="1307" t="s">
        <v>190</v>
      </c>
      <c r="C934" s="1059">
        <f>F506</f>
        <v>586.49418245561333</v>
      </c>
      <c r="D934" s="1059">
        <f>F507</f>
        <v>684.31372549019613</v>
      </c>
      <c r="E934" s="1327" t="str">
        <f>IF(D934&gt;=C934,IF(D934&gt;1.5*C934," &gt;50% Exc","    OK"),"  Not OK")</f>
        <v xml:space="preserve">    OK</v>
      </c>
      <c r="F934" s="1328"/>
      <c r="G934" s="1059">
        <f>J529</f>
        <v>672.79752674931865</v>
      </c>
      <c r="H934" s="1059">
        <f>D530</f>
        <v>499.83198923610291</v>
      </c>
      <c r="I934" s="1329" t="str">
        <f>IF(G934&gt;=H934,"    OK","  Not OK")</f>
        <v xml:space="preserve">    OK</v>
      </c>
      <c r="J934" s="1307"/>
      <c r="K934" s="1330"/>
      <c r="L934" s="123"/>
      <c r="M934" s="20"/>
      <c r="N934" s="123"/>
      <c r="O934" s="20"/>
    </row>
    <row r="935" spans="1:15" x14ac:dyDescent="0.2">
      <c r="A935" s="1178"/>
      <c r="B935" s="1307" t="s">
        <v>191</v>
      </c>
      <c r="C935" s="1059">
        <f>F635</f>
        <v>586.49418245561333</v>
      </c>
      <c r="D935" s="1059">
        <f>F636</f>
        <v>668.62745098039215</v>
      </c>
      <c r="E935" s="1327" t="str">
        <f>IF(D935&gt;=C935,IF(D935&gt;1.5*C935," &gt;50% Exc","    OK"),"  Not OK")</f>
        <v xml:space="preserve">    OK</v>
      </c>
      <c r="F935" s="1328"/>
      <c r="G935" s="1059">
        <f>J658</f>
        <v>672.79752674931865</v>
      </c>
      <c r="H935" s="1059">
        <f>D659</f>
        <v>513.03977095002142</v>
      </c>
      <c r="I935" s="1329" t="str">
        <f>IF(G935&gt;=H935,"    OK","  Not OK")</f>
        <v xml:space="preserve">    OK</v>
      </c>
      <c r="J935" s="1307"/>
      <c r="K935" s="1330"/>
      <c r="L935" s="123"/>
      <c r="M935" s="20"/>
      <c r="N935" s="123"/>
      <c r="O935" s="20"/>
    </row>
    <row r="936" spans="1:15" x14ac:dyDescent="0.2">
      <c r="A936" s="1178"/>
      <c r="B936" s="1307" t="s">
        <v>192</v>
      </c>
      <c r="C936" s="1059">
        <f>F762</f>
        <v>586.49418245561333</v>
      </c>
      <c r="D936" s="1059">
        <f>F763</f>
        <v>650</v>
      </c>
      <c r="E936" s="1327" t="str">
        <f>IF(D936&gt;=C936,IF(D936&gt;1.5*C936," &gt;50% Exc","    OK"),"  Not OK")</f>
        <v xml:space="preserve">    OK</v>
      </c>
      <c r="F936" s="1328"/>
      <c r="G936" s="1059">
        <f>J785</f>
        <v>672.79752674931865</v>
      </c>
      <c r="H936" s="1059">
        <f>D786</f>
        <v>529.65998518369645</v>
      </c>
      <c r="I936" s="1329" t="str">
        <f>IF(G936&gt;=H936,"    OK","  Not OK")</f>
        <v xml:space="preserve">    OK</v>
      </c>
      <c r="J936" s="1307"/>
      <c r="K936" s="1330"/>
      <c r="L936" s="123"/>
      <c r="M936" s="20"/>
      <c r="N936" s="123"/>
      <c r="O936" s="20"/>
    </row>
    <row r="937" spans="1:15" x14ac:dyDescent="0.2">
      <c r="A937" s="1178"/>
      <c r="B937" s="1194"/>
      <c r="C937" s="1194"/>
      <c r="D937" s="1194"/>
      <c r="E937" s="1331"/>
      <c r="F937" s="1328"/>
      <c r="G937" s="1194"/>
      <c r="H937" s="1194"/>
      <c r="I937" s="1194"/>
      <c r="J937" s="1307"/>
      <c r="K937" s="1179"/>
      <c r="L937" s="92"/>
      <c r="M937" s="92"/>
      <c r="N937" s="124"/>
      <c r="O937" s="92"/>
    </row>
    <row r="938" spans="1:15" x14ac:dyDescent="0.2">
      <c r="A938" s="1178"/>
      <c r="B938" s="1187" t="s">
        <v>193</v>
      </c>
      <c r="C938" s="845"/>
      <c r="D938" s="845"/>
      <c r="E938" s="1332"/>
      <c r="F938" s="1333"/>
      <c r="G938" s="845"/>
      <c r="H938" s="845"/>
      <c r="I938" s="845"/>
      <c r="J938" s="1187"/>
      <c r="K938" s="1179"/>
      <c r="L938" s="92"/>
      <c r="M938" s="92"/>
      <c r="N938" s="92"/>
      <c r="O938" s="92"/>
    </row>
    <row r="939" spans="1:15" x14ac:dyDescent="0.2">
      <c r="A939" s="1178"/>
      <c r="B939" s="1307" t="s">
        <v>188</v>
      </c>
      <c r="C939" s="1059">
        <f>F277</f>
        <v>657.07708353880741</v>
      </c>
      <c r="D939" s="1059">
        <f>F278</f>
        <v>750</v>
      </c>
      <c r="E939" s="1327" t="str">
        <f>IF(D939&gt;=C939,IF(D939&gt;1.5*C939," &gt;50% Exc","    OK"),"  Not OK")</f>
        <v xml:space="preserve">    OK</v>
      </c>
      <c r="F939" s="1328"/>
      <c r="G939" s="1307" t="s">
        <v>195</v>
      </c>
      <c r="H939" s="1194"/>
      <c r="I939" s="1194"/>
      <c r="J939" s="1307"/>
      <c r="K939" s="1330"/>
      <c r="L939" s="123"/>
      <c r="M939" s="20"/>
      <c r="N939" s="123"/>
      <c r="O939" s="20"/>
    </row>
    <row r="940" spans="1:15" x14ac:dyDescent="0.2">
      <c r="A940" s="1178"/>
      <c r="B940" s="1307" t="s">
        <v>189</v>
      </c>
      <c r="C940" s="1059">
        <f>F447</f>
        <v>621.55351471145264</v>
      </c>
      <c r="D940" s="1059">
        <f>F448</f>
        <v>750</v>
      </c>
      <c r="E940" s="1327" t="str">
        <f>IF(D940&gt;=C940,IF(D940&gt;1.5*C940," &gt;50% Exc","    OK"),"  Not OK")</f>
        <v xml:space="preserve">    OK</v>
      </c>
      <c r="F940" s="1328"/>
      <c r="G940" s="1307" t="s">
        <v>195</v>
      </c>
      <c r="H940" s="1194"/>
      <c r="I940" s="1194"/>
      <c r="J940" s="1307"/>
      <c r="K940" s="1330"/>
      <c r="L940" s="123"/>
      <c r="M940" s="20"/>
      <c r="N940" s="123"/>
      <c r="O940" s="20"/>
    </row>
    <row r="941" spans="1:15" x14ac:dyDescent="0.2">
      <c r="A941" s="1178"/>
      <c r="B941" s="1307" t="s">
        <v>190</v>
      </c>
      <c r="C941" s="1059">
        <f>F575</f>
        <v>620.75761583712597</v>
      </c>
      <c r="D941" s="1059">
        <f>F576</f>
        <v>734.31372549019613</v>
      </c>
      <c r="E941" s="1327" t="str">
        <f>IF(D941&gt;=C941,IF(D941&gt;1.5*C941," &gt;50% Exc","    OK"),"  Not OK")</f>
        <v xml:space="preserve">    OK</v>
      </c>
      <c r="F941" s="1328"/>
      <c r="G941" s="1307" t="s">
        <v>195</v>
      </c>
      <c r="H941" s="1194"/>
      <c r="I941" s="1194"/>
      <c r="J941" s="1307"/>
      <c r="K941" s="1330"/>
      <c r="L941" s="123"/>
      <c r="M941" s="20"/>
      <c r="N941" s="123"/>
      <c r="O941" s="20"/>
    </row>
    <row r="942" spans="1:15" x14ac:dyDescent="0.2">
      <c r="A942" s="1178"/>
      <c r="B942" s="1307" t="s">
        <v>191</v>
      </c>
      <c r="C942" s="1059">
        <f>F702</f>
        <v>620.08584527941184</v>
      </c>
      <c r="D942" s="1059">
        <f>F703</f>
        <v>718.62745098039215</v>
      </c>
      <c r="E942" s="1327" t="str">
        <f>IF(D942&gt;=C942,IF(D942&gt;1.5*C942," &gt;50% Exc","    OK"),"  Not OK")</f>
        <v xml:space="preserve">    OK</v>
      </c>
      <c r="F942" s="1328"/>
      <c r="G942" s="1307" t="s">
        <v>195</v>
      </c>
      <c r="H942" s="1194"/>
      <c r="I942" s="1194"/>
      <c r="J942" s="1307"/>
      <c r="K942" s="1330"/>
      <c r="L942" s="123"/>
      <c r="M942" s="20"/>
      <c r="N942" s="123"/>
      <c r="O942" s="20"/>
    </row>
    <row r="943" spans="1:15" x14ac:dyDescent="0.2">
      <c r="A943" s="1178"/>
      <c r="B943" s="1307" t="s">
        <v>192</v>
      </c>
      <c r="C943" s="1059">
        <f>F831</f>
        <v>619.36438897392975</v>
      </c>
      <c r="D943" s="1059">
        <f>F832</f>
        <v>700</v>
      </c>
      <c r="E943" s="1327" t="str">
        <f>IF(D943&gt;=C943,IF(D943&gt;1.5*C943," &gt;50% Exc","    OK"),"  Not OK")</f>
        <v xml:space="preserve">    OK</v>
      </c>
      <c r="F943" s="1328"/>
      <c r="G943" s="1307" t="s">
        <v>195</v>
      </c>
      <c r="H943" s="1194"/>
      <c r="I943" s="1194"/>
      <c r="J943" s="1307"/>
      <c r="K943" s="1330"/>
      <c r="L943" s="123"/>
      <c r="M943" s="20"/>
      <c r="N943" s="123"/>
      <c r="O943" s="20"/>
    </row>
    <row r="944" spans="1:15" x14ac:dyDescent="0.2">
      <c r="A944" s="1178"/>
      <c r="B944" s="1187"/>
      <c r="C944" s="920"/>
      <c r="D944" s="920"/>
      <c r="E944" s="1216"/>
      <c r="F944" s="1187"/>
      <c r="G944" s="1187"/>
      <c r="H944" s="845"/>
      <c r="I944" s="845"/>
      <c r="J944" s="1187"/>
      <c r="K944" s="1330"/>
      <c r="L944" s="123"/>
      <c r="M944" s="20"/>
      <c r="N944" s="123"/>
      <c r="O944" s="20"/>
    </row>
    <row r="945" spans="1:15" x14ac:dyDescent="0.2">
      <c r="A945" s="1178"/>
      <c r="B945" s="1187"/>
      <c r="C945" s="845" t="str">
        <f>B884</f>
        <v>WINGWALL AND APRON (R/S)</v>
      </c>
      <c r="D945" s="920"/>
      <c r="E945" s="1216"/>
      <c r="F945" s="1187"/>
      <c r="G945" s="1187"/>
      <c r="H945" s="845"/>
      <c r="I945" s="845"/>
      <c r="J945" s="1187"/>
      <c r="K945" s="1330"/>
      <c r="L945" s="123"/>
      <c r="M945" s="20"/>
      <c r="N945" s="123"/>
      <c r="O945" s="20"/>
    </row>
    <row r="946" spans="1:15" x14ac:dyDescent="0.2">
      <c r="A946" s="1178"/>
      <c r="B946" s="1187"/>
      <c r="C946" s="920"/>
      <c r="D946" s="920"/>
      <c r="E946" s="1216"/>
      <c r="F946" s="1187"/>
      <c r="G946" s="1187"/>
      <c r="H946" s="845"/>
      <c r="I946" s="845"/>
      <c r="J946" s="1187"/>
      <c r="K946" s="1330"/>
      <c r="L946" s="123"/>
      <c r="M946" s="20"/>
      <c r="N946" s="123"/>
      <c r="O946" s="20"/>
    </row>
    <row r="947" spans="1:15" x14ac:dyDescent="0.2">
      <c r="A947" s="1178"/>
      <c r="B947" s="845"/>
      <c r="C947" s="1187"/>
      <c r="D947" s="1451" t="s">
        <v>318</v>
      </c>
      <c r="E947" s="1451"/>
      <c r="F947" s="1451"/>
      <c r="G947" s="1451"/>
      <c r="H947" s="1187"/>
      <c r="I947" s="845"/>
      <c r="J947" s="1187"/>
      <c r="K947" s="1330"/>
      <c r="L947" s="123"/>
      <c r="M947" s="20"/>
      <c r="N947" s="123"/>
      <c r="O947" s="20"/>
    </row>
    <row r="948" spans="1:15" x14ac:dyDescent="0.2">
      <c r="A948" s="1178"/>
      <c r="B948" s="1194"/>
      <c r="C948" s="1307" t="s">
        <v>404</v>
      </c>
      <c r="D948" s="1059"/>
      <c r="E948" s="1334" t="s">
        <v>405</v>
      </c>
      <c r="F948" s="1334"/>
      <c r="G948" s="1335" t="s">
        <v>406</v>
      </c>
      <c r="H948" s="1335"/>
      <c r="I948" s="1194"/>
      <c r="J948" s="1307"/>
      <c r="K948" s="1330"/>
      <c r="L948" s="123"/>
      <c r="M948" s="20"/>
      <c r="N948" s="123"/>
      <c r="O948" s="20"/>
    </row>
    <row r="949" spans="1:15" x14ac:dyDescent="0.2">
      <c r="A949" s="1178"/>
      <c r="B949" s="1194"/>
      <c r="C949" s="1307"/>
      <c r="D949" s="1059" t="s">
        <v>214</v>
      </c>
      <c r="E949" s="1059" t="s">
        <v>407</v>
      </c>
      <c r="F949" s="1329" t="s">
        <v>310</v>
      </c>
      <c r="G949" s="1307" t="s">
        <v>407</v>
      </c>
      <c r="H949" s="1307" t="s">
        <v>310</v>
      </c>
      <c r="I949" s="1194"/>
      <c r="J949" s="1307"/>
      <c r="K949" s="1330"/>
      <c r="L949" s="123"/>
      <c r="M949" s="20"/>
      <c r="N949" s="123"/>
      <c r="O949" s="20"/>
    </row>
    <row r="950" spans="1:15" x14ac:dyDescent="0.2">
      <c r="A950" s="1178"/>
      <c r="B950" s="1187" t="s">
        <v>410</v>
      </c>
      <c r="C950" s="920"/>
      <c r="D950" s="920"/>
      <c r="E950" s="1216"/>
      <c r="F950" s="1187"/>
      <c r="G950" s="1187"/>
      <c r="H950" s="845"/>
      <c r="I950" s="845"/>
      <c r="J950" s="1187"/>
      <c r="K950" s="1330"/>
      <c r="L950" s="123"/>
      <c r="M950" s="20"/>
      <c r="N950" s="123"/>
      <c r="O950" s="20"/>
    </row>
    <row r="951" spans="1:15" x14ac:dyDescent="0.2">
      <c r="A951" s="1178"/>
      <c r="B951" s="1307" t="s">
        <v>188</v>
      </c>
      <c r="C951" s="1059"/>
      <c r="D951" s="1208">
        <f>$F$32</f>
        <v>6</v>
      </c>
      <c r="E951" s="1208">
        <f>$I$218</f>
        <v>1.8704400000000003</v>
      </c>
      <c r="F951" s="1329" t="str">
        <f>IF(D951=E951,"  No","  Yes")</f>
        <v xml:space="preserve">  Yes</v>
      </c>
      <c r="G951" s="1208">
        <f>$H$243</f>
        <v>2.9456399999999996</v>
      </c>
      <c r="H951" s="1329" t="str">
        <f>IF(D951=G951,"   No","   Yes")</f>
        <v xml:space="preserve">   Yes</v>
      </c>
      <c r="I951" s="1194"/>
      <c r="J951" s="1307"/>
      <c r="K951" s="1330"/>
      <c r="L951" s="123"/>
      <c r="M951" s="20"/>
      <c r="N951" s="123"/>
      <c r="O951" s="20"/>
    </row>
    <row r="952" spans="1:15" x14ac:dyDescent="0.2">
      <c r="A952" s="1178"/>
      <c r="B952" s="1307" t="s">
        <v>189</v>
      </c>
      <c r="C952" s="1059"/>
      <c r="D952" s="1208">
        <f>$F$33</f>
        <v>5.75</v>
      </c>
      <c r="E952" s="1208">
        <f>$H$416</f>
        <v>0.99307999999999907</v>
      </c>
      <c r="F952" s="1329" t="str">
        <f>IF(D952=E952,"  No","  Yes")</f>
        <v xml:space="preserve">  Yes</v>
      </c>
      <c r="G952" s="1208">
        <f>$H$427</f>
        <v>2.2428400000000002</v>
      </c>
      <c r="H952" s="1329" t="str">
        <f>IF(D952=G952,"   No","   Yes")</f>
        <v xml:space="preserve">   Yes</v>
      </c>
      <c r="I952" s="1194"/>
      <c r="J952" s="1307"/>
      <c r="K952" s="1330"/>
      <c r="L952" s="123"/>
      <c r="M952" s="20"/>
      <c r="N952" s="123"/>
      <c r="O952" s="20"/>
    </row>
    <row r="953" spans="1:15" x14ac:dyDescent="0.2">
      <c r="A953" s="1178"/>
      <c r="B953" s="1307" t="s">
        <v>190</v>
      </c>
      <c r="C953" s="1059"/>
      <c r="D953" s="1208">
        <f>$F$34</f>
        <v>5.75</v>
      </c>
      <c r="E953" s="1208">
        <f>$H$542</f>
        <v>1.6223552941176465</v>
      </c>
      <c r="F953" s="1329" t="str">
        <f>IF(D953=E953,"  No","  Yes")</f>
        <v xml:space="preserve">  Yes</v>
      </c>
      <c r="G953" s="1208">
        <f>$H$555</f>
        <v>2.6954925490196082</v>
      </c>
      <c r="H953" s="1329" t="str">
        <f>IF(D953=G953,"   No","   Yes")</f>
        <v xml:space="preserve">   Yes</v>
      </c>
      <c r="I953" s="1194"/>
      <c r="J953" s="1307"/>
      <c r="K953" s="1330"/>
      <c r="L953" s="123"/>
      <c r="M953" s="20"/>
      <c r="N953" s="123"/>
      <c r="O953" s="20"/>
    </row>
    <row r="954" spans="1:15" x14ac:dyDescent="0.2">
      <c r="A954" s="1178"/>
      <c r="B954" s="1307" t="s">
        <v>191</v>
      </c>
      <c r="C954" s="1059"/>
      <c r="D954" s="1208">
        <f>$F$35</f>
        <v>5.75</v>
      </c>
      <c r="E954" s="1208">
        <f>$H$671</f>
        <v>1.6526815686274507</v>
      </c>
      <c r="F954" s="1329" t="str">
        <f>IF(D954=E954,"  No","  Yes")</f>
        <v xml:space="preserve">  Yes</v>
      </c>
      <c r="G954" s="1208">
        <f>$H$682</f>
        <v>2.7117356862745101</v>
      </c>
      <c r="H954" s="1329" t="str">
        <f>IF(D954=G954,"   No","   Yes")</f>
        <v xml:space="preserve">   Yes</v>
      </c>
      <c r="I954" s="1194"/>
      <c r="J954" s="1307"/>
      <c r="K954" s="1330"/>
      <c r="L954" s="123"/>
      <c r="M954" s="20"/>
      <c r="N954" s="123"/>
      <c r="O954" s="20"/>
    </row>
    <row r="955" spans="1:15" x14ac:dyDescent="0.2">
      <c r="A955" s="1178"/>
      <c r="B955" s="1307" t="s">
        <v>192</v>
      </c>
      <c r="C955" s="1059"/>
      <c r="D955" s="1208">
        <f>$F$36</f>
        <v>5.75</v>
      </c>
      <c r="E955" s="1208">
        <f>$H$798</f>
        <v>1.6895599999999997</v>
      </c>
      <c r="F955" s="1329" t="str">
        <f>IF(D955=E955,"  No","  Yes")</f>
        <v xml:space="preserve">  Yes</v>
      </c>
      <c r="G955" s="1208">
        <f>$H$809</f>
        <v>2.7350000000000003</v>
      </c>
      <c r="H955" s="1329" t="str">
        <f>IF(D955=G955,"   No","   Yes")</f>
        <v xml:space="preserve">   Yes</v>
      </c>
      <c r="I955" s="1194"/>
      <c r="J955" s="1307"/>
      <c r="K955" s="1330"/>
      <c r="L955" s="123"/>
      <c r="M955" s="20"/>
      <c r="N955" s="123"/>
      <c r="O955" s="20"/>
    </row>
    <row r="956" spans="1:15" x14ac:dyDescent="0.2">
      <c r="A956" s="1178"/>
      <c r="B956" s="845"/>
      <c r="C956" s="920"/>
      <c r="D956" s="920"/>
      <c r="E956" s="1216"/>
      <c r="F956" s="1187"/>
      <c r="G956" s="1187"/>
      <c r="H956" s="845"/>
      <c r="I956" s="845"/>
      <c r="J956" s="1187"/>
      <c r="K956" s="1330"/>
      <c r="L956" s="123"/>
      <c r="M956" s="20"/>
      <c r="N956" s="123"/>
      <c r="O956" s="20"/>
    </row>
    <row r="957" spans="1:15" x14ac:dyDescent="0.2">
      <c r="A957" s="1178"/>
      <c r="B957" s="1187" t="s">
        <v>193</v>
      </c>
      <c r="C957" s="920"/>
      <c r="D957" s="920"/>
      <c r="E957" s="1216"/>
      <c r="F957" s="1187"/>
      <c r="G957" s="1187"/>
      <c r="H957" s="845"/>
      <c r="I957" s="845"/>
      <c r="J957" s="1187"/>
      <c r="K957" s="1330"/>
      <c r="L957" s="123"/>
      <c r="M957" s="20"/>
      <c r="N957" s="123"/>
      <c r="O957" s="20"/>
    </row>
    <row r="958" spans="1:15" x14ac:dyDescent="0.2">
      <c r="A958" s="1178"/>
      <c r="B958" s="1307" t="s">
        <v>188</v>
      </c>
      <c r="C958" s="1059"/>
      <c r="D958" s="1208">
        <f>$H$32/2</f>
        <v>0.9</v>
      </c>
      <c r="E958" s="1208">
        <f>$H$342</f>
        <v>0.9</v>
      </c>
      <c r="F958" s="1329" t="str">
        <f>IF(D958=E958,"   No","   Yes")</f>
        <v xml:space="preserve">   No</v>
      </c>
      <c r="G958" s="1208">
        <f>$H$368</f>
        <v>0.9</v>
      </c>
      <c r="H958" s="1329" t="str">
        <f>IF(D958=G958,"   No","   Yes")</f>
        <v xml:space="preserve">   No</v>
      </c>
      <c r="I958" s="1194"/>
      <c r="J958" s="1307"/>
      <c r="K958" s="1330"/>
      <c r="L958" s="123"/>
      <c r="M958" s="20"/>
      <c r="N958" s="123"/>
      <c r="O958" s="20"/>
    </row>
    <row r="959" spans="1:15" x14ac:dyDescent="0.2">
      <c r="A959" s="1178"/>
      <c r="B959" s="1307" t="s">
        <v>189</v>
      </c>
      <c r="C959" s="1310"/>
      <c r="D959" s="1208">
        <f>$H$33/2</f>
        <v>1.325925925925926</v>
      </c>
      <c r="E959" s="1208">
        <f>$H$481</f>
        <v>1.325925925925926</v>
      </c>
      <c r="F959" s="1329" t="str">
        <f>IF(D959=E959,"   No","   Yes")</f>
        <v xml:space="preserve">   No</v>
      </c>
      <c r="G959" s="1208">
        <f>$H$492</f>
        <v>1.325925925925926</v>
      </c>
      <c r="H959" s="1329" t="str">
        <f>IF(D959=G959,"   No","   Yes")</f>
        <v xml:space="preserve">   No</v>
      </c>
      <c r="I959" s="1310"/>
      <c r="J959" s="1310"/>
      <c r="K959" s="1314"/>
      <c r="L959" s="28"/>
      <c r="M959" s="28"/>
      <c r="N959" s="28"/>
      <c r="O959" s="28"/>
    </row>
    <row r="960" spans="1:15" x14ac:dyDescent="0.2">
      <c r="A960" s="1180"/>
      <c r="B960" s="1307" t="s">
        <v>190</v>
      </c>
      <c r="C960" s="1194"/>
      <c r="D960" s="1208">
        <f>$H$34/2</f>
        <v>1.8197530864197531</v>
      </c>
      <c r="E960" s="1208">
        <f>$H$609</f>
        <v>1.8197530864197531</v>
      </c>
      <c r="F960" s="1329" t="str">
        <f>IF(D960=E960,"   No","   Yes")</f>
        <v xml:space="preserve">   No</v>
      </c>
      <c r="G960" s="1208">
        <f>$H$621</f>
        <v>1.8197530864197531</v>
      </c>
      <c r="H960" s="1329" t="str">
        <f>IF(D960=G960,"   No","   Yes")</f>
        <v xml:space="preserve">   No</v>
      </c>
      <c r="I960" s="1194"/>
      <c r="J960" s="1194"/>
      <c r="K960" s="1179"/>
    </row>
    <row r="961" spans="1:19" x14ac:dyDescent="0.2">
      <c r="A961" s="1178"/>
      <c r="B961" s="1307" t="s">
        <v>191</v>
      </c>
      <c r="C961" s="1194"/>
      <c r="D961" s="1208">
        <f>$H$35/2</f>
        <v>2.3135802469135802</v>
      </c>
      <c r="E961" s="1208">
        <f>$H$736</f>
        <v>2.6478939724037764</v>
      </c>
      <c r="F961" s="1329" t="str">
        <f>IF(D961=E961,"   No","   Yes")</f>
        <v xml:space="preserve">   Yes</v>
      </c>
      <c r="G961" s="1208">
        <f>$H$747</f>
        <v>2.6478939724037764</v>
      </c>
      <c r="H961" s="1329" t="str">
        <f>IF(D961=G961,"   No","   Yes")</f>
        <v xml:space="preserve">   Yes</v>
      </c>
      <c r="I961" s="1194"/>
      <c r="J961" s="1194"/>
      <c r="K961" s="1179"/>
    </row>
    <row r="962" spans="1:19" x14ac:dyDescent="0.2">
      <c r="A962" s="1178"/>
      <c r="B962" s="1307" t="s">
        <v>192</v>
      </c>
      <c r="C962" s="1194"/>
      <c r="D962" s="1208">
        <f>$H$36/2</f>
        <v>2.9</v>
      </c>
      <c r="E962" s="1208">
        <f>$H$866</f>
        <v>3.2250000000000001</v>
      </c>
      <c r="F962" s="1329" t="str">
        <f>IF(D962=E962,"   No","   Yes")</f>
        <v xml:space="preserve">   Yes</v>
      </c>
      <c r="G962" s="1208">
        <f>$H$877</f>
        <v>3.2250000000000001</v>
      </c>
      <c r="H962" s="1329" t="str">
        <f>IF(D962=G962,"   No","   Yes")</f>
        <v xml:space="preserve">   Yes</v>
      </c>
      <c r="I962" s="1194"/>
      <c r="J962" s="1194"/>
      <c r="K962" s="1179"/>
    </row>
    <row r="963" spans="1:19" x14ac:dyDescent="0.2">
      <c r="A963" s="1178"/>
      <c r="B963" s="845"/>
      <c r="C963" s="845"/>
      <c r="D963" s="845"/>
      <c r="E963" s="845"/>
      <c r="F963" s="845"/>
      <c r="G963" s="845"/>
      <c r="H963" s="845"/>
      <c r="I963" s="845"/>
      <c r="J963" s="845"/>
      <c r="K963" s="1179"/>
    </row>
    <row r="964" spans="1:19" ht="13.5" thickBot="1" x14ac:dyDescent="0.25">
      <c r="A964" s="1218"/>
      <c r="B964" s="848"/>
      <c r="C964" s="848"/>
      <c r="D964" s="848"/>
      <c r="E964" s="848"/>
      <c r="F964" s="848"/>
      <c r="G964" s="848"/>
      <c r="H964" s="848"/>
      <c r="I964" s="848"/>
      <c r="J964" s="848"/>
      <c r="K964" s="1221" t="s">
        <v>2400</v>
      </c>
      <c r="L964" s="91"/>
    </row>
    <row r="965" spans="1:19" x14ac:dyDescent="0.2">
      <c r="A965" s="827"/>
      <c r="B965" s="1294" t="s">
        <v>197</v>
      </c>
      <c r="C965" s="827"/>
      <c r="D965" s="827"/>
      <c r="E965" s="827"/>
      <c r="F965" s="827"/>
      <c r="G965" s="827"/>
      <c r="H965" s="827"/>
      <c r="I965" s="827"/>
      <c r="J965" s="827"/>
      <c r="K965" s="827"/>
      <c r="L965" s="28"/>
      <c r="M965" s="28"/>
      <c r="N965" s="28"/>
      <c r="O965" s="28"/>
      <c r="P965" s="28"/>
      <c r="Q965" s="28"/>
      <c r="R965" s="28"/>
    </row>
    <row r="966" spans="1:19" x14ac:dyDescent="0.2">
      <c r="A966" s="827"/>
      <c r="B966" s="1336"/>
      <c r="C966" s="1336"/>
      <c r="D966" s="1336"/>
      <c r="E966" s="1336"/>
      <c r="F966" s="1336"/>
      <c r="G966" s="1336"/>
      <c r="H966" s="1336"/>
      <c r="I966" s="1336"/>
      <c r="J966" s="1336"/>
      <c r="K966" s="1336"/>
      <c r="N966" s="6"/>
    </row>
    <row r="967" spans="1:19" x14ac:dyDescent="0.2">
      <c r="A967" s="827"/>
      <c r="B967" s="1222" t="s">
        <v>186</v>
      </c>
      <c r="C967" s="827"/>
      <c r="D967" s="827"/>
      <c r="E967" s="827"/>
      <c r="F967" s="1222"/>
      <c r="G967" s="827"/>
      <c r="H967" s="827"/>
      <c r="I967" s="827"/>
      <c r="J967" s="827"/>
      <c r="K967" s="1222"/>
      <c r="L967" s="146"/>
      <c r="M967" s="92"/>
      <c r="N967" s="1450"/>
      <c r="O967" s="1450"/>
      <c r="P967" s="146"/>
      <c r="Q967" s="92"/>
      <c r="R967" s="92"/>
    </row>
    <row r="968" spans="1:19" x14ac:dyDescent="0.2">
      <c r="A968" s="827"/>
      <c r="B968" s="827"/>
      <c r="C968" s="845"/>
      <c r="D968" s="1187"/>
      <c r="E968" s="1444" t="s">
        <v>123</v>
      </c>
      <c r="F968" s="1445"/>
      <c r="G968" s="1445"/>
      <c r="H968" s="1446"/>
      <c r="I968" s="845"/>
      <c r="J968" s="845"/>
      <c r="K968" s="1187"/>
      <c r="L968" s="1447"/>
      <c r="M968" s="1447"/>
      <c r="N968" s="158"/>
      <c r="O968" s="159"/>
      <c r="P968" s="1447"/>
      <c r="Q968" s="1447"/>
      <c r="R968" s="72"/>
      <c r="S968" s="40"/>
    </row>
    <row r="969" spans="1:19" x14ac:dyDescent="0.2">
      <c r="A969" s="827"/>
      <c r="B969" s="1275"/>
      <c r="C969" s="1452" t="s">
        <v>1801</v>
      </c>
      <c r="D969" s="1453"/>
      <c r="E969" s="1453"/>
      <c r="F969" s="1454"/>
      <c r="G969" s="1452" t="s">
        <v>1802</v>
      </c>
      <c r="H969" s="1453"/>
      <c r="I969" s="1453"/>
      <c r="J969" s="1454"/>
      <c r="K969" s="1306"/>
      <c r="L969" s="71"/>
      <c r="M969" s="72"/>
      <c r="N969" s="72"/>
      <c r="O969" s="159"/>
      <c r="P969" s="71"/>
      <c r="Q969" s="72"/>
      <c r="R969" s="72"/>
      <c r="S969" s="40"/>
    </row>
    <row r="970" spans="1:19" x14ac:dyDescent="0.2">
      <c r="A970" s="827"/>
      <c r="B970" s="1275"/>
      <c r="C970" s="1337" t="s">
        <v>319</v>
      </c>
      <c r="D970" s="1338" t="s">
        <v>2536</v>
      </c>
      <c r="E970" s="1338" t="s">
        <v>321</v>
      </c>
      <c r="F970" s="1339" t="s">
        <v>322</v>
      </c>
      <c r="G970" s="1337" t="s">
        <v>319</v>
      </c>
      <c r="H970" s="1338" t="s">
        <v>2536</v>
      </c>
      <c r="I970" s="1338" t="s">
        <v>321</v>
      </c>
      <c r="J970" s="1339" t="s">
        <v>322</v>
      </c>
      <c r="K970" s="1306"/>
      <c r="L970" s="117"/>
      <c r="M970" s="117"/>
      <c r="N970" s="117"/>
      <c r="O970" s="117"/>
      <c r="P970" s="117"/>
      <c r="Q970" s="117"/>
      <c r="R970" s="117"/>
    </row>
    <row r="971" spans="1:19" ht="15" x14ac:dyDescent="0.2">
      <c r="A971" s="827"/>
      <c r="B971" s="1340"/>
      <c r="C971" s="1341" t="s">
        <v>2534</v>
      </c>
      <c r="D971" s="1342" t="s">
        <v>215</v>
      </c>
      <c r="E971" s="1342" t="s">
        <v>215</v>
      </c>
      <c r="F971" s="1343" t="s">
        <v>2534</v>
      </c>
      <c r="G971" s="1341" t="s">
        <v>2534</v>
      </c>
      <c r="H971" s="1342" t="s">
        <v>215</v>
      </c>
      <c r="I971" s="1342" t="s">
        <v>215</v>
      </c>
      <c r="J971" s="1343" t="s">
        <v>2534</v>
      </c>
      <c r="K971" s="923"/>
      <c r="L971" s="86"/>
      <c r="M971" s="86"/>
      <c r="N971" s="86"/>
      <c r="O971" s="86"/>
      <c r="P971" s="86"/>
      <c r="Q971" s="86"/>
      <c r="R971" s="86"/>
    </row>
    <row r="972" spans="1:19" x14ac:dyDescent="0.2">
      <c r="A972" s="827"/>
      <c r="B972" s="1222" t="s">
        <v>187</v>
      </c>
      <c r="C972" s="1106"/>
      <c r="D972" s="920"/>
      <c r="E972" s="920"/>
      <c r="F972" s="1103"/>
      <c r="G972" s="1106"/>
      <c r="H972" s="920"/>
      <c r="I972" s="920"/>
      <c r="J972" s="1103"/>
      <c r="K972" s="920"/>
      <c r="L972" s="35"/>
      <c r="M972" s="35"/>
      <c r="N972" s="86"/>
      <c r="O972" s="86"/>
      <c r="P972" s="35"/>
      <c r="Q972" s="35"/>
      <c r="R972" s="86"/>
    </row>
    <row r="973" spans="1:19" x14ac:dyDescent="0.2">
      <c r="A973" s="827"/>
      <c r="B973" s="1344" t="s">
        <v>188</v>
      </c>
      <c r="C973" s="1106">
        <f>H160</f>
        <v>950.00000000000011</v>
      </c>
      <c r="D973" s="915">
        <v>16</v>
      </c>
      <c r="E973" s="915">
        <v>200</v>
      </c>
      <c r="F973" s="1103">
        <f>IF(E973=0,0,785.4*D973^2/E973)</f>
        <v>1005.312</v>
      </c>
      <c r="G973" s="1106">
        <f>H162</f>
        <v>570.00000000000011</v>
      </c>
      <c r="H973" s="915">
        <v>12</v>
      </c>
      <c r="I973" s="915">
        <v>200</v>
      </c>
      <c r="J973" s="1103">
        <f>IF(I973=0,0,785.4*H973^2/I973)</f>
        <v>565.48799999999994</v>
      </c>
      <c r="K973" s="920"/>
      <c r="L973" s="35"/>
      <c r="M973" s="35"/>
      <c r="N973" s="86"/>
      <c r="O973" s="86"/>
      <c r="P973" s="35"/>
      <c r="Q973" s="35"/>
      <c r="R973" s="86"/>
    </row>
    <row r="974" spans="1:19" x14ac:dyDescent="0.2">
      <c r="A974" s="827"/>
      <c r="B974" s="1345" t="s">
        <v>189</v>
      </c>
      <c r="C974" s="1106">
        <f>H386</f>
        <v>950.00000000000011</v>
      </c>
      <c r="D974" s="915">
        <v>16</v>
      </c>
      <c r="E974" s="915">
        <v>200</v>
      </c>
      <c r="F974" s="1103">
        <f>IF(E974=0,0,785.4*D974^2/E974)</f>
        <v>1005.312</v>
      </c>
      <c r="G974" s="1106">
        <f>H388</f>
        <v>570.00000000000011</v>
      </c>
      <c r="H974" s="915">
        <v>12</v>
      </c>
      <c r="I974" s="915">
        <v>200</v>
      </c>
      <c r="J974" s="1103">
        <f>IF(I974=0,0,785.4*H974^2/I974)</f>
        <v>565.48799999999994</v>
      </c>
      <c r="K974" s="920"/>
      <c r="L974" s="35"/>
      <c r="M974" s="35"/>
      <c r="N974" s="86"/>
      <c r="O974" s="86"/>
      <c r="P974" s="35"/>
      <c r="Q974" s="35"/>
      <c r="R974" s="86"/>
    </row>
    <row r="975" spans="1:19" x14ac:dyDescent="0.2">
      <c r="A975" s="827"/>
      <c r="B975" s="1345" t="s">
        <v>190</v>
      </c>
      <c r="C975" s="1106">
        <f>H512</f>
        <v>950</v>
      </c>
      <c r="D975" s="915">
        <v>16</v>
      </c>
      <c r="E975" s="915">
        <v>200</v>
      </c>
      <c r="F975" s="1103">
        <f>IF(E975=0,0,785.4*D975^2/E975)</f>
        <v>1005.312</v>
      </c>
      <c r="G975" s="1106">
        <f>H514</f>
        <v>570</v>
      </c>
      <c r="H975" s="915">
        <v>12</v>
      </c>
      <c r="I975" s="915">
        <v>200</v>
      </c>
      <c r="J975" s="1103">
        <f>IF(I975=0,0,785.4*H975^2/I975)</f>
        <v>565.48799999999994</v>
      </c>
      <c r="K975" s="920"/>
      <c r="L975" s="35"/>
      <c r="M975" s="35"/>
      <c r="N975" s="86"/>
      <c r="O975" s="86"/>
      <c r="P975" s="35"/>
      <c r="Q975" s="35"/>
      <c r="R975" s="86"/>
    </row>
    <row r="976" spans="1:19" x14ac:dyDescent="0.2">
      <c r="A976" s="827"/>
      <c r="B976" s="1345" t="s">
        <v>191</v>
      </c>
      <c r="C976" s="1106">
        <f>H641</f>
        <v>950</v>
      </c>
      <c r="D976" s="915">
        <v>16</v>
      </c>
      <c r="E976" s="915">
        <v>200</v>
      </c>
      <c r="F976" s="1103">
        <f>IF(E976=0,0,785.4*D976^2/E976)</f>
        <v>1005.312</v>
      </c>
      <c r="G976" s="1106">
        <f>H643</f>
        <v>570</v>
      </c>
      <c r="H976" s="915">
        <v>12</v>
      </c>
      <c r="I976" s="915">
        <v>200</v>
      </c>
      <c r="J976" s="1103">
        <f>IF(I976=0,0,785.4*H976^2/I976)</f>
        <v>565.48799999999994</v>
      </c>
      <c r="K976" s="920"/>
      <c r="L976" s="35"/>
      <c r="M976" s="35"/>
      <c r="N976" s="86"/>
      <c r="O976" s="86"/>
      <c r="P976" s="35"/>
      <c r="Q976" s="35"/>
      <c r="R976" s="86"/>
    </row>
    <row r="977" spans="1:18" x14ac:dyDescent="0.2">
      <c r="A977" s="827"/>
      <c r="B977" s="1345" t="s">
        <v>192</v>
      </c>
      <c r="C977" s="1106">
        <f>H768</f>
        <v>950</v>
      </c>
      <c r="D977" s="915">
        <v>16</v>
      </c>
      <c r="E977" s="915">
        <v>200</v>
      </c>
      <c r="F977" s="1103">
        <f>IF(E977=0,0,785.4*D977^2/E977)</f>
        <v>1005.312</v>
      </c>
      <c r="G977" s="1106">
        <f>H770</f>
        <v>570</v>
      </c>
      <c r="H977" s="915">
        <v>12</v>
      </c>
      <c r="I977" s="915">
        <v>200</v>
      </c>
      <c r="J977" s="1103">
        <f>IF(I977=0,0,785.4*H977^2/I977)</f>
        <v>565.48799999999994</v>
      </c>
      <c r="K977" s="920"/>
      <c r="L977" s="35"/>
      <c r="M977" s="35"/>
      <c r="N977" s="86"/>
      <c r="O977" s="86"/>
      <c r="P977" s="35"/>
      <c r="Q977" s="35"/>
      <c r="R977" s="86"/>
    </row>
    <row r="978" spans="1:18" x14ac:dyDescent="0.2">
      <c r="A978" s="827"/>
      <c r="B978" s="1346"/>
      <c r="C978" s="1347"/>
      <c r="D978" s="845"/>
      <c r="E978" s="845"/>
      <c r="F978" s="1103"/>
      <c r="G978" s="1347"/>
      <c r="H978" s="845"/>
      <c r="I978" s="845"/>
      <c r="J978" s="1103"/>
      <c r="K978" s="845"/>
      <c r="L978" s="92"/>
      <c r="M978" s="92"/>
      <c r="N978" s="86"/>
      <c r="O978" s="92"/>
      <c r="P978" s="92"/>
      <c r="Q978" s="92"/>
      <c r="R978" s="86"/>
    </row>
    <row r="979" spans="1:18" x14ac:dyDescent="0.2">
      <c r="A979" s="827"/>
      <c r="B979" s="1345" t="s">
        <v>193</v>
      </c>
      <c r="C979" s="1347"/>
      <c r="D979" s="845"/>
      <c r="E979" s="845"/>
      <c r="F979" s="1103"/>
      <c r="G979" s="1347"/>
      <c r="H979" s="845"/>
      <c r="I979" s="845"/>
      <c r="J979" s="1103"/>
      <c r="K979" s="845"/>
      <c r="L979" s="35"/>
      <c r="M979" s="35"/>
      <c r="N979" s="86"/>
      <c r="O979" s="86"/>
      <c r="P979" s="35"/>
      <c r="Q979" s="35"/>
      <c r="R979" s="86"/>
    </row>
    <row r="980" spans="1:18" x14ac:dyDescent="0.2">
      <c r="A980" s="827"/>
      <c r="B980" s="1345" t="s">
        <v>188</v>
      </c>
      <c r="C980" s="1106">
        <f>H284</f>
        <v>950.00000000000011</v>
      </c>
      <c r="D980" s="915">
        <v>16</v>
      </c>
      <c r="E980" s="915">
        <v>200</v>
      </c>
      <c r="F980" s="1103">
        <f>IF(E980=0,0,785.4*D980^2/E980)</f>
        <v>1005.312</v>
      </c>
      <c r="G980" s="1106">
        <f>H286</f>
        <v>570.00000000000011</v>
      </c>
      <c r="H980" s="915">
        <v>12</v>
      </c>
      <c r="I980" s="915">
        <v>200</v>
      </c>
      <c r="J980" s="1103">
        <f>IF(I980=0,0,785.4*H980^2/I980)</f>
        <v>565.48799999999994</v>
      </c>
      <c r="K980" s="920"/>
      <c r="L980" s="35"/>
      <c r="M980" s="35"/>
      <c r="N980" s="86"/>
      <c r="O980" s="86"/>
      <c r="P980" s="35"/>
      <c r="Q980" s="35"/>
      <c r="R980" s="86"/>
    </row>
    <row r="981" spans="1:18" x14ac:dyDescent="0.2">
      <c r="A981" s="827"/>
      <c r="B981" s="1345" t="s">
        <v>189</v>
      </c>
      <c r="C981" s="1106">
        <f>H453</f>
        <v>950</v>
      </c>
      <c r="D981" s="915">
        <v>16</v>
      </c>
      <c r="E981" s="915">
        <v>200</v>
      </c>
      <c r="F981" s="1103">
        <f>IF(E981=0,0,785.4*D981^2/E981)</f>
        <v>1005.312</v>
      </c>
      <c r="G981" s="1106">
        <f>H455</f>
        <v>570</v>
      </c>
      <c r="H981" s="915">
        <v>12</v>
      </c>
      <c r="I981" s="915">
        <v>200</v>
      </c>
      <c r="J981" s="1103">
        <f>IF(I981=0,0,785.4*H981^2/I981)</f>
        <v>565.48799999999994</v>
      </c>
      <c r="K981" s="920"/>
      <c r="L981" s="35"/>
      <c r="M981" s="35"/>
      <c r="N981" s="86"/>
      <c r="O981" s="86"/>
      <c r="P981" s="35"/>
      <c r="Q981" s="35"/>
      <c r="R981" s="86"/>
    </row>
    <row r="982" spans="1:18" x14ac:dyDescent="0.2">
      <c r="A982" s="827"/>
      <c r="B982" s="1345" t="s">
        <v>190</v>
      </c>
      <c r="C982" s="1106">
        <f>H581</f>
        <v>950</v>
      </c>
      <c r="D982" s="915">
        <v>16</v>
      </c>
      <c r="E982" s="915">
        <v>200</v>
      </c>
      <c r="F982" s="1103">
        <f>IF(E982=0,0,785.4*D982^2/E982)</f>
        <v>1005.312</v>
      </c>
      <c r="G982" s="1106">
        <f>H583</f>
        <v>570</v>
      </c>
      <c r="H982" s="915">
        <v>12</v>
      </c>
      <c r="I982" s="915">
        <v>200</v>
      </c>
      <c r="J982" s="1103">
        <f>IF(I982=0,0,785.4*H982^2/I982)</f>
        <v>565.48799999999994</v>
      </c>
      <c r="K982" s="920"/>
      <c r="L982" s="35"/>
      <c r="M982" s="35"/>
      <c r="N982" s="86"/>
      <c r="O982" s="86"/>
      <c r="P982" s="35"/>
      <c r="Q982" s="35"/>
      <c r="R982" s="86"/>
    </row>
    <row r="983" spans="1:18" x14ac:dyDescent="0.2">
      <c r="A983" s="827"/>
      <c r="B983" s="1345" t="s">
        <v>191</v>
      </c>
      <c r="C983" s="1106">
        <f>H708</f>
        <v>950</v>
      </c>
      <c r="D983" s="915">
        <v>16</v>
      </c>
      <c r="E983" s="915">
        <v>200</v>
      </c>
      <c r="F983" s="1103">
        <f>IF(E983=0,0,785.4*D983^2/E983)</f>
        <v>1005.312</v>
      </c>
      <c r="G983" s="1106">
        <f>H710</f>
        <v>570</v>
      </c>
      <c r="H983" s="915">
        <v>12</v>
      </c>
      <c r="I983" s="915">
        <v>200</v>
      </c>
      <c r="J983" s="1103">
        <f>IF(I983=0,0,785.4*H983^2/I983)</f>
        <v>565.48799999999994</v>
      </c>
      <c r="K983" s="920"/>
      <c r="L983" s="35"/>
      <c r="M983" s="35"/>
      <c r="N983" s="86"/>
      <c r="O983" s="86"/>
      <c r="P983" s="35"/>
      <c r="Q983" s="35"/>
      <c r="R983" s="86"/>
    </row>
    <row r="984" spans="1:18" x14ac:dyDescent="0.2">
      <c r="A984" s="827"/>
      <c r="B984" s="1348" t="s">
        <v>192</v>
      </c>
      <c r="C984" s="1349">
        <f>H837</f>
        <v>950</v>
      </c>
      <c r="D984" s="1108">
        <v>16</v>
      </c>
      <c r="E984" s="1108">
        <v>200</v>
      </c>
      <c r="F984" s="1350">
        <f>IF(E984=0,0,785.4*D984^2/E984)</f>
        <v>1005.312</v>
      </c>
      <c r="G984" s="1349">
        <f>H839</f>
        <v>570</v>
      </c>
      <c r="H984" s="1108">
        <v>12</v>
      </c>
      <c r="I984" s="1108">
        <v>200</v>
      </c>
      <c r="J984" s="1350">
        <f>IF(I984=0,0,785.4*H984^2/I984)</f>
        <v>565.48799999999994</v>
      </c>
      <c r="K984" s="920"/>
      <c r="L984" s="35"/>
      <c r="M984" s="35"/>
      <c r="N984" s="86"/>
      <c r="O984" s="86"/>
      <c r="P984" s="35"/>
      <c r="Q984" s="35"/>
      <c r="R984" s="86"/>
    </row>
    <row r="985" spans="1:18" x14ac:dyDescent="0.2">
      <c r="A985" s="827"/>
      <c r="B985" s="1336"/>
      <c r="C985" s="1336"/>
      <c r="D985" s="1336"/>
      <c r="E985" s="1336"/>
      <c r="F985" s="1336"/>
      <c r="G985" s="1336"/>
      <c r="H985" s="1336"/>
      <c r="I985" s="1336"/>
      <c r="J985" s="1336"/>
      <c r="K985" s="1336"/>
    </row>
    <row r="986" spans="1:18" x14ac:dyDescent="0.2">
      <c r="A986" s="827"/>
      <c r="B986" s="1336"/>
      <c r="C986" s="1336"/>
      <c r="D986" s="1336"/>
      <c r="E986" s="827"/>
      <c r="F986" s="1336"/>
      <c r="G986" s="827"/>
      <c r="H986" s="1336"/>
      <c r="I986" s="1336"/>
      <c r="J986" s="1336"/>
      <c r="K986" s="1336"/>
    </row>
    <row r="987" spans="1:18" x14ac:dyDescent="0.2">
      <c r="A987" s="827"/>
      <c r="B987" s="827"/>
      <c r="C987" s="827"/>
      <c r="D987" s="827"/>
      <c r="E987" s="827"/>
      <c r="F987" s="827"/>
      <c r="G987" s="827"/>
      <c r="H987" s="827"/>
      <c r="I987" s="827"/>
      <c r="J987" s="827"/>
      <c r="K987" s="827"/>
    </row>
    <row r="988" spans="1:18" x14ac:dyDescent="0.2">
      <c r="A988" s="827"/>
      <c r="B988" s="827"/>
      <c r="C988" s="827"/>
      <c r="D988" s="827"/>
      <c r="E988" s="1444" t="s">
        <v>305</v>
      </c>
      <c r="F988" s="1445"/>
      <c r="G988" s="1445"/>
      <c r="H988" s="1446"/>
      <c r="I988" s="1251"/>
      <c r="J988" s="1251"/>
      <c r="K988" s="827"/>
    </row>
    <row r="989" spans="1:18" x14ac:dyDescent="0.2">
      <c r="A989" s="827"/>
      <c r="B989" s="827"/>
      <c r="C989" s="1444" t="s">
        <v>408</v>
      </c>
      <c r="D989" s="1445"/>
      <c r="E989" s="1445"/>
      <c r="F989" s="1446"/>
      <c r="G989" s="1444" t="s">
        <v>409</v>
      </c>
      <c r="H989" s="1445"/>
      <c r="I989" s="1445"/>
      <c r="J989" s="1446"/>
      <c r="K989" s="827"/>
    </row>
    <row r="990" spans="1:18" x14ac:dyDescent="0.2">
      <c r="A990" s="827"/>
      <c r="B990" s="827"/>
      <c r="C990" s="1337" t="s">
        <v>319</v>
      </c>
      <c r="D990" s="1338" t="s">
        <v>2536</v>
      </c>
      <c r="E990" s="1338" t="s">
        <v>321</v>
      </c>
      <c r="F990" s="1339" t="s">
        <v>322</v>
      </c>
      <c r="G990" s="1337" t="s">
        <v>319</v>
      </c>
      <c r="H990" s="1338" t="s">
        <v>2536</v>
      </c>
      <c r="I990" s="1338" t="s">
        <v>321</v>
      </c>
      <c r="J990" s="1339" t="s">
        <v>322</v>
      </c>
      <c r="K990" s="827"/>
    </row>
    <row r="991" spans="1:18" ht="15" x14ac:dyDescent="0.2">
      <c r="A991" s="827"/>
      <c r="B991" s="827"/>
      <c r="C991" s="1341" t="s">
        <v>2534</v>
      </c>
      <c r="D991" s="1342" t="s">
        <v>215</v>
      </c>
      <c r="E991" s="1342" t="s">
        <v>215</v>
      </c>
      <c r="F991" s="1343" t="s">
        <v>2534</v>
      </c>
      <c r="G991" s="1341" t="s">
        <v>2534</v>
      </c>
      <c r="H991" s="1342" t="s">
        <v>215</v>
      </c>
      <c r="I991" s="1342" t="s">
        <v>215</v>
      </c>
      <c r="J991" s="1343" t="s">
        <v>2534</v>
      </c>
      <c r="K991" s="827"/>
    </row>
    <row r="992" spans="1:18" x14ac:dyDescent="0.2">
      <c r="A992" s="827"/>
      <c r="B992" s="827" t="s">
        <v>187</v>
      </c>
      <c r="C992" s="827"/>
      <c r="D992" s="827"/>
      <c r="E992" s="827"/>
      <c r="F992" s="827"/>
      <c r="G992" s="827"/>
      <c r="H992" s="827"/>
      <c r="I992" s="827"/>
      <c r="J992" s="827"/>
      <c r="K992" s="827"/>
    </row>
    <row r="993" spans="1:11" x14ac:dyDescent="0.2">
      <c r="A993" s="827"/>
      <c r="B993" s="1344" t="s">
        <v>188</v>
      </c>
      <c r="C993" s="1351">
        <f>$H$168</f>
        <v>760</v>
      </c>
      <c r="D993" s="1099">
        <v>16</v>
      </c>
      <c r="E993" s="1099">
        <v>250</v>
      </c>
      <c r="F993" s="1352">
        <f>IF(E993=0,0,785.4*D993^2/E993)</f>
        <v>804.24959999999999</v>
      </c>
      <c r="G993" s="1351">
        <f>$H$179</f>
        <v>3578.8938046504209</v>
      </c>
      <c r="H993" s="1353">
        <v>20</v>
      </c>
      <c r="I993" s="1353">
        <v>125</v>
      </c>
      <c r="J993" s="1352">
        <f>IF(I993=0,0,785.4*H993^2/I993)</f>
        <v>2513.2800000000002</v>
      </c>
      <c r="K993" s="827"/>
    </row>
    <row r="994" spans="1:11" x14ac:dyDescent="0.2">
      <c r="A994" s="827"/>
      <c r="B994" s="1345" t="s">
        <v>189</v>
      </c>
      <c r="C994" s="1106">
        <f>$H$393</f>
        <v>760</v>
      </c>
      <c r="D994" s="915">
        <v>16</v>
      </c>
      <c r="E994" s="915">
        <v>250</v>
      </c>
      <c r="F994" s="1354">
        <f>IF(E994=0,0,785.4*D994^2/E994)</f>
        <v>804.24959999999999</v>
      </c>
      <c r="G994" s="1106">
        <f>$H$399</f>
        <v>3149.9132610808501</v>
      </c>
      <c r="H994" s="845">
        <v>20</v>
      </c>
      <c r="I994" s="845">
        <v>125</v>
      </c>
      <c r="J994" s="1354">
        <f>IF(I994=0,0,785.4*H994^2/I994)</f>
        <v>2513.2800000000002</v>
      </c>
      <c r="K994" s="827"/>
    </row>
    <row r="995" spans="1:11" x14ac:dyDescent="0.2">
      <c r="A995" s="827"/>
      <c r="B995" s="1345" t="s">
        <v>190</v>
      </c>
      <c r="C995" s="1106">
        <f>$H$519</f>
        <v>760</v>
      </c>
      <c r="D995" s="915">
        <v>16</v>
      </c>
      <c r="E995" s="915">
        <v>250</v>
      </c>
      <c r="F995" s="1354">
        <f>IF(E995=0,0,785.4*D995^2/E995)</f>
        <v>804.24959999999999</v>
      </c>
      <c r="G995" s="1106">
        <f>$H$525</f>
        <v>3231.0051551714264</v>
      </c>
      <c r="H995" s="845">
        <v>20</v>
      </c>
      <c r="I995" s="845">
        <v>125</v>
      </c>
      <c r="J995" s="1354">
        <f>IF(I995=0,0,785.4*H995^2/I995)</f>
        <v>2513.2800000000002</v>
      </c>
      <c r="K995" s="827"/>
    </row>
    <row r="996" spans="1:11" x14ac:dyDescent="0.2">
      <c r="A996" s="827"/>
      <c r="B996" s="1345" t="s">
        <v>191</v>
      </c>
      <c r="C996" s="1106">
        <f>$H$648</f>
        <v>760</v>
      </c>
      <c r="D996" s="915">
        <v>16</v>
      </c>
      <c r="E996" s="915">
        <v>250</v>
      </c>
      <c r="F996" s="1354">
        <f>IF(E996=0,0,785.4*D996^2/E996)</f>
        <v>804.24959999999999</v>
      </c>
      <c r="G996" s="1106">
        <f>$H$654</f>
        <v>3316.3826654649743</v>
      </c>
      <c r="H996" s="846">
        <v>20</v>
      </c>
      <c r="I996" s="846">
        <v>125</v>
      </c>
      <c r="J996" s="1354">
        <f>IF(I996=0,0,785.4*H996^2/I996)</f>
        <v>2513.2800000000002</v>
      </c>
      <c r="K996" s="827"/>
    </row>
    <row r="997" spans="1:11" x14ac:dyDescent="0.2">
      <c r="A997" s="827"/>
      <c r="B997" s="1348" t="s">
        <v>192</v>
      </c>
      <c r="C997" s="1349">
        <f>$H$775</f>
        <v>760</v>
      </c>
      <c r="D997" s="1108">
        <v>16</v>
      </c>
      <c r="E997" s="1108">
        <v>250</v>
      </c>
      <c r="F997" s="1355">
        <f>IF(E997=0,0,785.4*D997^2/E997)</f>
        <v>804.24959999999999</v>
      </c>
      <c r="G997" s="1349">
        <f>$H$781</f>
        <v>3423.8187620444023</v>
      </c>
      <c r="H997" s="1356">
        <v>20</v>
      </c>
      <c r="I997" s="1356">
        <v>125</v>
      </c>
      <c r="J997" s="1355">
        <f>IF(I997=0,0,785.4*H997^2/I997)</f>
        <v>2513.2800000000002</v>
      </c>
      <c r="K997" s="827"/>
    </row>
    <row r="998" spans="1:11" x14ac:dyDescent="0.2">
      <c r="A998" s="827"/>
      <c r="B998" s="1187"/>
      <c r="C998" s="920"/>
      <c r="D998" s="915"/>
      <c r="E998" s="915"/>
      <c r="F998" s="812"/>
      <c r="G998" s="920"/>
      <c r="H998" s="845"/>
      <c r="I998" s="845"/>
      <c r="J998" s="812"/>
      <c r="K998" s="827"/>
    </row>
    <row r="999" spans="1:11" x14ac:dyDescent="0.2">
      <c r="A999" s="827"/>
      <c r="B999" s="1192" t="s">
        <v>193</v>
      </c>
      <c r="C999" s="827"/>
      <c r="D999" s="827"/>
      <c r="E999" s="827"/>
      <c r="F999" s="827"/>
      <c r="G999" s="827"/>
      <c r="H999" s="827"/>
      <c r="I999" s="827"/>
      <c r="J999" s="827"/>
      <c r="K999" s="827"/>
    </row>
    <row r="1000" spans="1:11" x14ac:dyDescent="0.2">
      <c r="A1000" s="827"/>
      <c r="B1000" s="1344" t="s">
        <v>188</v>
      </c>
      <c r="C1000" s="1351">
        <f>$H$300</f>
        <v>760</v>
      </c>
      <c r="D1000" s="1099">
        <v>16</v>
      </c>
      <c r="E1000" s="1099">
        <v>250</v>
      </c>
      <c r="F1000" s="1352">
        <f>IF(E1000=0,0,785.4*D1000^2/E1000)</f>
        <v>804.24959999999999</v>
      </c>
      <c r="G1000" s="1351">
        <f>$H$310</f>
        <v>3777.0648802701367</v>
      </c>
      <c r="H1000" s="1353">
        <v>20</v>
      </c>
      <c r="I1000" s="1353">
        <v>125</v>
      </c>
      <c r="J1000" s="1352">
        <f>IF(I1000=0,0,785.4*H1000^2/I1000)</f>
        <v>2513.2800000000002</v>
      </c>
      <c r="K1000" s="827"/>
    </row>
    <row r="1001" spans="1:11" x14ac:dyDescent="0.2">
      <c r="A1001" s="827"/>
      <c r="B1001" s="1345" t="s">
        <v>189</v>
      </c>
      <c r="C1001" s="1106">
        <f>$H$462</f>
        <v>760</v>
      </c>
      <c r="D1001" s="915">
        <v>16</v>
      </c>
      <c r="E1001" s="915">
        <v>250</v>
      </c>
      <c r="F1001" s="1354">
        <f>IF(E1001=0,0,785.4*D1001^2/E1001)</f>
        <v>804.24959999999999</v>
      </c>
      <c r="G1001" s="1106">
        <f>$H$467</f>
        <v>3330.1118845227079</v>
      </c>
      <c r="H1001" s="845">
        <v>20</v>
      </c>
      <c r="I1001" s="846">
        <v>125</v>
      </c>
      <c r="J1001" s="1354">
        <f>IF(I1001=0,0,785.4*H1001^2/I1001)</f>
        <v>2513.2800000000002</v>
      </c>
      <c r="K1001" s="827"/>
    </row>
    <row r="1002" spans="1:11" x14ac:dyDescent="0.2">
      <c r="A1002" s="827"/>
      <c r="B1002" s="1345" t="s">
        <v>190</v>
      </c>
      <c r="C1002" s="1106">
        <f>$H$590</f>
        <v>760</v>
      </c>
      <c r="D1002" s="915">
        <v>16</v>
      </c>
      <c r="E1002" s="915">
        <v>250</v>
      </c>
      <c r="F1002" s="1354">
        <f>IF(E1002=0,0,785.4*D1002^2/E1002)</f>
        <v>804.24959999999999</v>
      </c>
      <c r="G1002" s="1106">
        <f>$H$596</f>
        <v>3399.4190809383995</v>
      </c>
      <c r="H1002" s="845">
        <v>20</v>
      </c>
      <c r="I1002" s="846">
        <v>125</v>
      </c>
      <c r="J1002" s="1354">
        <f>IF(I1002=0,0,785.4*H1002^2/I1002)</f>
        <v>2513.2800000000002</v>
      </c>
      <c r="K1002" s="827"/>
    </row>
    <row r="1003" spans="1:11" x14ac:dyDescent="0.2">
      <c r="A1003" s="827"/>
      <c r="B1003" s="1345" t="s">
        <v>191</v>
      </c>
      <c r="C1003" s="1106">
        <f>$H$717</f>
        <v>760</v>
      </c>
      <c r="D1003" s="915">
        <v>16</v>
      </c>
      <c r="E1003" s="915">
        <v>250</v>
      </c>
      <c r="F1003" s="1354">
        <f>IF(E1003=0,0,785.4*D1003^2/E1003)</f>
        <v>804.24959999999999</v>
      </c>
      <c r="G1003" s="1106">
        <f>$H$723</f>
        <v>3473.701252923528</v>
      </c>
      <c r="H1003" s="845">
        <v>20</v>
      </c>
      <c r="I1003" s="846">
        <v>125</v>
      </c>
      <c r="J1003" s="1354">
        <f>IF(I1003=0,0,785.4*H1003^2/I1003)</f>
        <v>2513.2800000000002</v>
      </c>
      <c r="K1003" s="827"/>
    </row>
    <row r="1004" spans="1:11" x14ac:dyDescent="0.2">
      <c r="A1004" s="827"/>
      <c r="B1004" s="1348" t="s">
        <v>192</v>
      </c>
      <c r="C1004" s="1349">
        <f>$H$846</f>
        <v>760</v>
      </c>
      <c r="D1004" s="1108">
        <v>16</v>
      </c>
      <c r="E1004" s="1108">
        <v>250</v>
      </c>
      <c r="F1004" s="1355">
        <f>IF(E1004=0,0,785.4*D1004^2/E1004)</f>
        <v>804.24959999999999</v>
      </c>
      <c r="G1004" s="1349">
        <f>$H$852</f>
        <v>3567.7680465083522</v>
      </c>
      <c r="H1004" s="1357">
        <v>20</v>
      </c>
      <c r="I1004" s="1356">
        <v>125</v>
      </c>
      <c r="J1004" s="1355">
        <f>IF(I1004=0,0,785.4*H1004^2/I1004)</f>
        <v>2513.2800000000002</v>
      </c>
      <c r="K1004" s="827"/>
    </row>
    <row r="1005" spans="1:11" x14ac:dyDescent="0.2">
      <c r="A1005" s="827"/>
      <c r="B1005" s="827"/>
      <c r="C1005" s="920"/>
      <c r="D1005" s="915"/>
      <c r="E1005" s="915"/>
      <c r="F1005" s="812"/>
      <c r="G1005" s="920"/>
      <c r="H1005" s="846"/>
      <c r="I1005" s="846"/>
      <c r="J1005" s="812"/>
      <c r="K1005" s="827"/>
    </row>
    <row r="1006" spans="1:11" x14ac:dyDescent="0.2">
      <c r="A1006" s="827"/>
      <c r="B1006" s="827"/>
      <c r="C1006" s="920"/>
      <c r="D1006" s="915"/>
      <c r="E1006" s="915"/>
      <c r="F1006" s="812"/>
      <c r="G1006" s="920"/>
      <c r="H1006" s="827"/>
      <c r="I1006" s="827"/>
      <c r="J1006" s="827"/>
      <c r="K1006" s="827"/>
    </row>
    <row r="1007" spans="1:11" x14ac:dyDescent="0.2">
      <c r="A1007" s="827"/>
      <c r="B1007" s="1358" t="str">
        <f>B884</f>
        <v>WINGWALL AND APRON (R/S)</v>
      </c>
      <c r="C1007" s="920"/>
      <c r="D1007" s="915"/>
      <c r="E1007" s="915"/>
      <c r="F1007" s="812"/>
      <c r="G1007" s="920"/>
      <c r="H1007" s="1359" t="s">
        <v>1966</v>
      </c>
      <c r="I1007" s="827" t="str">
        <f>I884</f>
        <v>1.50m x 1.80m</v>
      </c>
      <c r="J1007" s="827"/>
      <c r="K1007" s="827"/>
    </row>
    <row r="1008" spans="1:11" x14ac:dyDescent="0.2">
      <c r="A1008" s="827"/>
      <c r="B1008" s="827"/>
      <c r="C1008" s="827"/>
      <c r="D1008" s="827"/>
      <c r="E1008" s="827"/>
      <c r="F1008" s="827"/>
      <c r="G1008" s="827"/>
      <c r="H1008" s="827"/>
      <c r="I1008" s="827"/>
      <c r="J1008" s="827"/>
      <c r="K1008" s="827"/>
    </row>
    <row r="1009" spans="1:13" x14ac:dyDescent="0.2">
      <c r="A1009" s="827"/>
      <c r="B1009" s="827"/>
      <c r="C1009" s="1360" t="s">
        <v>1998</v>
      </c>
      <c r="D1009" s="1353" t="s">
        <v>1996</v>
      </c>
      <c r="E1009" s="1353" t="s">
        <v>1997</v>
      </c>
      <c r="F1009" s="1353"/>
      <c r="G1009" s="1353" t="s">
        <v>2000</v>
      </c>
      <c r="H1009" s="1361"/>
      <c r="I1009" s="827"/>
      <c r="J1009" s="827"/>
      <c r="K1009" s="827"/>
    </row>
    <row r="1010" spans="1:13" x14ac:dyDescent="0.2">
      <c r="A1010" s="827"/>
      <c r="B1010" s="827"/>
      <c r="C1010" s="1362"/>
      <c r="D1010" s="1357" t="s">
        <v>214</v>
      </c>
      <c r="E1010" s="1357" t="s">
        <v>1999</v>
      </c>
      <c r="F1010" s="1357"/>
      <c r="G1010" s="1357" t="s">
        <v>2001</v>
      </c>
      <c r="H1010" s="1363"/>
      <c r="I1010" s="827"/>
      <c r="J1010" s="827"/>
      <c r="K1010" s="827"/>
    </row>
    <row r="1011" spans="1:13" x14ac:dyDescent="0.2">
      <c r="A1011" s="827"/>
      <c r="B1011" s="827"/>
      <c r="C1011" s="1364" t="s">
        <v>1967</v>
      </c>
      <c r="D1011" s="975">
        <f t="shared" ref="D1011:E1013" si="2">N64</f>
        <v>0</v>
      </c>
      <c r="E1011" s="1365">
        <f t="shared" si="2"/>
        <v>1.8</v>
      </c>
      <c r="F1011" s="845" t="s">
        <v>24</v>
      </c>
      <c r="G1011" s="1365">
        <f>Q64</f>
        <v>6</v>
      </c>
      <c r="H1011" s="1366" t="s">
        <v>24</v>
      </c>
      <c r="I1011" s="827"/>
      <c r="J1011" s="827"/>
      <c r="K1011" s="827"/>
    </row>
    <row r="1012" spans="1:13" x14ac:dyDescent="0.2">
      <c r="A1012" s="827"/>
      <c r="B1012" s="1367"/>
      <c r="C1012" s="1364" t="s">
        <v>1968</v>
      </c>
      <c r="D1012" s="975">
        <f t="shared" si="2"/>
        <v>3.45</v>
      </c>
      <c r="E1012" s="1365">
        <f t="shared" si="2"/>
        <v>2.602547770700637</v>
      </c>
      <c r="F1012" s="845" t="s">
        <v>24</v>
      </c>
      <c r="G1012" s="1365">
        <f>Q65</f>
        <v>5.75</v>
      </c>
      <c r="H1012" s="1366" t="s">
        <v>24</v>
      </c>
      <c r="I1012" s="827"/>
      <c r="J1012" s="827"/>
      <c r="K1012" s="827"/>
    </row>
    <row r="1013" spans="1:13" x14ac:dyDescent="0.2">
      <c r="A1013" s="827"/>
      <c r="B1013" s="1367"/>
      <c r="C1013" s="1364" t="s">
        <v>1969</v>
      </c>
      <c r="D1013" s="975">
        <f t="shared" si="2"/>
        <v>7.45</v>
      </c>
      <c r="E1013" s="1365">
        <f t="shared" si="2"/>
        <v>3.6216560509554139</v>
      </c>
      <c r="F1013" s="845" t="s">
        <v>24</v>
      </c>
      <c r="G1013" s="1365">
        <f>Q66</f>
        <v>5.75</v>
      </c>
      <c r="H1013" s="1366" t="s">
        <v>24</v>
      </c>
      <c r="I1013" s="827"/>
      <c r="J1013" s="827"/>
      <c r="K1013" s="827"/>
      <c r="L1013" s="357"/>
    </row>
    <row r="1014" spans="1:13" x14ac:dyDescent="0.2">
      <c r="A1014" s="827"/>
      <c r="B1014" s="1367"/>
      <c r="C1014" s="1364" t="s">
        <v>1970</v>
      </c>
      <c r="D1014" s="975" t="e">
        <f>#REF!</f>
        <v>#REF!</v>
      </c>
      <c r="E1014" s="1365" t="e">
        <f>#REF!</f>
        <v>#REF!</v>
      </c>
      <c r="F1014" s="845" t="s">
        <v>24</v>
      </c>
      <c r="G1014" s="1365" t="e">
        <f>#REF!</f>
        <v>#REF!</v>
      </c>
      <c r="H1014" s="1366" t="s">
        <v>24</v>
      </c>
      <c r="I1014" s="827"/>
      <c r="J1014" s="827"/>
      <c r="K1014" s="827"/>
      <c r="L1014" s="357"/>
    </row>
    <row r="1015" spans="1:13" x14ac:dyDescent="0.2">
      <c r="A1015" s="827"/>
      <c r="B1015" s="1367"/>
      <c r="C1015" s="1364" t="s">
        <v>1971</v>
      </c>
      <c r="D1015" s="975">
        <f t="shared" ref="D1015:D1016" si="3">N67</f>
        <v>11.45</v>
      </c>
      <c r="E1015" s="1365">
        <f t="shared" ref="E1015:E1016" si="4">O67</f>
        <v>4.6407643312101907</v>
      </c>
      <c r="F1015" s="845" t="s">
        <v>24</v>
      </c>
      <c r="G1015" s="1365">
        <f t="shared" ref="G1015:G1016" si="5">Q67</f>
        <v>5.75</v>
      </c>
      <c r="H1015" s="1366" t="s">
        <v>24</v>
      </c>
      <c r="I1015" s="827"/>
      <c r="J1015" s="827"/>
      <c r="K1015" s="827"/>
      <c r="L1015" s="357"/>
    </row>
    <row r="1016" spans="1:13" x14ac:dyDescent="0.2">
      <c r="A1016" s="827"/>
      <c r="B1016" s="1367"/>
      <c r="C1016" s="1368" t="s">
        <v>1972</v>
      </c>
      <c r="D1016" s="1369">
        <f t="shared" si="3"/>
        <v>16.2</v>
      </c>
      <c r="E1016" s="1370">
        <f t="shared" si="4"/>
        <v>5.8</v>
      </c>
      <c r="F1016" s="1357" t="s">
        <v>24</v>
      </c>
      <c r="G1016" s="1370">
        <f t="shared" si="5"/>
        <v>5.75</v>
      </c>
      <c r="H1016" s="1363" t="s">
        <v>24</v>
      </c>
      <c r="I1016" s="827"/>
      <c r="J1016" s="827"/>
      <c r="K1016" s="827"/>
      <c r="L1016" s="357"/>
    </row>
    <row r="1017" spans="1:13" x14ac:dyDescent="0.2">
      <c r="A1017" s="827"/>
      <c r="B1017" s="1367"/>
      <c r="C1017" s="1367"/>
      <c r="D1017" s="827"/>
      <c r="E1017" s="827"/>
      <c r="F1017" s="827"/>
      <c r="G1017" s="827"/>
      <c r="H1017" s="1367"/>
      <c r="I1017" s="827"/>
      <c r="J1017" s="827"/>
      <c r="K1017" s="827"/>
      <c r="L1017" s="357"/>
    </row>
    <row r="1018" spans="1:13" x14ac:dyDescent="0.2">
      <c r="A1018" s="827"/>
      <c r="B1018" s="1367"/>
      <c r="C1018" s="1367"/>
      <c r="D1018" s="1371"/>
      <c r="E1018" s="1367"/>
      <c r="F1018" s="1371"/>
      <c r="G1018" s="1367"/>
      <c r="H1018" s="1367"/>
      <c r="I1018" s="827"/>
      <c r="J1018" s="827"/>
      <c r="K1018" s="827"/>
      <c r="M1018" s="357"/>
    </row>
    <row r="1019" spans="1:13" x14ac:dyDescent="0.2">
      <c r="A1019" s="827"/>
      <c r="B1019" s="1367"/>
      <c r="C1019" s="1367"/>
      <c r="D1019" s="1367"/>
      <c r="E1019" s="1367"/>
      <c r="F1019" s="1367"/>
      <c r="G1019" s="1367"/>
      <c r="H1019" s="1367"/>
      <c r="I1019" s="827"/>
      <c r="J1019" s="827"/>
      <c r="K1019" s="827"/>
    </row>
    <row r="1020" spans="1:13" x14ac:dyDescent="0.2">
      <c r="A1020" s="827"/>
      <c r="B1020" s="827" t="s">
        <v>1793</v>
      </c>
      <c r="C1020" s="827"/>
      <c r="D1020" s="827"/>
      <c r="E1020" s="827"/>
      <c r="F1020" s="827"/>
      <c r="G1020" s="827"/>
      <c r="H1020" s="827"/>
      <c r="I1020" s="827"/>
      <c r="J1020" s="827"/>
      <c r="K1020" s="827"/>
    </row>
    <row r="1021" spans="1:13" x14ac:dyDescent="0.2">
      <c r="A1021" s="827"/>
      <c r="B1021" s="827"/>
      <c r="C1021" s="827"/>
      <c r="D1021" s="827"/>
      <c r="E1021" s="827"/>
      <c r="F1021" s="827"/>
      <c r="G1021" s="827"/>
      <c r="H1021" s="827"/>
      <c r="I1021" s="827"/>
      <c r="J1021" s="827"/>
      <c r="K1021" s="827"/>
    </row>
    <row r="1022" spans="1:13" x14ac:dyDescent="0.2">
      <c r="A1022" s="827"/>
      <c r="B1022" s="827"/>
      <c r="C1022" s="1372"/>
      <c r="D1022" s="1444" t="s">
        <v>410</v>
      </c>
      <c r="E1022" s="1445"/>
      <c r="F1022" s="1446"/>
      <c r="G1022" s="1444" t="s">
        <v>403</v>
      </c>
      <c r="H1022" s="1445"/>
      <c r="I1022" s="1446"/>
      <c r="J1022" s="827"/>
      <c r="K1022" s="827"/>
    </row>
    <row r="1023" spans="1:13" x14ac:dyDescent="0.2">
      <c r="A1023" s="827"/>
      <c r="B1023" s="827"/>
      <c r="C1023" s="1346" t="s">
        <v>196</v>
      </c>
      <c r="D1023" s="1372" t="s">
        <v>1800</v>
      </c>
      <c r="E1023" s="827" t="s">
        <v>1794</v>
      </c>
      <c r="F1023" s="1372" t="s">
        <v>1795</v>
      </c>
      <c r="G1023" s="827" t="s">
        <v>1800</v>
      </c>
      <c r="H1023" s="1372" t="s">
        <v>1794</v>
      </c>
      <c r="I1023" s="1372" t="s">
        <v>1795</v>
      </c>
      <c r="J1023" s="827"/>
      <c r="K1023" s="827"/>
    </row>
    <row r="1024" spans="1:13" x14ac:dyDescent="0.2">
      <c r="A1024" s="827"/>
      <c r="B1024" s="827"/>
      <c r="C1024" s="1373"/>
      <c r="D1024" s="1373"/>
      <c r="E1024" s="827"/>
      <c r="F1024" s="1373"/>
      <c r="G1024" s="827"/>
      <c r="H1024" s="1373"/>
      <c r="I1024" s="1373"/>
      <c r="J1024" s="827"/>
      <c r="K1024" s="827"/>
    </row>
    <row r="1025" spans="1:11" x14ac:dyDescent="0.2">
      <c r="A1025" s="827"/>
      <c r="B1025" s="827"/>
      <c r="C1025" s="1374" t="s">
        <v>1796</v>
      </c>
      <c r="D1025" s="1375">
        <f>F147</f>
        <v>545.21250356090854</v>
      </c>
      <c r="E1025" s="1376">
        <f>F148</f>
        <v>620.21250356090854</v>
      </c>
      <c r="F1025" s="1377">
        <f>E32</f>
        <v>700</v>
      </c>
      <c r="G1025" s="1375">
        <f>F275</f>
        <v>582.07708353880741</v>
      </c>
      <c r="H1025" s="1376">
        <f>F277</f>
        <v>657.07708353880741</v>
      </c>
      <c r="I1025" s="1377">
        <f>G32</f>
        <v>750</v>
      </c>
      <c r="J1025" s="827"/>
      <c r="K1025" s="827"/>
    </row>
    <row r="1026" spans="1:11" x14ac:dyDescent="0.2">
      <c r="A1026" s="827"/>
      <c r="B1026" s="827"/>
      <c r="C1026" s="1346" t="s">
        <v>1797</v>
      </c>
      <c r="D1026" s="1378">
        <f>F378</f>
        <v>511.49418245561327</v>
      </c>
      <c r="E1026" s="912">
        <f>F380</f>
        <v>586.49418245561333</v>
      </c>
      <c r="F1026" s="1379">
        <f>E33</f>
        <v>700</v>
      </c>
      <c r="G1026" s="1378">
        <f>F444</f>
        <v>546.55351471145264</v>
      </c>
      <c r="H1026" s="912">
        <f>F447</f>
        <v>621.55351471145264</v>
      </c>
      <c r="I1026" s="1379">
        <f>G33</f>
        <v>750</v>
      </c>
      <c r="J1026" s="827"/>
      <c r="K1026" s="827"/>
    </row>
    <row r="1027" spans="1:11" x14ac:dyDescent="0.2">
      <c r="A1027" s="827"/>
      <c r="B1027" s="827"/>
      <c r="C1027" s="1346" t="s">
        <v>1798</v>
      </c>
      <c r="D1027" s="1378">
        <f>F503</f>
        <v>511.49418245561327</v>
      </c>
      <c r="E1027" s="912">
        <f>F506</f>
        <v>586.49418245561333</v>
      </c>
      <c r="F1027" s="1379">
        <f>E34</f>
        <v>684.31372549019613</v>
      </c>
      <c r="G1027" s="1378">
        <f>F572</f>
        <v>545.75761583712597</v>
      </c>
      <c r="H1027" s="912">
        <f>F575</f>
        <v>620.75761583712597</v>
      </c>
      <c r="I1027" s="1379">
        <f>G34</f>
        <v>734.31372549019613</v>
      </c>
      <c r="J1027" s="827"/>
      <c r="K1027" s="827"/>
    </row>
    <row r="1028" spans="1:11" x14ac:dyDescent="0.2">
      <c r="A1028" s="827"/>
      <c r="B1028" s="827"/>
      <c r="C1028" s="1346" t="s">
        <v>1799</v>
      </c>
      <c r="D1028" s="1378">
        <f>F632</f>
        <v>511.49418245561327</v>
      </c>
      <c r="E1028" s="912">
        <f>F635</f>
        <v>586.49418245561333</v>
      </c>
      <c r="F1028" s="1379">
        <f>E35</f>
        <v>668.62745098039215</v>
      </c>
      <c r="G1028" s="1378">
        <f>F699</f>
        <v>545.08584527941184</v>
      </c>
      <c r="H1028" s="912">
        <f>F702</f>
        <v>620.08584527941184</v>
      </c>
      <c r="I1028" s="1379">
        <f>G35</f>
        <v>718.62745098039215</v>
      </c>
      <c r="J1028" s="827"/>
      <c r="K1028" s="827"/>
    </row>
    <row r="1029" spans="1:11" x14ac:dyDescent="0.2">
      <c r="A1029" s="827"/>
      <c r="B1029" s="827"/>
      <c r="C1029" s="1373" t="s">
        <v>411</v>
      </c>
      <c r="D1029" s="1380">
        <f>F759</f>
        <v>511.49418245561327</v>
      </c>
      <c r="E1029" s="1381">
        <f>F762</f>
        <v>586.49418245561333</v>
      </c>
      <c r="F1029" s="1382">
        <f>E36</f>
        <v>650</v>
      </c>
      <c r="G1029" s="1380">
        <f>F828</f>
        <v>544.36438897392975</v>
      </c>
      <c r="H1029" s="1381">
        <f>F831</f>
        <v>619.36438897392975</v>
      </c>
      <c r="I1029" s="1382">
        <f>G36</f>
        <v>700</v>
      </c>
      <c r="J1029" s="827"/>
      <c r="K1029" s="827"/>
    </row>
    <row r="1030" spans="1:11" x14ac:dyDescent="0.2">
      <c r="A1030" s="827"/>
      <c r="B1030" s="827"/>
      <c r="C1030" s="827"/>
      <c r="D1030" s="827"/>
      <c r="E1030" s="827"/>
      <c r="F1030" s="827"/>
      <c r="G1030" s="827"/>
      <c r="H1030" s="827"/>
      <c r="I1030" s="827"/>
      <c r="J1030" s="827"/>
      <c r="K1030" s="827"/>
    </row>
    <row r="1031" spans="1:11" x14ac:dyDescent="0.2">
      <c r="A1031" s="827"/>
      <c r="B1031" s="827"/>
      <c r="C1031" s="827"/>
      <c r="D1031" s="827"/>
      <c r="E1031" s="827"/>
      <c r="F1031" s="827"/>
      <c r="G1031" s="827"/>
      <c r="H1031" s="827"/>
      <c r="I1031" s="827"/>
      <c r="J1031" s="827"/>
      <c r="K1031" s="827"/>
    </row>
  </sheetData>
  <mergeCells count="27">
    <mergeCell ref="E968:H968"/>
    <mergeCell ref="A4:F4"/>
    <mergeCell ref="D28:F28"/>
    <mergeCell ref="G28:H28"/>
    <mergeCell ref="D29:E29"/>
    <mergeCell ref="C928:D928"/>
    <mergeCell ref="G928:H928"/>
    <mergeCell ref="C908:F908"/>
    <mergeCell ref="G908:J908"/>
    <mergeCell ref="E907:H907"/>
    <mergeCell ref="B25:H25"/>
    <mergeCell ref="G1022:I1022"/>
    <mergeCell ref="D1022:F1022"/>
    <mergeCell ref="N888:P888"/>
    <mergeCell ref="D889:E889"/>
    <mergeCell ref="H889:I889"/>
    <mergeCell ref="L889:M889"/>
    <mergeCell ref="L928:M928"/>
    <mergeCell ref="D947:G947"/>
    <mergeCell ref="G989:J989"/>
    <mergeCell ref="C989:F989"/>
    <mergeCell ref="E988:H988"/>
    <mergeCell ref="P968:Q968"/>
    <mergeCell ref="N967:O967"/>
    <mergeCell ref="L968:M968"/>
    <mergeCell ref="C969:F969"/>
    <mergeCell ref="G969:J969"/>
  </mergeCells>
  <phoneticPr fontId="0" type="noConversion"/>
  <pageMargins left="0.75" right="0.25" top="0.75" bottom="0.75" header="0.3" footer="0.3"/>
  <pageSetup paperSize="9" scale="95" orientation="portrait" horizontalDpi="4294967292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1072"/>
  <sheetViews>
    <sheetView tabSelected="1" topLeftCell="A22" workbookViewId="0">
      <selection activeCell="I37" sqref="I37"/>
    </sheetView>
  </sheetViews>
  <sheetFormatPr defaultRowHeight="12.75" x14ac:dyDescent="0.2"/>
  <cols>
    <col min="1" max="1" width="4.140625" style="7" customWidth="1"/>
    <col min="2" max="2" width="8.7109375" style="7" customWidth="1"/>
    <col min="3" max="3" width="9.7109375" style="7" customWidth="1"/>
    <col min="4" max="4" width="9.5703125" style="7" customWidth="1"/>
    <col min="5" max="5" width="8.85546875" style="7" customWidth="1"/>
    <col min="6" max="6" width="9.28515625" style="7" customWidth="1"/>
    <col min="7" max="7" width="9.42578125" style="7" customWidth="1"/>
    <col min="8" max="8" width="9.5703125" style="7" customWidth="1"/>
    <col min="9" max="9" width="9.42578125" style="7" customWidth="1"/>
    <col min="10" max="10" width="8.7109375" style="7" customWidth="1"/>
    <col min="11" max="11" width="9.5703125" style="7" customWidth="1"/>
    <col min="12" max="12" width="11.42578125" style="7" customWidth="1"/>
    <col min="13" max="13" width="10.28515625" style="7" customWidth="1"/>
    <col min="14" max="14" width="10" style="7" customWidth="1"/>
    <col min="15" max="15" width="10.42578125" style="7" customWidth="1"/>
    <col min="16" max="16" width="10.28515625" style="7" customWidth="1"/>
    <col min="17" max="17" width="10.85546875" style="7" customWidth="1"/>
    <col min="18" max="18" width="10.28515625" style="7" customWidth="1"/>
    <col min="19" max="19" width="10.5703125" style="7" customWidth="1"/>
    <col min="20" max="16384" width="9.140625" style="7"/>
  </cols>
  <sheetData>
    <row r="1" spans="1:20" x14ac:dyDescent="0.2">
      <c r="A1" s="631" t="s">
        <v>2031</v>
      </c>
      <c r="B1" s="532"/>
      <c r="C1" s="532"/>
      <c r="D1" s="532" t="str">
        <f>'Design Data'!C2</f>
        <v>Coastal Embankment Improvement Project Phase-1, CEIP-1.</v>
      </c>
      <c r="E1" s="532"/>
      <c r="F1" s="532"/>
      <c r="G1" s="532"/>
      <c r="H1" s="532"/>
      <c r="I1" s="532"/>
      <c r="J1" s="532"/>
      <c r="K1" s="533"/>
    </row>
    <row r="2" spans="1:20" x14ac:dyDescent="0.2">
      <c r="A2" s="632" t="s">
        <v>1861</v>
      </c>
      <c r="B2" s="92"/>
      <c r="C2" s="92"/>
      <c r="D2" s="92" t="str">
        <f>'Basin (RS)'!D2</f>
        <v>DR-5</v>
      </c>
      <c r="E2" s="92"/>
      <c r="F2" s="92"/>
      <c r="G2" s="92"/>
      <c r="H2" s="92"/>
      <c r="I2" s="92"/>
      <c r="J2" s="92"/>
      <c r="K2" s="535"/>
      <c r="L2" s="4" t="e">
        <v>#VALUE!</v>
      </c>
      <c r="M2" s="6" t="s">
        <v>0</v>
      </c>
    </row>
    <row r="3" spans="1:20" ht="16.5" customHeight="1" x14ac:dyDescent="0.2">
      <c r="A3" s="1476" t="s">
        <v>418</v>
      </c>
      <c r="B3" s="1477"/>
      <c r="C3" s="1477"/>
      <c r="D3" s="1477"/>
      <c r="E3" s="1477"/>
      <c r="F3" s="1477"/>
      <c r="G3" s="538"/>
      <c r="H3" s="539" t="s">
        <v>1966</v>
      </c>
      <c r="I3" s="92" t="str">
        <f>'Basin (RS)'!H3</f>
        <v>1.50m x 1.80m</v>
      </c>
      <c r="J3" s="92"/>
      <c r="K3" s="535"/>
      <c r="L3" s="4">
        <v>1</v>
      </c>
      <c r="M3" s="6" t="s">
        <v>1</v>
      </c>
    </row>
    <row r="4" spans="1:20" ht="16.5" customHeight="1" x14ac:dyDescent="0.3">
      <c r="A4" s="583"/>
      <c r="B4" s="584"/>
      <c r="C4" s="584"/>
      <c r="D4" s="584"/>
      <c r="E4" s="584"/>
      <c r="F4" s="584"/>
      <c r="G4" s="36"/>
      <c r="H4" s="371" t="s">
        <v>2376</v>
      </c>
      <c r="I4" s="92"/>
      <c r="J4" s="718">
        <f>'Design Data'!D22</f>
        <v>1</v>
      </c>
      <c r="K4" s="535"/>
      <c r="L4" s="4"/>
      <c r="M4" s="6"/>
    </row>
    <row r="5" spans="1:20" ht="16.5" customHeight="1" x14ac:dyDescent="0.2">
      <c r="A5" s="583"/>
      <c r="B5" s="584" t="s">
        <v>344</v>
      </c>
      <c r="C5" s="584"/>
      <c r="D5" s="584"/>
      <c r="E5" s="584"/>
      <c r="F5" s="584"/>
      <c r="G5" s="36"/>
      <c r="H5" s="92"/>
      <c r="I5" s="92"/>
      <c r="J5" s="92"/>
      <c r="K5" s="535"/>
      <c r="L5" s="4"/>
      <c r="M5" s="6"/>
    </row>
    <row r="6" spans="1:20" ht="16.5" customHeight="1" x14ac:dyDescent="0.2">
      <c r="A6" s="583"/>
      <c r="B6" s="1400" t="s">
        <v>2498</v>
      </c>
      <c r="C6" s="1401"/>
      <c r="D6" s="1402"/>
      <c r="E6" s="1402"/>
      <c r="F6" s="1402"/>
      <c r="G6" s="1403"/>
      <c r="H6" s="1404">
        <f>'Design Data'!E12</f>
        <v>5.0999999999999996</v>
      </c>
      <c r="I6" s="1400" t="s">
        <v>2343</v>
      </c>
      <c r="J6" s="1402"/>
      <c r="K6" s="535"/>
      <c r="L6" s="4"/>
      <c r="M6" s="6"/>
    </row>
    <row r="7" spans="1:20" ht="16.5" customHeight="1" x14ac:dyDescent="0.2">
      <c r="A7" s="583"/>
      <c r="B7" s="541" t="s">
        <v>1960</v>
      </c>
      <c r="C7" s="146"/>
      <c r="D7" s="92"/>
      <c r="E7" s="92"/>
      <c r="F7" s="92"/>
      <c r="G7" s="633"/>
      <c r="H7" s="540">
        <f>H6+0.15</f>
        <v>5.25</v>
      </c>
      <c r="I7" s="541" t="s">
        <v>2343</v>
      </c>
      <c r="J7" s="92"/>
      <c r="K7" s="535"/>
      <c r="L7" s="4"/>
      <c r="M7" s="6"/>
    </row>
    <row r="8" spans="1:20" ht="16.5" customHeight="1" x14ac:dyDescent="0.2">
      <c r="A8" s="583"/>
      <c r="B8" s="146" t="s">
        <v>1808</v>
      </c>
      <c r="C8" s="146"/>
      <c r="D8" s="146"/>
      <c r="E8" s="146"/>
      <c r="F8" s="584"/>
      <c r="G8" s="633"/>
      <c r="H8" s="123">
        <f>H7-H16/2</f>
        <v>4.2</v>
      </c>
      <c r="I8" s="541" t="s">
        <v>2343</v>
      </c>
      <c r="J8" s="92"/>
      <c r="K8" s="535"/>
      <c r="L8" s="4"/>
      <c r="M8" s="6"/>
      <c r="N8" s="6"/>
      <c r="R8" s="334"/>
      <c r="S8" s="137"/>
      <c r="T8" s="6"/>
    </row>
    <row r="9" spans="1:20" ht="16.5" customHeight="1" x14ac:dyDescent="0.2">
      <c r="A9" s="583"/>
      <c r="B9" s="146" t="s">
        <v>1809</v>
      </c>
      <c r="C9" s="146"/>
      <c r="D9" s="146"/>
      <c r="E9" s="146"/>
      <c r="F9" s="584"/>
      <c r="G9" s="633"/>
      <c r="H9" s="123">
        <f>H8-H23/H20</f>
        <v>3.95</v>
      </c>
      <c r="I9" s="541" t="s">
        <v>2343</v>
      </c>
      <c r="J9" s="92"/>
      <c r="K9" s="535"/>
      <c r="L9" s="4"/>
      <c r="M9" s="6"/>
    </row>
    <row r="10" spans="1:20" ht="16.5" customHeight="1" thickBot="1" x14ac:dyDescent="0.25">
      <c r="A10" s="583"/>
      <c r="B10" s="712" t="s">
        <v>1858</v>
      </c>
      <c r="C10" s="713"/>
      <c r="D10" s="713"/>
      <c r="E10" s="713"/>
      <c r="F10" s="713"/>
      <c r="G10" s="714"/>
      <c r="H10" s="715">
        <f>'Basin (CS)'!F26</f>
        <v>3</v>
      </c>
      <c r="I10" s="712" t="s">
        <v>2343</v>
      </c>
      <c r="J10" s="713"/>
      <c r="K10" s="535"/>
      <c r="L10" s="4"/>
      <c r="M10" s="780">
        <f>(H8-H10)*2</f>
        <v>2.4000000000000004</v>
      </c>
      <c r="N10" s="511">
        <f>(H35-H31)/C35</f>
        <v>0.2160493827160494</v>
      </c>
    </row>
    <row r="11" spans="1:20" ht="16.5" customHeight="1" x14ac:dyDescent="0.2">
      <c r="A11" s="583"/>
      <c r="B11" s="146" t="s">
        <v>1806</v>
      </c>
      <c r="C11" s="146"/>
      <c r="D11" s="146"/>
      <c r="E11" s="146"/>
      <c r="F11" s="584"/>
      <c r="G11" s="633"/>
      <c r="H11" s="123">
        <f>'Basin (CS)'!F15</f>
        <v>-1.2</v>
      </c>
      <c r="I11" s="541" t="s">
        <v>2343</v>
      </c>
      <c r="J11" s="92"/>
      <c r="K11" s="535"/>
      <c r="L11" s="4"/>
      <c r="M11" s="6"/>
    </row>
    <row r="12" spans="1:20" ht="16.5" customHeight="1" x14ac:dyDescent="0.2">
      <c r="A12" s="583"/>
      <c r="B12" s="146" t="s">
        <v>390</v>
      </c>
      <c r="C12" s="92"/>
      <c r="D12" s="92"/>
      <c r="E12" s="92"/>
      <c r="F12" s="92"/>
      <c r="G12" s="20"/>
      <c r="H12" s="540">
        <f>H11-'Basin (CS)'!F21</f>
        <v>-1.2</v>
      </c>
      <c r="I12" s="541" t="s">
        <v>2343</v>
      </c>
      <c r="J12" s="92"/>
      <c r="K12" s="535"/>
      <c r="L12" s="4"/>
      <c r="M12" s="6"/>
      <c r="N12" s="7">
        <f>H31+N10*C35</f>
        <v>5</v>
      </c>
      <c r="O12" s="511" t="s">
        <v>2490</v>
      </c>
    </row>
    <row r="13" spans="1:20" ht="16.5" customHeight="1" x14ac:dyDescent="0.2">
      <c r="A13" s="583"/>
      <c r="B13" s="146" t="s">
        <v>391</v>
      </c>
      <c r="C13" s="92"/>
      <c r="D13" s="92"/>
      <c r="E13" s="92"/>
      <c r="F13" s="92"/>
      <c r="G13" s="20"/>
      <c r="H13" s="540">
        <f>'Basin (CS)'!F19</f>
        <v>-2.1</v>
      </c>
      <c r="I13" s="541" t="s">
        <v>2343</v>
      </c>
      <c r="J13" s="92"/>
      <c r="K13" s="535"/>
      <c r="L13" s="4"/>
      <c r="M13" s="6"/>
    </row>
    <row r="14" spans="1:20" ht="16.5" customHeight="1" x14ac:dyDescent="0.2">
      <c r="A14" s="583"/>
      <c r="B14" s="687" t="s">
        <v>2499</v>
      </c>
      <c r="C14" s="92"/>
      <c r="D14" s="92"/>
      <c r="E14" s="92"/>
      <c r="F14" s="92"/>
      <c r="G14" s="92"/>
      <c r="H14" s="92">
        <v>0.35</v>
      </c>
      <c r="I14" s="687" t="s">
        <v>386</v>
      </c>
      <c r="J14" s="92"/>
      <c r="K14" s="535"/>
      <c r="L14" s="4"/>
      <c r="M14" s="6"/>
    </row>
    <row r="15" spans="1:20" ht="16.5" customHeight="1" x14ac:dyDescent="0.2">
      <c r="A15" s="583"/>
      <c r="B15" s="146" t="s">
        <v>346</v>
      </c>
      <c r="C15" s="146"/>
      <c r="D15" s="146"/>
      <c r="E15" s="92"/>
      <c r="F15" s="92"/>
      <c r="G15" s="633"/>
      <c r="H15" s="540">
        <f>'Struct2(Barrel)'!E40</f>
        <v>1.8</v>
      </c>
      <c r="I15" s="146" t="s">
        <v>386</v>
      </c>
      <c r="J15" s="92"/>
      <c r="K15" s="535"/>
      <c r="L15" s="4"/>
      <c r="M15" s="6"/>
    </row>
    <row r="16" spans="1:20" ht="16.5" customHeight="1" x14ac:dyDescent="0.2">
      <c r="A16" s="583"/>
      <c r="B16" s="146" t="s">
        <v>347</v>
      </c>
      <c r="C16" s="146"/>
      <c r="D16" s="146"/>
      <c r="E16" s="92"/>
      <c r="F16" s="92"/>
      <c r="G16" s="633"/>
      <c r="H16" s="540">
        <f>'Struct2(Barrel)'!E39</f>
        <v>2.1</v>
      </c>
      <c r="I16" s="146" t="s">
        <v>386</v>
      </c>
      <c r="J16" s="92"/>
      <c r="K16" s="535"/>
      <c r="L16" s="4"/>
      <c r="M16" s="6"/>
      <c r="N16" s="7">
        <f>(E32-E35)/(C35-C32)</f>
        <v>3.4129692832764507</v>
      </c>
    </row>
    <row r="17" spans="1:15" ht="16.5" customHeight="1" x14ac:dyDescent="0.2">
      <c r="A17" s="534"/>
      <c r="B17" s="92"/>
      <c r="C17" s="92"/>
      <c r="D17" s="92"/>
      <c r="E17" s="92"/>
      <c r="F17" s="92"/>
      <c r="G17" s="92"/>
      <c r="H17" s="92"/>
      <c r="I17" s="92"/>
      <c r="J17" s="92"/>
      <c r="K17" s="535"/>
      <c r="L17" s="4"/>
      <c r="M17" s="6"/>
    </row>
    <row r="18" spans="1:15" ht="16.5" customHeight="1" x14ac:dyDescent="0.2">
      <c r="A18" s="583"/>
      <c r="B18" s="541" t="s">
        <v>1961</v>
      </c>
      <c r="C18" s="146"/>
      <c r="D18" s="146"/>
      <c r="E18" s="146"/>
      <c r="F18" s="584"/>
      <c r="G18" s="633"/>
      <c r="H18" s="1390">
        <f>H22+H19+H23</f>
        <v>16.2</v>
      </c>
      <c r="I18" s="1392" t="s">
        <v>24</v>
      </c>
      <c r="J18" s="92"/>
      <c r="K18" s="535"/>
      <c r="L18" s="4"/>
      <c r="M18" s="6"/>
      <c r="N18" s="7">
        <f>E32-N16*(C35-C32)</f>
        <v>650</v>
      </c>
      <c r="O18" s="511" t="s">
        <v>2490</v>
      </c>
    </row>
    <row r="19" spans="1:15" ht="16.5" customHeight="1" x14ac:dyDescent="0.2">
      <c r="A19" s="583"/>
      <c r="B19" s="146" t="s">
        <v>388</v>
      </c>
      <c r="C19" s="146"/>
      <c r="D19" s="146"/>
      <c r="E19" s="146"/>
      <c r="F19" s="584"/>
      <c r="G19" s="633"/>
      <c r="H19" s="1391">
        <f>(H12-H13)*3</f>
        <v>2.7</v>
      </c>
      <c r="I19" s="1392" t="s">
        <v>24</v>
      </c>
      <c r="J19" s="92"/>
      <c r="K19" s="535"/>
      <c r="L19" s="4"/>
      <c r="M19" s="6"/>
    </row>
    <row r="20" spans="1:15" ht="16.5" customHeight="1" x14ac:dyDescent="0.2">
      <c r="A20" s="583"/>
      <c r="B20" s="146" t="s">
        <v>1805</v>
      </c>
      <c r="C20" s="146"/>
      <c r="D20" s="146"/>
      <c r="E20" s="146"/>
      <c r="F20" s="584"/>
      <c r="G20" s="633">
        <v>1</v>
      </c>
      <c r="H20" s="555">
        <f>'Design Data'!G15</f>
        <v>2</v>
      </c>
      <c r="I20" s="92"/>
      <c r="J20" s="92"/>
      <c r="K20" s="535"/>
      <c r="L20" s="4"/>
      <c r="M20" s="6"/>
    </row>
    <row r="21" spans="1:15" ht="16.5" customHeight="1" x14ac:dyDescent="0.2">
      <c r="A21" s="583"/>
      <c r="B21" s="92"/>
      <c r="C21" s="92"/>
      <c r="D21" s="92"/>
      <c r="E21" s="92"/>
      <c r="F21" s="92"/>
      <c r="G21" s="92"/>
      <c r="H21" s="92"/>
      <c r="I21" s="92"/>
      <c r="J21" s="92"/>
      <c r="K21" s="535"/>
      <c r="L21" s="4"/>
      <c r="M21" s="6"/>
    </row>
    <row r="22" spans="1:15" ht="16.5" customHeight="1" x14ac:dyDescent="0.2">
      <c r="A22" s="583"/>
      <c r="B22" s="146" t="s">
        <v>389</v>
      </c>
      <c r="C22" s="146"/>
      <c r="D22" s="146"/>
      <c r="E22" s="146"/>
      <c r="F22" s="584"/>
      <c r="G22" s="633"/>
      <c r="H22" s="123">
        <f>'Basin (CS)'!H229</f>
        <v>13</v>
      </c>
      <c r="I22" s="146" t="s">
        <v>24</v>
      </c>
      <c r="J22" s="92"/>
      <c r="K22" s="535"/>
      <c r="L22" s="4"/>
      <c r="M22" s="6"/>
    </row>
    <row r="23" spans="1:15" x14ac:dyDescent="0.2">
      <c r="A23" s="534"/>
      <c r="B23" s="146" t="s">
        <v>1856</v>
      </c>
      <c r="C23" s="92"/>
      <c r="D23" s="92"/>
      <c r="E23" s="92"/>
      <c r="F23" s="92"/>
      <c r="G23" s="20"/>
      <c r="H23" s="123">
        <v>0.5</v>
      </c>
      <c r="I23" s="146" t="s">
        <v>24</v>
      </c>
      <c r="J23" s="92"/>
      <c r="K23" s="535"/>
      <c r="L23" s="32" t="s">
        <v>2</v>
      </c>
      <c r="M23" s="6" t="s">
        <v>3</v>
      </c>
    </row>
    <row r="24" spans="1:15" x14ac:dyDescent="0.2">
      <c r="A24" s="536"/>
      <c r="B24" s="687"/>
      <c r="C24" s="92"/>
      <c r="D24" s="92"/>
      <c r="E24" s="92"/>
      <c r="F24" s="92"/>
      <c r="G24" s="92"/>
      <c r="H24" s="92"/>
      <c r="I24" s="92" t="s">
        <v>199</v>
      </c>
      <c r="J24" s="92"/>
      <c r="K24" s="535"/>
      <c r="M24" s="6" t="s">
        <v>4</v>
      </c>
    </row>
    <row r="25" spans="1:15" x14ac:dyDescent="0.2">
      <c r="A25" s="583" t="s">
        <v>223</v>
      </c>
      <c r="B25" s="543"/>
      <c r="C25" s="543"/>
      <c r="D25" s="543"/>
      <c r="E25" s="92"/>
      <c r="F25" s="92"/>
      <c r="G25" s="92" t="s">
        <v>198</v>
      </c>
      <c r="H25" s="92"/>
      <c r="I25" s="92"/>
      <c r="J25" s="92"/>
      <c r="K25" s="535"/>
      <c r="M25" s="6" t="s">
        <v>5</v>
      </c>
    </row>
    <row r="26" spans="1:15" ht="13.5" thickBot="1" x14ac:dyDescent="0.25">
      <c r="A26" s="534"/>
      <c r="B26" s="92"/>
      <c r="C26" s="92"/>
      <c r="D26" s="92"/>
      <c r="E26" s="92"/>
      <c r="F26" s="92"/>
      <c r="G26" s="92"/>
      <c r="H26" s="92"/>
      <c r="I26" s="92"/>
      <c r="J26" s="92"/>
      <c r="K26" s="1388"/>
      <c r="M26" s="6" t="s">
        <v>6</v>
      </c>
    </row>
    <row r="27" spans="1:15" ht="13.5" thickTop="1" x14ac:dyDescent="0.2">
      <c r="A27" s="534"/>
      <c r="B27" s="8" t="s">
        <v>200</v>
      </c>
      <c r="C27" s="9" t="s">
        <v>201</v>
      </c>
      <c r="D27" s="1478" t="s">
        <v>202</v>
      </c>
      <c r="E27" s="1479"/>
      <c r="F27" s="1479"/>
      <c r="G27" s="1480" t="s">
        <v>193</v>
      </c>
      <c r="H27" s="1481"/>
      <c r="I27" s="420" t="s">
        <v>187</v>
      </c>
      <c r="J27" s="10" t="s">
        <v>193</v>
      </c>
      <c r="K27" s="1388">
        <f>(G32-G35)/(C35-C32)</f>
        <v>3.4129692832764507</v>
      </c>
      <c r="M27" s="6" t="s">
        <v>7</v>
      </c>
    </row>
    <row r="28" spans="1:15" x14ac:dyDescent="0.2">
      <c r="A28" s="534"/>
      <c r="B28" s="11"/>
      <c r="C28" s="12" t="s">
        <v>216</v>
      </c>
      <c r="D28" s="1465" t="s">
        <v>217</v>
      </c>
      <c r="E28" s="1467"/>
      <c r="F28" s="13" t="s">
        <v>218</v>
      </c>
      <c r="G28" s="13" t="s">
        <v>219</v>
      </c>
      <c r="H28" s="13" t="s">
        <v>220</v>
      </c>
      <c r="I28" s="13" t="s">
        <v>221</v>
      </c>
      <c r="J28" s="14" t="s">
        <v>220</v>
      </c>
      <c r="K28" s="1388">
        <f>G32-K27*(C35-C32)</f>
        <v>700</v>
      </c>
      <c r="M28" s="6" t="s">
        <v>8</v>
      </c>
    </row>
    <row r="29" spans="1:15" x14ac:dyDescent="0.2">
      <c r="A29" s="534"/>
      <c r="B29" s="15"/>
      <c r="C29" s="16" t="s">
        <v>214</v>
      </c>
      <c r="D29" s="17" t="s">
        <v>212</v>
      </c>
      <c r="E29" s="13" t="s">
        <v>213</v>
      </c>
      <c r="F29" s="12" t="s">
        <v>214</v>
      </c>
      <c r="G29" s="12" t="s">
        <v>215</v>
      </c>
      <c r="H29" s="12" t="s">
        <v>214</v>
      </c>
      <c r="I29" s="12" t="s">
        <v>214</v>
      </c>
      <c r="J29" s="18" t="s">
        <v>214</v>
      </c>
      <c r="K29" s="1388"/>
      <c r="M29" s="6" t="s">
        <v>9</v>
      </c>
    </row>
    <row r="30" spans="1:15" x14ac:dyDescent="0.2">
      <c r="A30" s="534"/>
      <c r="B30" s="62" t="s">
        <v>203</v>
      </c>
      <c r="C30" s="579" t="s">
        <v>204</v>
      </c>
      <c r="D30" s="63" t="s">
        <v>205</v>
      </c>
      <c r="E30" s="13" t="s">
        <v>206</v>
      </c>
      <c r="F30" s="13" t="s">
        <v>207</v>
      </c>
      <c r="G30" s="13" t="s">
        <v>208</v>
      </c>
      <c r="H30" s="13" t="s">
        <v>209</v>
      </c>
      <c r="I30" s="13" t="s">
        <v>210</v>
      </c>
      <c r="J30" s="14" t="s">
        <v>211</v>
      </c>
      <c r="K30" s="1388"/>
      <c r="M30" s="6" t="s">
        <v>12</v>
      </c>
    </row>
    <row r="31" spans="1:15" x14ac:dyDescent="0.2">
      <c r="A31" s="534"/>
      <c r="B31" s="64" t="s">
        <v>14</v>
      </c>
      <c r="C31" s="129">
        <v>0</v>
      </c>
      <c r="D31" s="61">
        <v>300</v>
      </c>
      <c r="E31" s="519">
        <v>700</v>
      </c>
      <c r="F31" s="60">
        <f>H9-H12</f>
        <v>5.15</v>
      </c>
      <c r="G31" s="61">
        <v>750</v>
      </c>
      <c r="H31" s="60">
        <f>O60</f>
        <v>1.5</v>
      </c>
      <c r="I31" s="65">
        <f>F31+G31/2000</f>
        <v>5.5250000000000004</v>
      </c>
      <c r="J31" s="65">
        <f>H31+E31/1000</f>
        <v>2.2000000000000002</v>
      </c>
      <c r="K31" s="1388">
        <f>(E32-E35)/(C35-C32)</f>
        <v>3.4129692832764507</v>
      </c>
      <c r="M31" s="6" t="s">
        <v>15</v>
      </c>
    </row>
    <row r="32" spans="1:15" x14ac:dyDescent="0.2">
      <c r="A32" s="534"/>
      <c r="B32" s="64" t="s">
        <v>16</v>
      </c>
      <c r="C32" s="60">
        <v>1.55</v>
      </c>
      <c r="D32" s="61">
        <v>300</v>
      </c>
      <c r="E32" s="519">
        <v>700</v>
      </c>
      <c r="F32" s="60">
        <f>H8-H12-C32/H20</f>
        <v>4.625</v>
      </c>
      <c r="G32" s="61">
        <v>750</v>
      </c>
      <c r="H32" s="60">
        <f>H31+N10*C32</f>
        <v>1.8348765432098766</v>
      </c>
      <c r="I32" s="65">
        <f>F32+G32/2000</f>
        <v>5</v>
      </c>
      <c r="J32" s="65">
        <f>H32+E32/1000</f>
        <v>2.5348765432098768</v>
      </c>
      <c r="K32" s="1388">
        <f>E32-K31*(C35-C32)</f>
        <v>650</v>
      </c>
      <c r="M32" s="6" t="s">
        <v>17</v>
      </c>
    </row>
    <row r="33" spans="1:17" x14ac:dyDescent="0.2">
      <c r="A33" s="534"/>
      <c r="B33" s="64" t="s">
        <v>18</v>
      </c>
      <c r="C33" s="60">
        <v>3.2</v>
      </c>
      <c r="D33" s="61">
        <v>300</v>
      </c>
      <c r="E33" s="519">
        <v>675</v>
      </c>
      <c r="F33" s="60">
        <f>H10-H13</f>
        <v>5.0999999999999996</v>
      </c>
      <c r="G33" s="61">
        <f>G32-K27*(C33-C32)</f>
        <v>744.36860068259386</v>
      </c>
      <c r="H33" s="60">
        <f>H31+N10*C33</f>
        <v>2.191358024691358</v>
      </c>
      <c r="I33" s="65">
        <f>F33+G33/2000</f>
        <v>5.4721843003412962</v>
      </c>
      <c r="J33" s="65">
        <f>H33+E33/1000</f>
        <v>2.8663580246913583</v>
      </c>
      <c r="K33" s="1388"/>
      <c r="M33" s="6"/>
    </row>
    <row r="34" spans="1:17" x14ac:dyDescent="0.2">
      <c r="A34" s="534"/>
      <c r="B34" s="1408" t="s">
        <v>286</v>
      </c>
      <c r="C34" s="60">
        <v>9.6999999999999993</v>
      </c>
      <c r="D34" s="61">
        <v>300</v>
      </c>
      <c r="E34" s="519">
        <v>675</v>
      </c>
      <c r="F34" s="60">
        <f>H10-H13</f>
        <v>5.0999999999999996</v>
      </c>
      <c r="G34" s="61">
        <f>G32-K27*(C34-C33)</f>
        <v>727.81569965870312</v>
      </c>
      <c r="H34" s="60">
        <f>H31+N10*C34</f>
        <v>3.5956790123456792</v>
      </c>
      <c r="I34" s="53">
        <f>F34+G34/2000</f>
        <v>5.4639078498293507</v>
      </c>
      <c r="J34" s="53">
        <f>H34+E34/1000</f>
        <v>4.2706790123456795</v>
      </c>
      <c r="K34" s="535"/>
      <c r="M34" s="6"/>
    </row>
    <row r="35" spans="1:17" x14ac:dyDescent="0.2">
      <c r="A35" s="534"/>
      <c r="B35" s="59" t="s">
        <v>295</v>
      </c>
      <c r="C35" s="60">
        <f>H18</f>
        <v>16.2</v>
      </c>
      <c r="D35" s="61">
        <v>300</v>
      </c>
      <c r="E35" s="519">
        <v>650</v>
      </c>
      <c r="F35" s="60">
        <f>H10-H13</f>
        <v>5.0999999999999996</v>
      </c>
      <c r="G35" s="519">
        <v>700</v>
      </c>
      <c r="H35" s="60">
        <f>O64</f>
        <v>5</v>
      </c>
      <c r="I35" s="65">
        <f>F35+G35/2000</f>
        <v>5.4499999999999993</v>
      </c>
      <c r="J35" s="65">
        <f>H35+E35/1000</f>
        <v>5.65</v>
      </c>
      <c r="K35" s="535"/>
      <c r="M35" s="6" t="s">
        <v>11</v>
      </c>
    </row>
    <row r="36" spans="1:17" x14ac:dyDescent="0.2">
      <c r="A36" s="534"/>
      <c r="B36" s="161"/>
      <c r="C36" s="34"/>
      <c r="D36" s="35"/>
      <c r="E36" s="35"/>
      <c r="F36" s="34"/>
      <c r="G36" s="35"/>
      <c r="H36" s="34"/>
      <c r="I36" s="162"/>
      <c r="J36" s="162"/>
      <c r="K36" s="535"/>
      <c r="M36" s="6"/>
    </row>
    <row r="37" spans="1:17" x14ac:dyDescent="0.2">
      <c r="A37" s="534"/>
      <c r="B37" s="146" t="s">
        <v>19</v>
      </c>
      <c r="C37" s="92"/>
      <c r="D37" s="92"/>
      <c r="E37" s="92"/>
      <c r="F37" s="92"/>
      <c r="G37" s="92"/>
      <c r="H37" s="92"/>
      <c r="I37" s="92"/>
      <c r="J37" s="92"/>
      <c r="K37" s="535"/>
      <c r="M37" s="6" t="s">
        <v>20</v>
      </c>
    </row>
    <row r="38" spans="1:17" x14ac:dyDescent="0.2">
      <c r="A38" s="534"/>
      <c r="B38" s="146" t="s">
        <v>21</v>
      </c>
      <c r="C38" s="92"/>
      <c r="D38" s="92"/>
      <c r="E38" s="92"/>
      <c r="F38" s="92"/>
      <c r="G38" s="92"/>
      <c r="H38" s="92"/>
      <c r="I38" s="92"/>
      <c r="J38" s="92"/>
      <c r="K38" s="535"/>
      <c r="M38" s="6" t="s">
        <v>13</v>
      </c>
    </row>
    <row r="39" spans="1:17" x14ac:dyDescent="0.2">
      <c r="A39" s="534"/>
      <c r="B39" s="92"/>
      <c r="C39" s="92"/>
      <c r="D39" s="92"/>
      <c r="E39" s="92"/>
      <c r="F39" s="92"/>
      <c r="G39" s="92"/>
      <c r="H39" s="92"/>
      <c r="I39" s="92"/>
      <c r="J39" s="92"/>
      <c r="K39" s="535"/>
      <c r="M39" s="6" t="s">
        <v>22</v>
      </c>
    </row>
    <row r="40" spans="1:17" x14ac:dyDescent="0.2">
      <c r="A40" s="534"/>
      <c r="B40" s="146" t="s">
        <v>23</v>
      </c>
      <c r="C40" s="92"/>
      <c r="D40" s="92"/>
      <c r="E40" s="92"/>
      <c r="F40" s="92"/>
      <c r="G40" s="123">
        <f>SQRT(MAX(C31:C35)^2+((MAX(H31:H35)-H31)/2)^2)</f>
        <v>16.294247451171227</v>
      </c>
      <c r="H40" s="146" t="s">
        <v>24</v>
      </c>
      <c r="I40" s="92"/>
      <c r="J40" s="92"/>
      <c r="K40" s="535"/>
      <c r="M40" s="6" t="s">
        <v>25</v>
      </c>
    </row>
    <row r="41" spans="1:17" x14ac:dyDescent="0.2">
      <c r="A41" s="534"/>
      <c r="B41" s="92"/>
      <c r="C41" s="92"/>
      <c r="D41" s="92"/>
      <c r="E41" s="92"/>
      <c r="F41" s="92"/>
      <c r="G41" s="92"/>
      <c r="H41" s="92"/>
      <c r="I41" s="92"/>
      <c r="J41" s="92"/>
      <c r="K41" s="535"/>
      <c r="M41" s="6" t="s">
        <v>26</v>
      </c>
      <c r="Q41" s="6" t="s">
        <v>27</v>
      </c>
    </row>
    <row r="42" spans="1:17" ht="15.75" x14ac:dyDescent="0.3">
      <c r="A42" s="534"/>
      <c r="B42" s="146" t="s">
        <v>262</v>
      </c>
      <c r="C42" s="92"/>
      <c r="D42" s="92"/>
      <c r="E42" s="92"/>
      <c r="F42" s="92"/>
      <c r="G42" s="92"/>
      <c r="H42" s="544">
        <v>77</v>
      </c>
      <c r="I42" s="146" t="s">
        <v>28</v>
      </c>
      <c r="J42" s="545">
        <f>H42*6.366</f>
        <v>490.18199999999996</v>
      </c>
      <c r="K42" s="535" t="s">
        <v>414</v>
      </c>
      <c r="M42" s="6" t="s">
        <v>29</v>
      </c>
    </row>
    <row r="43" spans="1:17" ht="15.75" x14ac:dyDescent="0.3">
      <c r="A43" s="534"/>
      <c r="B43" s="146" t="s">
        <v>260</v>
      </c>
      <c r="C43" s="92"/>
      <c r="D43" s="92"/>
      <c r="E43" s="92"/>
      <c r="F43" s="92"/>
      <c r="G43" s="92"/>
      <c r="H43" s="36">
        <v>23.6</v>
      </c>
      <c r="I43" s="146" t="s">
        <v>28</v>
      </c>
      <c r="J43" s="545">
        <f>H43*6.366</f>
        <v>150.23760000000001</v>
      </c>
      <c r="K43" s="535" t="s">
        <v>414</v>
      </c>
      <c r="M43" s="6" t="s">
        <v>30</v>
      </c>
    </row>
    <row r="44" spans="1:17" ht="15.75" x14ac:dyDescent="0.3">
      <c r="A44" s="534"/>
      <c r="B44" s="146" t="s">
        <v>261</v>
      </c>
      <c r="C44" s="92"/>
      <c r="D44" s="92"/>
      <c r="E44" s="92"/>
      <c r="F44" s="92"/>
      <c r="G44" s="92"/>
      <c r="H44" s="36">
        <v>19.600000000000001</v>
      </c>
      <c r="I44" s="146" t="s">
        <v>28</v>
      </c>
      <c r="J44" s="545">
        <f>H44*6.366</f>
        <v>124.7736</v>
      </c>
      <c r="K44" s="535" t="s">
        <v>414</v>
      </c>
    </row>
    <row r="45" spans="1:17" ht="13.5" x14ac:dyDescent="0.2">
      <c r="A45" s="534"/>
      <c r="B45" s="146" t="s">
        <v>31</v>
      </c>
      <c r="C45" s="92"/>
      <c r="D45" s="92"/>
      <c r="E45" s="92"/>
      <c r="F45" s="92"/>
      <c r="G45" s="92"/>
      <c r="H45" s="35">
        <f>'Design Data'!D45</f>
        <v>18</v>
      </c>
      <c r="I45" s="146" t="s">
        <v>32</v>
      </c>
      <c r="J45" s="92"/>
      <c r="K45" s="535"/>
      <c r="M45" s="1420" t="s">
        <v>2600</v>
      </c>
      <c r="N45" s="7" t="s">
        <v>330</v>
      </c>
    </row>
    <row r="46" spans="1:17" ht="13.5" thickBot="1" x14ac:dyDescent="0.25">
      <c r="A46" s="546"/>
      <c r="B46" s="547" t="s">
        <v>33</v>
      </c>
      <c r="C46" s="512"/>
      <c r="D46" s="512"/>
      <c r="E46" s="512"/>
      <c r="F46" s="512"/>
      <c r="G46" s="512"/>
      <c r="H46" s="548">
        <f>(1-SIN(H45*PI()/180))/(1+SIN(H45*PI()/180))</f>
        <v>0.52786404500042061</v>
      </c>
      <c r="I46" s="512"/>
      <c r="J46" s="512"/>
      <c r="K46" s="629" t="s">
        <v>2420</v>
      </c>
    </row>
    <row r="48" spans="1:17" x14ac:dyDescent="0.2">
      <c r="B48" s="6" t="s">
        <v>34</v>
      </c>
      <c r="H48" s="132">
        <f>'Struct2(Barrel)'!F42</f>
        <v>414000</v>
      </c>
      <c r="I48" s="6" t="s">
        <v>35</v>
      </c>
      <c r="J48" s="166">
        <f>H48/6.895</f>
        <v>60043.509789702686</v>
      </c>
      <c r="K48" s="7" t="s">
        <v>413</v>
      </c>
    </row>
    <row r="49" spans="2:18" x14ac:dyDescent="0.2">
      <c r="B49" s="6" t="s">
        <v>36</v>
      </c>
      <c r="H49" s="3">
        <f>'Struct2(Barrel)'!F43</f>
        <v>22000</v>
      </c>
      <c r="I49" s="6" t="s">
        <v>35</v>
      </c>
      <c r="J49" s="166">
        <f>H49/6.895</f>
        <v>3190.7179115300946</v>
      </c>
      <c r="K49" s="29" t="s">
        <v>413</v>
      </c>
      <c r="L49" s="29"/>
      <c r="M49" s="133" t="s">
        <v>333</v>
      </c>
      <c r="N49" s="133"/>
      <c r="O49" s="133" t="s">
        <v>334</v>
      </c>
      <c r="P49" s="133">
        <f>'Basin (CS)'!F12</f>
        <v>1</v>
      </c>
      <c r="Q49" s="133" t="s">
        <v>342</v>
      </c>
    </row>
    <row r="50" spans="2:18" x14ac:dyDescent="0.2">
      <c r="J50" s="166"/>
      <c r="M50" s="133" t="s">
        <v>335</v>
      </c>
      <c r="N50" s="133"/>
      <c r="O50" s="356" t="s">
        <v>1963</v>
      </c>
      <c r="P50" s="165">
        <f>'Basin (CS)'!F14</f>
        <v>1.5</v>
      </c>
      <c r="Q50" s="133" t="s">
        <v>24</v>
      </c>
    </row>
    <row r="51" spans="2:18" x14ac:dyDescent="0.2">
      <c r="B51" s="6" t="s">
        <v>348</v>
      </c>
      <c r="G51" s="22"/>
      <c r="H51" s="23">
        <f>0.45*H48</f>
        <v>186300</v>
      </c>
      <c r="I51" s="6" t="s">
        <v>35</v>
      </c>
      <c r="J51" s="166"/>
      <c r="M51" s="133" t="s">
        <v>415</v>
      </c>
      <c r="N51" s="133"/>
      <c r="O51" s="133" t="s">
        <v>416</v>
      </c>
      <c r="P51" s="133">
        <f>'Basin (CS)'!F20</f>
        <v>0</v>
      </c>
      <c r="Q51" s="133" t="s">
        <v>24</v>
      </c>
    </row>
    <row r="52" spans="2:18" x14ac:dyDescent="0.2">
      <c r="B52" s="6" t="s">
        <v>327</v>
      </c>
      <c r="F52" s="4"/>
      <c r="G52" s="6"/>
      <c r="H52" s="23">
        <f>0.4*H49</f>
        <v>8800</v>
      </c>
      <c r="I52" s="6" t="s">
        <v>35</v>
      </c>
      <c r="J52" s="166"/>
      <c r="M52" s="133" t="s">
        <v>336</v>
      </c>
      <c r="N52" s="133"/>
      <c r="O52" s="133" t="s">
        <v>337</v>
      </c>
      <c r="P52" s="165">
        <v>0.7</v>
      </c>
      <c r="Q52" s="133" t="s">
        <v>24</v>
      </c>
    </row>
    <row r="53" spans="2:18" x14ac:dyDescent="0.2">
      <c r="J53" s="166"/>
      <c r="M53" s="134" t="s">
        <v>338</v>
      </c>
      <c r="N53" s="133"/>
      <c r="O53" s="133" t="s">
        <v>339</v>
      </c>
      <c r="P53" s="133">
        <f>'Basin (CS)'!F23</f>
        <v>8</v>
      </c>
      <c r="Q53" s="133" t="s">
        <v>32</v>
      </c>
    </row>
    <row r="54" spans="2:18" x14ac:dyDescent="0.2">
      <c r="B54" s="6" t="s">
        <v>328</v>
      </c>
      <c r="F54" s="4"/>
      <c r="G54" s="6"/>
      <c r="H54" s="23">
        <f>2.89*SQRT($H$49)</f>
        <v>428.65627255412932</v>
      </c>
      <c r="I54" s="6" t="s">
        <v>35</v>
      </c>
      <c r="J54" s="166"/>
      <c r="M54" s="135" t="s">
        <v>340</v>
      </c>
      <c r="N54" s="133"/>
      <c r="O54" s="133" t="s">
        <v>341</v>
      </c>
      <c r="P54" s="133"/>
      <c r="Q54" s="133" t="s">
        <v>24</v>
      </c>
    </row>
    <row r="55" spans="2:18" x14ac:dyDescent="0.2">
      <c r="J55" s="166"/>
      <c r="M55" s="133" t="s">
        <v>343</v>
      </c>
      <c r="N55" s="133"/>
      <c r="O55" s="133" t="s">
        <v>204</v>
      </c>
      <c r="P55" s="165">
        <f>MAX(C31:C35)</f>
        <v>16.2</v>
      </c>
      <c r="Q55" s="133" t="s">
        <v>24</v>
      </c>
    </row>
    <row r="56" spans="2:18" x14ac:dyDescent="0.2">
      <c r="B56" s="6" t="s">
        <v>329</v>
      </c>
      <c r="F56" s="4"/>
      <c r="G56" s="6"/>
      <c r="H56" s="23">
        <f>113.4*SQRT($H$49)</f>
        <v>16819.938168732966</v>
      </c>
      <c r="I56" s="6" t="s">
        <v>37</v>
      </c>
      <c r="J56" s="166"/>
    </row>
    <row r="57" spans="2:18" x14ac:dyDescent="0.2">
      <c r="B57" s="6" t="s">
        <v>38</v>
      </c>
      <c r="F57" s="6" t="s">
        <v>39</v>
      </c>
      <c r="H57" s="30">
        <v>1103</v>
      </c>
      <c r="I57" s="6" t="s">
        <v>227</v>
      </c>
      <c r="M57" s="133" t="s">
        <v>332</v>
      </c>
      <c r="N57" s="133"/>
      <c r="O57" s="133"/>
      <c r="P57" s="332"/>
    </row>
    <row r="58" spans="2:18" x14ac:dyDescent="0.2">
      <c r="M58" s="133"/>
      <c r="N58" s="356" t="s">
        <v>1965</v>
      </c>
      <c r="O58" s="133"/>
      <c r="P58" s="133"/>
      <c r="Q58" s="356" t="s">
        <v>218</v>
      </c>
    </row>
    <row r="59" spans="2:18" x14ac:dyDescent="0.2">
      <c r="B59" s="6" t="s">
        <v>40</v>
      </c>
      <c r="H59" s="3">
        <v>196000000</v>
      </c>
      <c r="I59" s="6" t="s">
        <v>35</v>
      </c>
      <c r="M59" s="356" t="s">
        <v>1973</v>
      </c>
      <c r="N59" s="29">
        <f>0</f>
        <v>0</v>
      </c>
      <c r="O59" s="135">
        <f>P49*P50+2*P51+(P49-1)*P52</f>
        <v>1.5</v>
      </c>
      <c r="P59" s="358" t="s">
        <v>24</v>
      </c>
      <c r="Q59" s="165">
        <f>ROUND((H8-H12),1)</f>
        <v>5.4</v>
      </c>
      <c r="R59" s="357" t="s">
        <v>24</v>
      </c>
    </row>
    <row r="60" spans="2:18" x14ac:dyDescent="0.2">
      <c r="B60" s="6" t="s">
        <v>41</v>
      </c>
      <c r="H60" s="3">
        <v>19800000</v>
      </c>
      <c r="I60" s="6" t="s">
        <v>35</v>
      </c>
      <c r="M60" s="356" t="s">
        <v>1968</v>
      </c>
      <c r="N60" s="29">
        <f>C31</f>
        <v>0</v>
      </c>
      <c r="O60" s="135">
        <f>O59</f>
        <v>1.5</v>
      </c>
      <c r="P60" s="358" t="s">
        <v>24</v>
      </c>
      <c r="Q60" s="165">
        <f>Q59</f>
        <v>5.4</v>
      </c>
      <c r="R60" s="357" t="s">
        <v>24</v>
      </c>
    </row>
    <row r="61" spans="2:18" x14ac:dyDescent="0.2">
      <c r="H61" s="130"/>
      <c r="M61" s="356" t="s">
        <v>1969</v>
      </c>
      <c r="N61" s="29">
        <f>C32</f>
        <v>1.55</v>
      </c>
      <c r="O61" s="135">
        <f>P49*P50+2*P51+(P49-1)*P52+2*(C32-H23)*TAN(P53*PI()/180)</f>
        <v>1.795135752875022</v>
      </c>
      <c r="P61" s="358" t="s">
        <v>24</v>
      </c>
      <c r="Q61" s="165">
        <f>IF((H8-C32/H20-H13)&lt;=(H10-H13),(H10-H13),(H8-C32/H20-H13))</f>
        <v>5.5250000000000004</v>
      </c>
      <c r="R61" s="357" t="s">
        <v>24</v>
      </c>
    </row>
    <row r="62" spans="2:18" x14ac:dyDescent="0.2">
      <c r="B62" s="6" t="s">
        <v>42</v>
      </c>
      <c r="H62" s="5">
        <f>'Struct2(Barrel)'!F50</f>
        <v>75</v>
      </c>
      <c r="I62" s="6" t="s">
        <v>43</v>
      </c>
      <c r="M62" s="356" t="s">
        <v>1970</v>
      </c>
      <c r="N62" s="29">
        <f>C33</f>
        <v>3.2</v>
      </c>
      <c r="O62" s="135">
        <f>P49*P50+2*P51+(P49-1)*P52+2*(C33-H23)*TAN(P53*PI()/180)</f>
        <v>2.2589205073929142</v>
      </c>
      <c r="P62" s="358" t="s">
        <v>24</v>
      </c>
      <c r="Q62" s="165">
        <f>IF((H8-C33/H20-H13)&lt;=(H10-H13),(H10-H13),(H8-C33/H20-H13))</f>
        <v>5.0999999999999996</v>
      </c>
      <c r="R62" s="357" t="s">
        <v>24</v>
      </c>
    </row>
    <row r="63" spans="2:18" x14ac:dyDescent="0.2">
      <c r="M63" s="356" t="s">
        <v>1971</v>
      </c>
      <c r="N63" s="29">
        <f>C34</f>
        <v>9.6999999999999993</v>
      </c>
      <c r="O63" s="135">
        <f>P49*P50+2*P51+(P49-1)*P52+2*(C34-H23)*TAN(P53*PI()/180)</f>
        <v>4.085951358524003</v>
      </c>
      <c r="P63" s="358" t="s">
        <v>24</v>
      </c>
      <c r="Q63" s="165">
        <f>IF((H8-C34/H20-H13)&lt;=(H10-H13),(H10-H13),(H8-C34/H20-H13))</f>
        <v>5.0999999999999996</v>
      </c>
      <c r="R63" s="357" t="s">
        <v>24</v>
      </c>
    </row>
    <row r="64" spans="2:18" x14ac:dyDescent="0.2">
      <c r="B64" s="6" t="s">
        <v>228</v>
      </c>
      <c r="H64" s="29">
        <v>1</v>
      </c>
      <c r="I64" s="6" t="s">
        <v>24</v>
      </c>
      <c r="M64" s="356" t="s">
        <v>1972</v>
      </c>
      <c r="N64" s="29">
        <f>C35</f>
        <v>16.2</v>
      </c>
      <c r="O64" s="135">
        <f>'Basin (CS)'!F240</f>
        <v>5</v>
      </c>
      <c r="P64" s="358" t="s">
        <v>24</v>
      </c>
      <c r="Q64" s="165">
        <f>IF((H8-C35/H20-H13)&lt;=(H10-H13),(H10-H13),(H8-C35/H20-H13))</f>
        <v>5.0999999999999996</v>
      </c>
      <c r="R64" s="357" t="s">
        <v>24</v>
      </c>
    </row>
    <row r="65" spans="1:13" x14ac:dyDescent="0.2">
      <c r="B65" s="6" t="s">
        <v>44</v>
      </c>
      <c r="G65" s="21">
        <f>H59/H60</f>
        <v>9.8989898989898997</v>
      </c>
    </row>
    <row r="66" spans="1:13" x14ac:dyDescent="0.2">
      <c r="B66" s="6" t="s">
        <v>45</v>
      </c>
      <c r="G66" s="24">
        <f>H51/H52</f>
        <v>21.170454545454547</v>
      </c>
    </row>
    <row r="67" spans="1:13" x14ac:dyDescent="0.2">
      <c r="B67" s="6" t="s">
        <v>46</v>
      </c>
      <c r="G67" s="25">
        <f>G65/(G65+G66)</f>
        <v>0.31860852602917872</v>
      </c>
    </row>
    <row r="68" spans="1:13" x14ac:dyDescent="0.2">
      <c r="B68" s="6" t="s">
        <v>47</v>
      </c>
      <c r="G68" s="25">
        <f>1-G67/3</f>
        <v>0.89379715799027371</v>
      </c>
      <c r="M68" s="131"/>
    </row>
    <row r="69" spans="1:13" ht="13.5" thickBot="1" x14ac:dyDescent="0.25">
      <c r="B69" s="6" t="s">
        <v>48</v>
      </c>
      <c r="G69" s="23">
        <f>H52*G68*G67/2</f>
        <v>1252.9941383359403</v>
      </c>
      <c r="H69" s="6" t="s">
        <v>35</v>
      </c>
    </row>
    <row r="70" spans="1:13" x14ac:dyDescent="0.2">
      <c r="A70" s="530"/>
      <c r="B70" s="532"/>
      <c r="C70" s="532"/>
      <c r="D70" s="532"/>
      <c r="E70" s="532"/>
      <c r="F70" s="532"/>
      <c r="G70" s="532"/>
      <c r="H70" s="532"/>
      <c r="I70" s="532"/>
      <c r="J70" s="532"/>
      <c r="K70" s="533"/>
    </row>
    <row r="71" spans="1:13" x14ac:dyDescent="0.2">
      <c r="A71" s="536"/>
      <c r="B71" s="92"/>
      <c r="C71" s="92"/>
      <c r="D71" s="92"/>
      <c r="E71" s="92"/>
      <c r="F71" s="92"/>
      <c r="G71" s="92"/>
      <c r="H71" s="92"/>
      <c r="I71" s="92"/>
      <c r="J71" s="92"/>
      <c r="K71" s="535"/>
    </row>
    <row r="72" spans="1:13" x14ac:dyDescent="0.2">
      <c r="A72" s="534"/>
      <c r="B72" s="92"/>
      <c r="C72" s="146"/>
      <c r="D72" s="92"/>
      <c r="E72" s="146"/>
      <c r="F72" s="92"/>
      <c r="G72" s="146"/>
      <c r="H72" s="92"/>
      <c r="I72" s="146"/>
      <c r="J72" s="92"/>
      <c r="K72" s="535"/>
    </row>
    <row r="73" spans="1:13" x14ac:dyDescent="0.2">
      <c r="A73" s="534"/>
      <c r="B73" s="92"/>
      <c r="C73" s="146"/>
      <c r="D73" s="92"/>
      <c r="E73" s="146"/>
      <c r="F73" s="92"/>
      <c r="G73" s="146"/>
      <c r="H73" s="92"/>
      <c r="I73" s="146"/>
      <c r="J73" s="92"/>
      <c r="K73" s="535"/>
    </row>
    <row r="74" spans="1:13" x14ac:dyDescent="0.2">
      <c r="A74" s="534"/>
      <c r="B74" s="92"/>
      <c r="C74" s="146" t="s">
        <v>49</v>
      </c>
      <c r="D74" s="92"/>
      <c r="E74" s="146"/>
      <c r="F74" s="92"/>
      <c r="G74" s="146"/>
      <c r="H74" s="146"/>
      <c r="I74" s="146"/>
      <c r="J74" s="92"/>
      <c r="K74" s="535"/>
    </row>
    <row r="75" spans="1:13" x14ac:dyDescent="0.2">
      <c r="A75" s="534"/>
      <c r="B75" s="92"/>
      <c r="C75" s="146" t="s">
        <v>49</v>
      </c>
      <c r="D75" s="92"/>
      <c r="E75" s="146"/>
      <c r="F75" s="92"/>
      <c r="G75" s="146"/>
      <c r="H75" s="92"/>
      <c r="I75" s="146"/>
      <c r="J75" s="549"/>
      <c r="K75" s="535"/>
    </row>
    <row r="76" spans="1:13" x14ac:dyDescent="0.2">
      <c r="A76" s="534"/>
      <c r="B76" s="92"/>
      <c r="C76" s="146" t="s">
        <v>49</v>
      </c>
      <c r="D76" s="92"/>
      <c r="E76" s="146"/>
      <c r="F76" s="92"/>
      <c r="G76" s="146"/>
      <c r="H76" s="92"/>
      <c r="I76" s="146"/>
      <c r="J76" s="146"/>
      <c r="K76" s="535"/>
    </row>
    <row r="77" spans="1:13" x14ac:dyDescent="0.2">
      <c r="A77" s="534"/>
      <c r="B77" s="550">
        <f>O59</f>
        <v>1.5</v>
      </c>
      <c r="C77" s="146" t="s">
        <v>49</v>
      </c>
      <c r="D77" s="551">
        <f>H32</f>
        <v>1.8348765432098766</v>
      </c>
      <c r="E77" s="146"/>
      <c r="F77" s="552">
        <f>H33</f>
        <v>2.191358024691358</v>
      </c>
      <c r="G77" s="92"/>
      <c r="H77" s="124">
        <f>H34</f>
        <v>3.5956790123456792</v>
      </c>
      <c r="I77" s="540"/>
      <c r="J77" s="549"/>
      <c r="K77" s="554">
        <f>H35</f>
        <v>5</v>
      </c>
    </row>
    <row r="78" spans="1:13" x14ac:dyDescent="0.2">
      <c r="A78" s="534"/>
      <c r="B78" s="146"/>
      <c r="C78" s="146"/>
      <c r="D78" s="146"/>
      <c r="E78" s="92"/>
      <c r="F78" s="92"/>
      <c r="G78" s="146"/>
      <c r="H78" s="92"/>
      <c r="I78" s="146"/>
      <c r="J78" s="549"/>
      <c r="K78" s="535"/>
    </row>
    <row r="79" spans="1:13" x14ac:dyDescent="0.2">
      <c r="A79" s="534"/>
      <c r="B79" s="146"/>
      <c r="C79" s="146"/>
      <c r="D79" s="92"/>
      <c r="E79" s="146"/>
      <c r="F79" s="92"/>
      <c r="G79" s="146"/>
      <c r="H79" s="92"/>
      <c r="I79" s="146"/>
      <c r="J79" s="549"/>
      <c r="K79" s="535"/>
    </row>
    <row r="80" spans="1:13" x14ac:dyDescent="0.2">
      <c r="A80" s="534"/>
      <c r="B80" s="146"/>
      <c r="C80" s="146"/>
      <c r="D80" s="92"/>
      <c r="E80" s="146"/>
      <c r="F80" s="92"/>
      <c r="G80" s="146"/>
      <c r="H80" s="92"/>
      <c r="I80" s="146"/>
      <c r="J80" s="549"/>
      <c r="K80" s="535"/>
    </row>
    <row r="81" spans="1:11" x14ac:dyDescent="0.2">
      <c r="A81" s="534"/>
      <c r="B81" s="146"/>
      <c r="C81" s="146"/>
      <c r="D81" s="92"/>
      <c r="E81" s="146"/>
      <c r="F81" s="92"/>
      <c r="G81" s="146"/>
      <c r="H81" s="92"/>
      <c r="I81" s="146"/>
      <c r="J81" s="549"/>
      <c r="K81" s="535"/>
    </row>
    <row r="82" spans="1:11" x14ac:dyDescent="0.2">
      <c r="A82" s="534"/>
      <c r="B82" s="20"/>
      <c r="C82" s="146"/>
      <c r="D82" s="92"/>
      <c r="E82" s="146"/>
      <c r="F82" s="92"/>
      <c r="G82" s="146"/>
      <c r="H82" s="92"/>
      <c r="I82" s="146"/>
      <c r="J82" s="555"/>
      <c r="K82" s="556"/>
    </row>
    <row r="83" spans="1:11" x14ac:dyDescent="0.2">
      <c r="A83" s="534"/>
      <c r="B83" s="146"/>
      <c r="C83" s="92"/>
      <c r="D83" s="92"/>
      <c r="E83" s="146"/>
      <c r="F83" s="92"/>
      <c r="G83" s="146"/>
      <c r="H83" s="92"/>
      <c r="I83" s="146"/>
      <c r="J83" s="549"/>
      <c r="K83" s="535"/>
    </row>
    <row r="84" spans="1:11" x14ac:dyDescent="0.2">
      <c r="A84" s="534"/>
      <c r="B84" s="146"/>
      <c r="C84" s="146"/>
      <c r="D84" s="92"/>
      <c r="E84" s="146"/>
      <c r="F84" s="92"/>
      <c r="G84" s="146"/>
      <c r="H84" s="92"/>
      <c r="I84" s="146"/>
      <c r="J84" s="549"/>
      <c r="K84" s="535"/>
    </row>
    <row r="85" spans="1:11" x14ac:dyDescent="0.2">
      <c r="A85" s="534"/>
      <c r="B85" s="146"/>
      <c r="C85" s="146"/>
      <c r="D85" s="92"/>
      <c r="E85" s="146"/>
      <c r="F85" s="92"/>
      <c r="G85" s="146"/>
      <c r="H85" s="92"/>
      <c r="I85" s="146"/>
      <c r="J85" s="549"/>
      <c r="K85" s="535"/>
    </row>
    <row r="86" spans="1:11" x14ac:dyDescent="0.2">
      <c r="A86" s="534"/>
      <c r="B86" s="146"/>
      <c r="C86" s="634">
        <f>H8</f>
        <v>4.2</v>
      </c>
      <c r="D86" s="541" t="s">
        <v>2362</v>
      </c>
      <c r="E86" s="92"/>
      <c r="F86" s="92"/>
      <c r="G86" s="146"/>
      <c r="H86" s="92"/>
      <c r="I86" s="146"/>
      <c r="J86" s="549"/>
      <c r="K86" s="535"/>
    </row>
    <row r="87" spans="1:11" x14ac:dyDescent="0.2">
      <c r="A87" s="534"/>
      <c r="B87" s="92"/>
      <c r="C87" s="540">
        <f>H9</f>
        <v>3.95</v>
      </c>
      <c r="D87" s="371" t="s">
        <v>2362</v>
      </c>
      <c r="E87" s="146"/>
      <c r="F87" s="540"/>
      <c r="G87" s="92"/>
      <c r="H87" s="92"/>
      <c r="I87" s="146"/>
      <c r="J87" s="549"/>
      <c r="K87" s="535"/>
    </row>
    <row r="88" spans="1:11" x14ac:dyDescent="0.2">
      <c r="A88" s="534"/>
      <c r="B88" s="92"/>
      <c r="C88" s="146"/>
      <c r="D88" s="92"/>
      <c r="E88" s="146"/>
      <c r="F88" s="124">
        <f>H10</f>
        <v>3</v>
      </c>
      <c r="G88" s="541" t="s">
        <v>2362</v>
      </c>
      <c r="H88" s="92"/>
      <c r="I88" s="146"/>
      <c r="J88" s="540">
        <f>H10</f>
        <v>3</v>
      </c>
      <c r="K88" s="557" t="s">
        <v>2362</v>
      </c>
    </row>
    <row r="89" spans="1:11" x14ac:dyDescent="0.2">
      <c r="A89" s="534"/>
      <c r="B89" s="92"/>
      <c r="C89" s="146"/>
      <c r="D89" s="92"/>
      <c r="E89" s="146"/>
      <c r="F89" s="92"/>
      <c r="G89" s="146"/>
      <c r="H89" s="92"/>
      <c r="I89" s="146"/>
      <c r="J89" s="146"/>
      <c r="K89" s="535"/>
    </row>
    <row r="90" spans="1:11" x14ac:dyDescent="0.2">
      <c r="A90" s="534"/>
      <c r="B90" s="92"/>
      <c r="C90" s="146"/>
      <c r="D90" s="92"/>
      <c r="E90" s="146"/>
      <c r="F90" s="92"/>
      <c r="G90" s="146"/>
      <c r="H90" s="146"/>
      <c r="I90" s="146"/>
      <c r="J90" s="553"/>
      <c r="K90" s="535"/>
    </row>
    <row r="91" spans="1:11" x14ac:dyDescent="0.2">
      <c r="A91" s="534"/>
      <c r="B91" s="550">
        <f>F31</f>
        <v>5.15</v>
      </c>
      <c r="C91" s="540">
        <f>H9-H11</f>
        <v>5.15</v>
      </c>
      <c r="D91" s="92"/>
      <c r="E91" s="668">
        <f>F32</f>
        <v>4.625</v>
      </c>
      <c r="F91" s="92"/>
      <c r="G91" s="212">
        <f>F33</f>
        <v>5.0999999999999996</v>
      </c>
      <c r="H91" s="92"/>
      <c r="I91" s="212">
        <f>F34</f>
        <v>5.0999999999999996</v>
      </c>
      <c r="J91" s="124">
        <f>F35</f>
        <v>5.0999999999999996</v>
      </c>
      <c r="K91" s="558">
        <f>F34</f>
        <v>5.0999999999999996</v>
      </c>
    </row>
    <row r="92" spans="1:11" x14ac:dyDescent="0.2">
      <c r="A92" s="534"/>
      <c r="B92" s="92"/>
      <c r="D92" s="123"/>
      <c r="E92" s="146"/>
      <c r="F92" s="123"/>
      <c r="G92" s="146"/>
      <c r="H92" s="123"/>
      <c r="I92" s="146"/>
      <c r="J92" s="92"/>
    </row>
    <row r="93" spans="1:11" x14ac:dyDescent="0.2">
      <c r="A93" s="534"/>
      <c r="B93" s="92"/>
      <c r="C93" s="146"/>
      <c r="D93" s="92"/>
      <c r="E93" s="146"/>
      <c r="F93" s="92"/>
      <c r="G93" s="146"/>
      <c r="H93" s="92"/>
      <c r="I93" s="146"/>
      <c r="J93" s="92"/>
      <c r="K93" s="535"/>
    </row>
    <row r="94" spans="1:11" x14ac:dyDescent="0.2">
      <c r="A94" s="534"/>
      <c r="B94" s="124">
        <f>H12</f>
        <v>-1.2</v>
      </c>
      <c r="C94" s="541" t="s">
        <v>2362</v>
      </c>
      <c r="D94" s="92"/>
      <c r="E94" s="146"/>
      <c r="F94" s="92"/>
      <c r="G94" s="146"/>
      <c r="H94" s="92"/>
      <c r="I94" s="146"/>
      <c r="J94" s="92"/>
      <c r="K94" s="535"/>
    </row>
    <row r="95" spans="1:11" x14ac:dyDescent="0.2">
      <c r="A95" s="534"/>
      <c r="B95" s="559"/>
      <c r="C95" s="541" t="s">
        <v>2367</v>
      </c>
      <c r="D95" s="92"/>
      <c r="E95" s="92"/>
      <c r="F95" s="92"/>
      <c r="G95" s="92"/>
      <c r="H95" s="92"/>
      <c r="I95" s="146"/>
      <c r="J95" s="92"/>
      <c r="K95" s="535"/>
    </row>
    <row r="96" spans="1:11" x14ac:dyDescent="0.2">
      <c r="A96" s="534"/>
      <c r="B96" s="92"/>
      <c r="C96" s="560"/>
      <c r="D96" s="560"/>
      <c r="E96" s="540">
        <f>H13</f>
        <v>-2.1</v>
      </c>
      <c r="F96" s="561" t="s">
        <v>2362</v>
      </c>
      <c r="G96" s="562"/>
      <c r="H96" s="212"/>
      <c r="I96" s="92"/>
      <c r="J96" s="124">
        <f>H13</f>
        <v>-2.1</v>
      </c>
      <c r="K96" s="557" t="s">
        <v>2373</v>
      </c>
    </row>
    <row r="97" spans="1:13" x14ac:dyDescent="0.2">
      <c r="A97" s="534"/>
      <c r="B97" s="92"/>
      <c r="C97" s="92"/>
      <c r="D97" s="563">
        <f>G31</f>
        <v>750</v>
      </c>
      <c r="E97" s="92"/>
      <c r="F97" s="163">
        <f>G33</f>
        <v>744.36860068259386</v>
      </c>
      <c r="G97" s="92"/>
      <c r="H97" s="163">
        <f>G34</f>
        <v>727.81569965870312</v>
      </c>
      <c r="I97" s="92"/>
      <c r="J97" s="564">
        <f>G35</f>
        <v>700</v>
      </c>
      <c r="K97" s="535"/>
      <c r="L97" s="6"/>
      <c r="M97" s="136"/>
    </row>
    <row r="98" spans="1:13" x14ac:dyDescent="0.2">
      <c r="A98" s="534"/>
      <c r="B98" s="92"/>
      <c r="C98" s="92"/>
      <c r="D98" s="92"/>
      <c r="E98" s="92"/>
      <c r="F98" s="92"/>
      <c r="G98" s="92"/>
      <c r="H98" s="92"/>
      <c r="I98" s="92"/>
      <c r="J98" s="92"/>
      <c r="K98" s="535"/>
    </row>
    <row r="99" spans="1:13" x14ac:dyDescent="0.2">
      <c r="A99" s="536"/>
      <c r="B99" s="92"/>
      <c r="C99" s="92"/>
      <c r="D99" s="92"/>
      <c r="E99" s="92"/>
      <c r="F99" s="92"/>
      <c r="G99" s="92"/>
      <c r="H99" s="92"/>
      <c r="I99" s="92"/>
      <c r="J99" s="92"/>
      <c r="K99" s="535"/>
    </row>
    <row r="100" spans="1:13" x14ac:dyDescent="0.2">
      <c r="A100" s="534"/>
      <c r="B100" s="92"/>
      <c r="C100" s="565">
        <f>C31</f>
        <v>0</v>
      </c>
      <c r="D100" s="565">
        <f>C32-C31</f>
        <v>1.55</v>
      </c>
      <c r="F100" s="566">
        <f>C33</f>
        <v>3.2</v>
      </c>
      <c r="H100" s="124">
        <f>C34</f>
        <v>9.6999999999999993</v>
      </c>
      <c r="J100" s="565">
        <f>C35</f>
        <v>16.2</v>
      </c>
      <c r="K100" s="535"/>
    </row>
    <row r="101" spans="1:13" x14ac:dyDescent="0.2">
      <c r="A101" s="534"/>
      <c r="B101" s="92"/>
      <c r="C101" s="635">
        <v>0.3</v>
      </c>
      <c r="D101" s="570" t="s">
        <v>283</v>
      </c>
      <c r="E101" s="567" t="s">
        <v>284</v>
      </c>
      <c r="F101" s="92"/>
      <c r="G101" s="568" t="s">
        <v>285</v>
      </c>
      <c r="H101" s="92"/>
      <c r="I101" s="669" t="s">
        <v>286</v>
      </c>
      <c r="J101" s="571" t="s">
        <v>411</v>
      </c>
      <c r="K101" s="535"/>
    </row>
    <row r="102" spans="1:13" x14ac:dyDescent="0.2">
      <c r="A102" s="534"/>
      <c r="B102" s="92"/>
      <c r="C102" s="542" t="s">
        <v>205</v>
      </c>
      <c r="D102" s="92"/>
      <c r="E102" s="92"/>
      <c r="F102" s="572" t="s">
        <v>50</v>
      </c>
      <c r="G102" s="92"/>
      <c r="H102" s="92"/>
      <c r="I102" s="92"/>
      <c r="J102" s="580" t="s">
        <v>205</v>
      </c>
      <c r="K102" s="535"/>
    </row>
    <row r="103" spans="1:13" x14ac:dyDescent="0.2">
      <c r="A103" s="534"/>
      <c r="B103" s="92"/>
      <c r="C103" s="560"/>
      <c r="D103" s="146"/>
      <c r="E103" s="92"/>
      <c r="F103" s="92"/>
      <c r="G103" s="92"/>
      <c r="H103" s="92"/>
      <c r="I103" s="146"/>
      <c r="J103" s="560"/>
      <c r="K103" s="556"/>
    </row>
    <row r="104" spans="1:13" x14ac:dyDescent="0.2">
      <c r="A104" s="534"/>
      <c r="B104" s="92"/>
      <c r="C104" s="569"/>
      <c r="D104" s="569"/>
      <c r="E104" s="92"/>
      <c r="F104" s="92"/>
      <c r="G104" s="92"/>
      <c r="H104" s="92"/>
      <c r="I104" s="146"/>
      <c r="J104" s="569"/>
      <c r="K104" s="573"/>
    </row>
    <row r="105" spans="1:13" x14ac:dyDescent="0.2">
      <c r="A105" s="534"/>
      <c r="B105" s="92"/>
      <c r="C105" s="569"/>
      <c r="D105" s="569"/>
      <c r="E105" s="92"/>
      <c r="F105" s="574"/>
      <c r="G105" s="92"/>
      <c r="H105" s="92"/>
      <c r="I105" s="146"/>
      <c r="J105" s="569"/>
      <c r="K105" s="573"/>
    </row>
    <row r="106" spans="1:13" x14ac:dyDescent="0.2">
      <c r="A106" s="534"/>
      <c r="B106" s="92"/>
      <c r="C106" s="569"/>
      <c r="D106" s="569"/>
      <c r="E106" s="92"/>
      <c r="F106" s="92"/>
      <c r="G106" s="92"/>
      <c r="H106" s="92"/>
      <c r="I106" s="92"/>
      <c r="J106" s="569"/>
      <c r="K106" s="573"/>
    </row>
    <row r="107" spans="1:13" x14ac:dyDescent="0.2">
      <c r="A107" s="534"/>
      <c r="B107" s="92"/>
      <c r="C107" s="569"/>
      <c r="D107" s="569"/>
      <c r="E107" s="92"/>
      <c r="F107" s="92"/>
      <c r="G107" s="92"/>
      <c r="H107" s="92"/>
      <c r="I107" s="146"/>
      <c r="J107" s="569"/>
      <c r="K107" s="573"/>
    </row>
    <row r="108" spans="1:13" x14ac:dyDescent="0.2">
      <c r="A108" s="534"/>
      <c r="B108" s="92"/>
      <c r="C108" s="569"/>
      <c r="D108" s="569"/>
      <c r="E108" s="92"/>
      <c r="F108" s="92"/>
      <c r="G108" s="92"/>
      <c r="H108" s="92"/>
      <c r="I108" s="92"/>
      <c r="J108" s="569"/>
      <c r="K108" s="573"/>
    </row>
    <row r="109" spans="1:13" x14ac:dyDescent="0.2">
      <c r="A109" s="534"/>
      <c r="B109" s="92"/>
      <c r="C109" s="569"/>
      <c r="D109" s="569"/>
      <c r="E109" s="92"/>
      <c r="F109" s="92"/>
      <c r="G109" s="92"/>
      <c r="H109" s="92"/>
      <c r="I109" s="146"/>
      <c r="J109" s="569"/>
      <c r="K109" s="573"/>
    </row>
    <row r="110" spans="1:13" x14ac:dyDescent="0.2">
      <c r="A110" s="534"/>
      <c r="B110" s="92"/>
      <c r="C110" s="569"/>
      <c r="D110" s="569"/>
      <c r="E110" s="92"/>
      <c r="F110" s="92"/>
      <c r="G110" s="92"/>
      <c r="H110" s="92"/>
      <c r="I110" s="549" t="s">
        <v>207</v>
      </c>
      <c r="J110" s="569"/>
      <c r="K110" s="573"/>
    </row>
    <row r="111" spans="1:13" x14ac:dyDescent="0.2">
      <c r="A111" s="534"/>
      <c r="B111" s="92"/>
      <c r="C111" s="569"/>
      <c r="D111" s="146"/>
      <c r="E111" s="560"/>
      <c r="F111" s="92"/>
      <c r="G111" s="146"/>
      <c r="H111" s="560"/>
      <c r="I111" s="560"/>
      <c r="J111" s="146"/>
      <c r="K111" s="575" t="s">
        <v>210</v>
      </c>
    </row>
    <row r="112" spans="1:13" x14ac:dyDescent="0.2">
      <c r="A112" s="534"/>
      <c r="B112" s="92"/>
      <c r="C112" s="569"/>
      <c r="D112" s="569"/>
      <c r="E112" s="92"/>
      <c r="F112" s="92"/>
      <c r="G112" s="146" t="s">
        <v>226</v>
      </c>
      <c r="H112" s="92"/>
      <c r="I112" s="146"/>
      <c r="J112" s="569"/>
      <c r="K112" s="573"/>
    </row>
    <row r="113" spans="1:11" x14ac:dyDescent="0.2">
      <c r="A113" s="534"/>
      <c r="B113" s="92"/>
      <c r="C113" s="569"/>
      <c r="D113" s="569"/>
      <c r="E113" s="92"/>
      <c r="F113" s="92"/>
      <c r="G113" s="92"/>
      <c r="H113" s="92"/>
      <c r="I113" s="146"/>
      <c r="J113" s="569"/>
      <c r="K113" s="573"/>
    </row>
    <row r="114" spans="1:11" x14ac:dyDescent="0.2">
      <c r="A114" s="534"/>
      <c r="B114" s="92"/>
      <c r="C114" s="569"/>
      <c r="D114" s="569"/>
      <c r="E114" s="92"/>
      <c r="F114" s="92"/>
      <c r="G114" s="92"/>
      <c r="H114" s="92"/>
      <c r="I114" s="146"/>
      <c r="J114" s="569"/>
      <c r="K114" s="573"/>
    </row>
    <row r="115" spans="1:11" x14ac:dyDescent="0.2">
      <c r="A115" s="534"/>
      <c r="B115" s="92"/>
      <c r="C115" s="569"/>
      <c r="D115" s="569"/>
      <c r="E115" s="92"/>
      <c r="F115" s="92"/>
      <c r="G115" s="92"/>
      <c r="H115" s="92"/>
      <c r="I115" s="146"/>
      <c r="J115" s="569"/>
      <c r="K115" s="573"/>
    </row>
    <row r="116" spans="1:11" x14ac:dyDescent="0.2">
      <c r="A116" s="534"/>
      <c r="B116" s="146" t="s">
        <v>51</v>
      </c>
      <c r="C116" s="569"/>
      <c r="D116" s="560"/>
      <c r="E116" s="560"/>
      <c r="F116" s="560"/>
      <c r="G116" s="560"/>
      <c r="H116" s="560"/>
      <c r="I116" s="560"/>
      <c r="J116" s="146"/>
      <c r="K116" s="573"/>
    </row>
    <row r="117" spans="1:11" x14ac:dyDescent="0.2">
      <c r="A117" s="534"/>
      <c r="B117" s="92"/>
      <c r="C117" s="569"/>
      <c r="D117" s="92"/>
      <c r="E117" s="92"/>
      <c r="F117" s="92"/>
      <c r="G117" s="92"/>
      <c r="H117" s="92"/>
      <c r="I117" s="92"/>
      <c r="J117" s="92"/>
      <c r="K117" s="573"/>
    </row>
    <row r="118" spans="1:11" x14ac:dyDescent="0.2">
      <c r="A118" s="534"/>
      <c r="B118" s="146" t="s">
        <v>52</v>
      </c>
      <c r="C118" s="569"/>
      <c r="D118" s="92"/>
      <c r="E118" s="92"/>
      <c r="F118" s="92"/>
      <c r="G118" s="92"/>
      <c r="H118" s="92"/>
      <c r="I118" s="92"/>
      <c r="J118" s="92"/>
      <c r="K118" s="573"/>
    </row>
    <row r="119" spans="1:11" x14ac:dyDescent="0.2">
      <c r="A119" s="534"/>
      <c r="B119" s="92"/>
      <c r="C119" s="569"/>
      <c r="D119" s="92"/>
      <c r="E119" s="92"/>
      <c r="F119" s="92"/>
      <c r="G119" s="92"/>
      <c r="H119" s="92"/>
      <c r="I119" s="92"/>
      <c r="J119" s="92"/>
      <c r="K119" s="573"/>
    </row>
    <row r="120" spans="1:11" x14ac:dyDescent="0.2">
      <c r="A120" s="534"/>
      <c r="B120" s="146" t="s">
        <v>51</v>
      </c>
      <c r="C120" s="560"/>
      <c r="D120" s="560"/>
      <c r="E120" s="560"/>
      <c r="F120" s="560"/>
      <c r="G120" s="560"/>
      <c r="H120" s="560"/>
      <c r="I120" s="560"/>
      <c r="J120" s="560"/>
      <c r="K120" s="556"/>
    </row>
    <row r="121" spans="1:11" x14ac:dyDescent="0.2">
      <c r="A121" s="534"/>
      <c r="B121" s="92"/>
      <c r="C121" s="569" t="s">
        <v>412</v>
      </c>
      <c r="D121" s="92"/>
      <c r="E121" s="92"/>
      <c r="F121" s="92"/>
      <c r="G121" s="555" t="s">
        <v>211</v>
      </c>
      <c r="H121" s="92"/>
      <c r="I121" s="92"/>
      <c r="J121" s="92"/>
      <c r="K121" s="535"/>
    </row>
    <row r="122" spans="1:11" x14ac:dyDescent="0.2">
      <c r="A122" s="534"/>
      <c r="B122" s="92"/>
      <c r="C122" s="92"/>
      <c r="D122" s="92"/>
      <c r="E122" s="92"/>
      <c r="F122" s="92"/>
      <c r="G122" s="92"/>
      <c r="H122" s="92"/>
      <c r="I122" s="92"/>
      <c r="J122" s="146"/>
      <c r="K122" s="535"/>
    </row>
    <row r="123" spans="1:11" x14ac:dyDescent="0.2">
      <c r="A123" s="534"/>
      <c r="B123" s="92"/>
      <c r="C123" s="92"/>
      <c r="D123" s="92"/>
      <c r="E123" s="92"/>
      <c r="F123" s="572" t="s">
        <v>53</v>
      </c>
      <c r="G123" s="92"/>
      <c r="H123" s="92"/>
      <c r="I123" s="92"/>
      <c r="J123" s="92"/>
      <c r="K123" s="535"/>
    </row>
    <row r="124" spans="1:11" ht="13.5" thickBot="1" x14ac:dyDescent="0.25">
      <c r="A124" s="636"/>
      <c r="B124" s="512"/>
      <c r="C124" s="512"/>
      <c r="D124" s="512"/>
      <c r="E124" s="512"/>
      <c r="F124" s="512"/>
      <c r="G124" s="512"/>
      <c r="H124" s="512"/>
      <c r="I124" s="512"/>
      <c r="J124" s="512"/>
      <c r="K124" s="629" t="s">
        <v>2421</v>
      </c>
    </row>
    <row r="125" spans="1:11" x14ac:dyDescent="0.2">
      <c r="A125" s="54" t="s">
        <v>224</v>
      </c>
      <c r="G125" s="37"/>
      <c r="H125" s="37"/>
    </row>
    <row r="126" spans="1:11" x14ac:dyDescent="0.2">
      <c r="A126" s="6"/>
      <c r="B126" s="6" t="s">
        <v>349</v>
      </c>
    </row>
    <row r="127" spans="1:11" x14ac:dyDescent="0.2">
      <c r="B127" s="6"/>
      <c r="C127" s="33"/>
      <c r="D127" s="33"/>
      <c r="E127" s="33"/>
    </row>
    <row r="128" spans="1:11" x14ac:dyDescent="0.2">
      <c r="A128" s="55" t="s">
        <v>54</v>
      </c>
    </row>
    <row r="129" spans="1:10" x14ac:dyDescent="0.2">
      <c r="J129" s="29"/>
    </row>
    <row r="130" spans="1:10" x14ac:dyDescent="0.2">
      <c r="B130" s="6" t="s">
        <v>56</v>
      </c>
      <c r="G130" s="21">
        <f>$F$31</f>
        <v>5.15</v>
      </c>
      <c r="H130" s="6" t="s">
        <v>24</v>
      </c>
      <c r="J130" s="29"/>
    </row>
    <row r="131" spans="1:10" ht="15.75" x14ac:dyDescent="0.3">
      <c r="B131" s="6" t="s">
        <v>356</v>
      </c>
      <c r="G131" s="29">
        <f>H46*H44*F31</f>
        <v>53.282596702342467</v>
      </c>
      <c r="H131" s="6" t="s">
        <v>35</v>
      </c>
    </row>
    <row r="132" spans="1:10" x14ac:dyDescent="0.2">
      <c r="B132" s="6" t="s">
        <v>350</v>
      </c>
      <c r="G132" s="21">
        <f>G131*$F$31/2</f>
        <v>137.20268650853185</v>
      </c>
      <c r="H132" s="6" t="s">
        <v>57</v>
      </c>
    </row>
    <row r="133" spans="1:10" x14ac:dyDescent="0.2">
      <c r="B133" s="6" t="s">
        <v>351</v>
      </c>
      <c r="G133" s="21">
        <f>G131*$F$31^2/6</f>
        <v>235.53127850631304</v>
      </c>
      <c r="H133" s="6" t="s">
        <v>58</v>
      </c>
    </row>
    <row r="134" spans="1:10" x14ac:dyDescent="0.2">
      <c r="A134" s="6"/>
      <c r="B134" s="55" t="s">
        <v>59</v>
      </c>
      <c r="G134" s="29"/>
    </row>
    <row r="136" spans="1:10" x14ac:dyDescent="0.2">
      <c r="B136" s="6" t="s">
        <v>352</v>
      </c>
    </row>
    <row r="137" spans="1:10" x14ac:dyDescent="0.2">
      <c r="B137" s="6" t="s">
        <v>229</v>
      </c>
      <c r="G137" s="30">
        <f>SQRT(G133/G69)*1000</f>
        <v>433.56056652486302</v>
      </c>
      <c r="H137" s="6" t="s">
        <v>43</v>
      </c>
      <c r="J137" s="29"/>
    </row>
    <row r="138" spans="1:10" x14ac:dyDescent="0.2">
      <c r="B138" s="6" t="s">
        <v>353</v>
      </c>
      <c r="G138" s="30">
        <f>G132/H54*1000</f>
        <v>320.07623658698787</v>
      </c>
      <c r="H138" s="6" t="s">
        <v>43</v>
      </c>
      <c r="J138" s="29"/>
    </row>
    <row r="139" spans="1:10" x14ac:dyDescent="0.2">
      <c r="B139" s="6"/>
      <c r="G139" s="21"/>
      <c r="H139" s="6"/>
      <c r="J139" s="29"/>
    </row>
    <row r="140" spans="1:10" x14ac:dyDescent="0.2">
      <c r="B140" s="27" t="str">
        <f>IF(G137&gt;=G138,"dr(moment)  &gt;  dr(shear)","dr(moment)  &lt;  dr(shear)")</f>
        <v>dr(moment)  &gt;  dr(shear)</v>
      </c>
      <c r="E140" s="6" t="s">
        <v>230</v>
      </c>
      <c r="G140" s="30">
        <f>IF(G137&gt;=G138,G137,G138)</f>
        <v>433.56056652486302</v>
      </c>
      <c r="H140" s="6" t="s">
        <v>62</v>
      </c>
    </row>
    <row r="141" spans="1:10" x14ac:dyDescent="0.2">
      <c r="B141" s="6" t="s">
        <v>355</v>
      </c>
      <c r="G141" s="39">
        <f>G140+H62</f>
        <v>508.56056652486302</v>
      </c>
      <c r="H141" s="7" t="s">
        <v>43</v>
      </c>
    </row>
    <row r="142" spans="1:10" x14ac:dyDescent="0.2">
      <c r="B142" s="6" t="s">
        <v>354</v>
      </c>
      <c r="G142" s="30">
        <f>$E$31</f>
        <v>700</v>
      </c>
      <c r="H142" s="6" t="s">
        <v>43</v>
      </c>
      <c r="I142" s="27" t="str">
        <f>IF(G142&gt;=G141,"ta  &gt;  tr     Design is OK.","ta  &lt;  tr    Design is Not OK.")</f>
        <v>ta  &gt;  tr     Design is OK.</v>
      </c>
    </row>
    <row r="143" spans="1:10" x14ac:dyDescent="0.2">
      <c r="B143" s="6"/>
      <c r="J143" s="29"/>
    </row>
    <row r="144" spans="1:10" x14ac:dyDescent="0.2">
      <c r="B144" s="55" t="s">
        <v>65</v>
      </c>
      <c r="J144" s="29"/>
    </row>
    <row r="145" spans="1:19" x14ac:dyDescent="0.2">
      <c r="J145" s="29"/>
    </row>
    <row r="146" spans="1:19" x14ac:dyDescent="0.2">
      <c r="B146" s="6" t="s">
        <v>357</v>
      </c>
      <c r="J146" s="29"/>
    </row>
    <row r="147" spans="1:19" x14ac:dyDescent="0.2">
      <c r="J147" s="29"/>
      <c r="M147" s="6" t="s">
        <v>66</v>
      </c>
      <c r="O147" s="30">
        <v>12</v>
      </c>
      <c r="P147" s="30">
        <v>16</v>
      </c>
      <c r="Q147" s="30">
        <v>20</v>
      </c>
      <c r="R147" s="30">
        <v>22</v>
      </c>
      <c r="S147" s="30">
        <v>25</v>
      </c>
    </row>
    <row r="148" spans="1:19" x14ac:dyDescent="0.2">
      <c r="A148" s="6"/>
      <c r="B148" s="41" t="s">
        <v>234</v>
      </c>
      <c r="C148" s="42" t="s">
        <v>235</v>
      </c>
      <c r="D148" s="42" t="s">
        <v>233</v>
      </c>
      <c r="E148" s="40"/>
      <c r="F148" s="6" t="s">
        <v>73</v>
      </c>
      <c r="I148" s="21">
        <f>G40</f>
        <v>16.294247451171227</v>
      </c>
      <c r="J148" s="6" t="s">
        <v>24</v>
      </c>
      <c r="M148" s="6" t="s">
        <v>67</v>
      </c>
      <c r="O148" s="30">
        <f>IF(H153=0,100000000,TRUNC(785.4*O147^2/H153/25)*25)</f>
        <v>100</v>
      </c>
      <c r="P148" s="30">
        <f>IF(H153=0,100000000,TRUNC(785.4*P147^2/H153/25)*25)</f>
        <v>200</v>
      </c>
      <c r="Q148" s="30">
        <f>IF(H153=0,100000000,TRUNC(785.4*Q147^2/H153/25)*25)</f>
        <v>325</v>
      </c>
      <c r="R148" s="30">
        <f>IF(H153=0,100000000,TRUNC(785.4*R147^2/H153/25)*25)</f>
        <v>400</v>
      </c>
      <c r="S148" s="30">
        <f>IF(H153=0,100000000,TRUNC(785.4*S147^2/H153/25)*25)</f>
        <v>500</v>
      </c>
    </row>
    <row r="149" spans="1:19" x14ac:dyDescent="0.2">
      <c r="B149" s="41" t="s">
        <v>196</v>
      </c>
      <c r="C149" s="42" t="s">
        <v>232</v>
      </c>
      <c r="D149" s="42" t="s">
        <v>232</v>
      </c>
      <c r="E149" s="40"/>
      <c r="F149" s="6" t="s">
        <v>74</v>
      </c>
      <c r="I149" s="30">
        <f>G142</f>
        <v>700</v>
      </c>
      <c r="J149" s="6" t="s">
        <v>43</v>
      </c>
      <c r="M149" s="6" t="s">
        <v>68</v>
      </c>
      <c r="O149" s="30">
        <f>785.4*O147^2/O148</f>
        <v>1130.9759999999999</v>
      </c>
      <c r="P149" s="30">
        <f>785.4*P147^2/P148</f>
        <v>1005.312</v>
      </c>
      <c r="Q149" s="30">
        <f>785.4*Q147^2/Q148</f>
        <v>966.64615384615388</v>
      </c>
      <c r="R149" s="30">
        <f>785.4*R147^2/R148</f>
        <v>950.33399999999995</v>
      </c>
      <c r="S149" s="30">
        <f>785.4*S147^2/S148</f>
        <v>981.75</v>
      </c>
    </row>
    <row r="150" spans="1:19" x14ac:dyDescent="0.2">
      <c r="B150" s="6" t="s">
        <v>75</v>
      </c>
      <c r="C150" s="38">
        <v>2E-3</v>
      </c>
      <c r="D150" s="38">
        <v>1E-3</v>
      </c>
      <c r="F150" s="6" t="s">
        <v>231</v>
      </c>
      <c r="I150" s="29">
        <v>1</v>
      </c>
      <c r="J150" s="7" t="s">
        <v>24</v>
      </c>
      <c r="M150" s="6" t="s">
        <v>69</v>
      </c>
      <c r="O150" s="30">
        <f>IF(OR(O148&gt;300,O148&lt;100),100000000,O149-H153)</f>
        <v>180.97599999999977</v>
      </c>
      <c r="P150" s="30">
        <f>IF(OR(P148&gt;300,P148&lt;100),100000001,P149-H153)</f>
        <v>55.311999999999898</v>
      </c>
      <c r="Q150" s="30">
        <f>IF(OR(Q148&gt;300,Q148&lt;100),100000001,Q149-H153)</f>
        <v>100000001</v>
      </c>
      <c r="R150" s="30">
        <f>IF(OR(R148&gt;300,R148&lt;100),100000001,R149-H153)</f>
        <v>100000001</v>
      </c>
      <c r="S150" s="30">
        <f>IF(OR(S148&gt;300,S148&lt;100),100000001,S149-H153)</f>
        <v>100000001</v>
      </c>
    </row>
    <row r="151" spans="1:19" x14ac:dyDescent="0.2">
      <c r="B151" s="6" t="s">
        <v>76</v>
      </c>
      <c r="C151" s="38">
        <v>2.5000000000000001E-3</v>
      </c>
      <c r="D151" s="38">
        <v>1.5E-3</v>
      </c>
      <c r="I151" s="29"/>
      <c r="M151" s="6" t="s">
        <v>70</v>
      </c>
      <c r="O151" s="30">
        <f>IF(S148&lt;100,25,IF(MIN(O150:S150)=O150,12,IF(MIN(O150:S150)=P150,16,IF(MIN(O150:S150)=Q150,20,IF(MIN(O150:S150)=R150,22,IF(MIN(O150:S150)=S150,25,0))))))</f>
        <v>16</v>
      </c>
      <c r="P151" s="6" t="s">
        <v>71</v>
      </c>
      <c r="Q151" s="30">
        <f>IF(O151=12,O148,IF(O151=16,P148,IF(O151=20,Q148,IF(O151=22,R148,IF(O151=25,S148,0)))))</f>
        <v>200</v>
      </c>
      <c r="R151" s="6" t="s">
        <v>72</v>
      </c>
    </row>
    <row r="153" spans="1:19" x14ac:dyDescent="0.2">
      <c r="B153" s="6" t="s">
        <v>237</v>
      </c>
      <c r="H153" s="7">
        <f>IF(I148&lt;=9,C150,C151)*IF(I149&lt;=380,I149,380)*1000</f>
        <v>950.00000000000011</v>
      </c>
      <c r="I153" s="6" t="s">
        <v>78</v>
      </c>
    </row>
    <row r="154" spans="1:19" x14ac:dyDescent="0.2">
      <c r="B154" s="6" t="s">
        <v>79</v>
      </c>
      <c r="C154" s="30">
        <f>IF(D1015=0,O151,D1015)</f>
        <v>16</v>
      </c>
      <c r="D154" s="6" t="s">
        <v>71</v>
      </c>
      <c r="E154" s="30">
        <f>IF(D1015=0,IF(Q151&gt;300,300,Q151),E1015)</f>
        <v>200</v>
      </c>
      <c r="F154" s="6" t="s">
        <v>236</v>
      </c>
      <c r="H154" s="30">
        <f>785.4*C154^2/E154</f>
        <v>1005.312</v>
      </c>
      <c r="I154" s="6" t="s">
        <v>81</v>
      </c>
    </row>
    <row r="155" spans="1:19" x14ac:dyDescent="0.2">
      <c r="B155" s="6" t="s">
        <v>238</v>
      </c>
      <c r="H155" s="7">
        <f>IF(I148&lt;=9,D150,D151)*IF(I149&lt;=380,I149,380)*1000</f>
        <v>570.00000000000011</v>
      </c>
      <c r="I155" s="6" t="s">
        <v>78</v>
      </c>
    </row>
    <row r="156" spans="1:19" x14ac:dyDescent="0.2">
      <c r="B156" s="6" t="s">
        <v>79</v>
      </c>
      <c r="C156" s="30">
        <v>16</v>
      </c>
      <c r="D156" s="6" t="s">
        <v>71</v>
      </c>
      <c r="E156" s="30">
        <v>250</v>
      </c>
      <c r="F156" s="6" t="s">
        <v>236</v>
      </c>
      <c r="H156" s="30">
        <f>785.4*C156^2/E156</f>
        <v>804.24959999999999</v>
      </c>
      <c r="I156" s="6" t="s">
        <v>81</v>
      </c>
      <c r="M156" s="6" t="s">
        <v>66</v>
      </c>
      <c r="O156" s="30">
        <v>12</v>
      </c>
      <c r="P156" s="30">
        <v>16</v>
      </c>
      <c r="Q156" s="30">
        <v>20</v>
      </c>
      <c r="R156" s="30">
        <v>22</v>
      </c>
      <c r="S156" s="30">
        <v>25</v>
      </c>
    </row>
    <row r="157" spans="1:19" x14ac:dyDescent="0.2">
      <c r="M157" s="6" t="s">
        <v>67</v>
      </c>
      <c r="O157" s="30">
        <f>IF(H155=0,100000000,TRUNC(785.4*O156^2/H155/25)*25)</f>
        <v>175</v>
      </c>
      <c r="P157" s="30">
        <f>IF(H155=0,100000000,TRUNC(785.4*P156^2/H155/25)*25)</f>
        <v>350</v>
      </c>
      <c r="Q157" s="30">
        <f>IF(H155=0,100000000,TRUNC(785.4*Q156^2/H155/25)*25)</f>
        <v>550</v>
      </c>
      <c r="R157" s="30">
        <f>IF(H155=0,100000000,TRUNC(785.4*R156^2/H155/25)*25)</f>
        <v>650</v>
      </c>
      <c r="S157" s="30">
        <f>IF(H155=0,100000000,TRUNC(785.4*S156^2/H155/25)*25)</f>
        <v>850</v>
      </c>
    </row>
    <row r="158" spans="1:19" x14ac:dyDescent="0.2">
      <c r="A158" s="55" t="s">
        <v>83</v>
      </c>
      <c r="M158" s="6" t="s">
        <v>68</v>
      </c>
      <c r="O158" s="30">
        <f>785.4*O156^2/O157</f>
        <v>646.27199999999993</v>
      </c>
      <c r="P158" s="30">
        <f>785.4*P156^2/P157</f>
        <v>574.46399999999994</v>
      </c>
      <c r="Q158" s="30">
        <f>785.4*Q156^2/Q157</f>
        <v>571.20000000000005</v>
      </c>
      <c r="R158" s="30">
        <f>785.4*R156^2/R157</f>
        <v>584.82092307692301</v>
      </c>
      <c r="S158" s="30">
        <f>785.4*S156^2/S157</f>
        <v>577.5</v>
      </c>
    </row>
    <row r="159" spans="1:19" x14ac:dyDescent="0.2">
      <c r="M159" s="6" t="s">
        <v>69</v>
      </c>
      <c r="O159" s="30">
        <f>IF(OR(O157&gt;300,O157&lt;100),100000000,O158-H155)</f>
        <v>76.271999999999821</v>
      </c>
      <c r="P159" s="30">
        <f>IF(OR(P157&gt;300,P157&lt;100),100000001,P158-H155)</f>
        <v>100000001</v>
      </c>
      <c r="Q159" s="30">
        <f>IF(OR(Q157&gt;300,Q157&lt;100),100000001,Q158-H155)</f>
        <v>100000001</v>
      </c>
      <c r="R159" s="30">
        <f>IF(OR(R157&gt;300,R157&lt;100),100000001,R158-H155)</f>
        <v>100000001</v>
      </c>
      <c r="S159" s="30">
        <f>IF(OR(S157&gt;300,S157&lt;100),100000001,S158-H155)</f>
        <v>100000001</v>
      </c>
    </row>
    <row r="160" spans="1:19" x14ac:dyDescent="0.2">
      <c r="A160" s="6" t="s">
        <v>239</v>
      </c>
      <c r="G160" s="21">
        <f>F31</f>
        <v>5.15</v>
      </c>
      <c r="H160" s="7" t="s">
        <v>24</v>
      </c>
      <c r="M160" s="6" t="s">
        <v>70</v>
      </c>
      <c r="O160" s="30">
        <f>IF(S157&lt;100,25,IF(MIN(O159:S159)=O159,12,IF(MIN(O159:S159)=P159,16,IF(MIN(O159:S159)=Q159,20,IF(MIN(O159:S159)=R159,22,IF(MIN(O159:S159)=S159,25,0))))))</f>
        <v>12</v>
      </c>
      <c r="P160" s="6" t="s">
        <v>71</v>
      </c>
      <c r="Q160" s="30">
        <f>IF(O160=12,O157,IF(O160=16,P157,IF(O160=20,Q157,IF(O160=22,R157,IF(O160=25,S157,0)))))</f>
        <v>175</v>
      </c>
      <c r="R160" s="6" t="s">
        <v>72</v>
      </c>
    </row>
    <row r="161" spans="1:19" x14ac:dyDescent="0.2">
      <c r="A161" s="6" t="s">
        <v>240</v>
      </c>
      <c r="H161" s="7">
        <f>IF(G160&lt;=9,C150,C151)*IF(G142&lt;=380,G142,380)*1000</f>
        <v>760</v>
      </c>
      <c r="I161" s="6" t="s">
        <v>78</v>
      </c>
    </row>
    <row r="162" spans="1:19" x14ac:dyDescent="0.2">
      <c r="A162" s="6" t="s">
        <v>79</v>
      </c>
      <c r="C162" s="30">
        <f>IF(D1035=0,O168,D1035)</f>
        <v>16</v>
      </c>
      <c r="D162" s="6" t="s">
        <v>71</v>
      </c>
      <c r="E162" s="30">
        <f>IF(D1035=0,IF(Q168&gt;300,300,Q168),E1035)</f>
        <v>250</v>
      </c>
      <c r="F162" s="6" t="s">
        <v>236</v>
      </c>
      <c r="H162" s="30">
        <f>785.4*C162^2/E162</f>
        <v>804.24959999999999</v>
      </c>
      <c r="I162" s="6" t="s">
        <v>81</v>
      </c>
    </row>
    <row r="164" spans="1:19" x14ac:dyDescent="0.2">
      <c r="A164" s="55" t="s">
        <v>85</v>
      </c>
      <c r="M164" s="6" t="s">
        <v>66</v>
      </c>
      <c r="O164" s="30">
        <v>12</v>
      </c>
      <c r="P164" s="30">
        <v>16</v>
      </c>
      <c r="Q164" s="30">
        <v>20</v>
      </c>
      <c r="R164" s="30">
        <v>22</v>
      </c>
      <c r="S164" s="30">
        <v>25</v>
      </c>
    </row>
    <row r="165" spans="1:19" x14ac:dyDescent="0.2">
      <c r="I165" s="29"/>
      <c r="M165" s="6" t="s">
        <v>67</v>
      </c>
      <c r="O165" s="30">
        <f>IF(H161=0,100000000,TRUNC(785.4*O164^2/H161/25)*25)</f>
        <v>125</v>
      </c>
      <c r="P165" s="30">
        <f>IF(H161=0,100000000,TRUNC(785.4*P164^2/H161/25)*25)</f>
        <v>250</v>
      </c>
      <c r="Q165" s="30">
        <f>IF(H161=0,100000000,TRUNC(785.4*Q164^2/H161/25)*25)</f>
        <v>400</v>
      </c>
      <c r="R165" s="30">
        <f>IF(H161=0,100000000,TRUNC(785.4*R164^2/H161/25)*25)</f>
        <v>500</v>
      </c>
      <c r="S165" s="30">
        <f>IF(H161=0,100000000,TRUNC(785.4*S164^2/H161/25)*25)</f>
        <v>625</v>
      </c>
    </row>
    <row r="166" spans="1:19" x14ac:dyDescent="0.2">
      <c r="B166" s="6" t="s">
        <v>86</v>
      </c>
      <c r="G166" s="21">
        <f>G133</f>
        <v>235.53127850631304</v>
      </c>
      <c r="H166" s="6" t="s">
        <v>58</v>
      </c>
      <c r="M166" s="6" t="s">
        <v>68</v>
      </c>
      <c r="O166" s="30">
        <f>785.4*O164^2/O165</f>
        <v>904.78079999999989</v>
      </c>
      <c r="P166" s="30">
        <f>785.4*P164^2/P165</f>
        <v>804.24959999999999</v>
      </c>
      <c r="Q166" s="30">
        <f>785.4*Q164^2/Q165</f>
        <v>785.4</v>
      </c>
      <c r="R166" s="30">
        <f>785.4*R164^2/R165</f>
        <v>760.2672</v>
      </c>
      <c r="S166" s="30">
        <f>785.4*S164^2/S165</f>
        <v>785.4</v>
      </c>
    </row>
    <row r="167" spans="1:19" x14ac:dyDescent="0.2">
      <c r="B167" s="6" t="s">
        <v>241</v>
      </c>
      <c r="F167" s="6"/>
      <c r="G167" s="39">
        <f>E31-H62</f>
        <v>625</v>
      </c>
      <c r="H167" s="6" t="s">
        <v>43</v>
      </c>
      <c r="M167" s="6" t="s">
        <v>69</v>
      </c>
      <c r="O167" s="30">
        <f>IF(OR(O165&gt;300,O165&lt;100),100000000,O166-H161)</f>
        <v>144.78079999999989</v>
      </c>
      <c r="P167" s="30">
        <f>IF(OR(P165&gt;300,P165&lt;100),100000001,P166-H161)</f>
        <v>44.249599999999987</v>
      </c>
      <c r="Q167" s="30">
        <f>IF(OR(Q165&gt;300,Q165&lt;100),100000001,Q166-H161)</f>
        <v>100000001</v>
      </c>
      <c r="R167" s="30">
        <f>IF(OR(R165&gt;300,R165&lt;100),100000001,R166-H161)</f>
        <v>100000001</v>
      </c>
      <c r="S167" s="30">
        <f>IF(OR(S165&gt;300,S165&lt;100),100000001,S166-H161)</f>
        <v>100000001</v>
      </c>
    </row>
    <row r="168" spans="1:19" x14ac:dyDescent="0.2">
      <c r="B168" s="7" t="s">
        <v>242</v>
      </c>
      <c r="G168" s="136">
        <f>G166/(H51*G68*G167)*1000000000</f>
        <v>2263.1677606911121</v>
      </c>
      <c r="H168" s="6" t="s">
        <v>78</v>
      </c>
      <c r="M168" s="6" t="s">
        <v>70</v>
      </c>
      <c r="O168" s="30">
        <f>IF(S165&lt;100,25,IF(MIN(O167:S167)=O167,12,IF(MIN(O167:S167)=P167,16,IF(MIN(O167:S167)=Q167,20,IF(MIN(O167:S167)=R167,22,IF(MIN(O167:S167)=S167,25,0))))))</f>
        <v>16</v>
      </c>
      <c r="P168" s="6" t="s">
        <v>71</v>
      </c>
      <c r="Q168" s="30">
        <f>IF(O168=12,O165,IF(O168=16,P165,IF(O168=20,Q165,IF(O168=22,R165,IF(O168=25,S165,0)))))</f>
        <v>250</v>
      </c>
      <c r="R168" s="6" t="s">
        <v>72</v>
      </c>
    </row>
    <row r="170" spans="1:19" x14ac:dyDescent="0.2">
      <c r="B170" s="47" t="s">
        <v>87</v>
      </c>
      <c r="I170" s="29"/>
    </row>
    <row r="171" spans="1:19" x14ac:dyDescent="0.2">
      <c r="B171" s="6" t="s">
        <v>243</v>
      </c>
      <c r="H171" s="7">
        <f>IF(G160&lt;=9,D150,D151)*IF(G142&lt;=380,G142,380)*1000</f>
        <v>380</v>
      </c>
      <c r="I171" s="6" t="s">
        <v>78</v>
      </c>
    </row>
    <row r="172" spans="1:19" x14ac:dyDescent="0.2">
      <c r="B172" s="27" t="str">
        <f>IF(G168&gt;H171,"Ast(moment)  &gt;  Ast(shrinkage)","Ast(moment)  &lt;  Ast(shrinkage)")</f>
        <v>Ast(moment)  &gt;  Ast(shrinkage)</v>
      </c>
      <c r="E172" s="31"/>
      <c r="F172" s="6" t="s">
        <v>244</v>
      </c>
      <c r="H172" s="30">
        <f>IF(G168&gt;H171,G168,H171)</f>
        <v>2263.1677606911121</v>
      </c>
      <c r="I172" s="6" t="s">
        <v>89</v>
      </c>
      <c r="M172" s="6" t="s">
        <v>66</v>
      </c>
      <c r="O172" s="30">
        <v>12</v>
      </c>
      <c r="P172" s="30">
        <v>16</v>
      </c>
      <c r="Q172" s="30">
        <v>20</v>
      </c>
      <c r="R172" s="30">
        <v>22</v>
      </c>
      <c r="S172" s="30">
        <v>25</v>
      </c>
    </row>
    <row r="173" spans="1:19" x14ac:dyDescent="0.2">
      <c r="B173" s="509" t="s">
        <v>323</v>
      </c>
      <c r="C173" s="510">
        <v>20</v>
      </c>
      <c r="D173" s="509" t="s">
        <v>71</v>
      </c>
      <c r="E173" s="510">
        <v>125</v>
      </c>
      <c r="F173" s="509" t="s">
        <v>236</v>
      </c>
      <c r="G173" s="511"/>
      <c r="H173" s="510">
        <f>785.4*C173^2/E173</f>
        <v>2513.2800000000002</v>
      </c>
      <c r="I173" s="509" t="s">
        <v>81</v>
      </c>
      <c r="J173" s="511"/>
      <c r="K173" s="698"/>
      <c r="M173" s="6" t="s">
        <v>67</v>
      </c>
      <c r="O173" s="30">
        <f>IF(H172=0,100000000,TRUNC(785.4*O172^2/H172/25)*25)</f>
        <v>25</v>
      </c>
      <c r="P173" s="30">
        <f>IF(H172=0,100000000,TRUNC(785.4*P172^2/H172/25)*25)</f>
        <v>75</v>
      </c>
      <c r="Q173" s="30">
        <f>IF(H172=0,100000000,TRUNC(785.4*Q172^2/H172/25)*25)</f>
        <v>125</v>
      </c>
      <c r="R173" s="30">
        <f>IF(H172=0,100000000,TRUNC(785.4*R172^2/H172/25)*25)</f>
        <v>150</v>
      </c>
      <c r="S173" s="30">
        <f>IF(H172=0,100000000,TRUNC(785.4*S172^2/H172/25)*25)</f>
        <v>200</v>
      </c>
    </row>
    <row r="174" spans="1:19" x14ac:dyDescent="0.2">
      <c r="M174" s="6" t="s">
        <v>68</v>
      </c>
      <c r="O174" s="30">
        <f>785.4*O172^2/O173</f>
        <v>4523.9039999999995</v>
      </c>
      <c r="P174" s="30">
        <f>785.4*P172^2/P173</f>
        <v>2680.8319999999999</v>
      </c>
      <c r="Q174" s="30">
        <f>785.4*Q172^2/Q173</f>
        <v>2513.2800000000002</v>
      </c>
      <c r="R174" s="30">
        <f>785.4*R172^2/R173</f>
        <v>2534.2239999999997</v>
      </c>
      <c r="S174" s="30">
        <f>785.4*S172^2/S173</f>
        <v>2454.375</v>
      </c>
    </row>
    <row r="175" spans="1:19" x14ac:dyDescent="0.2">
      <c r="B175" s="47" t="s">
        <v>90</v>
      </c>
      <c r="M175" s="6" t="s">
        <v>69</v>
      </c>
      <c r="O175" s="30">
        <f>IF(OR(O173&gt;300,O173&lt;100),100000000,O174-H172)</f>
        <v>100000000</v>
      </c>
      <c r="P175" s="30">
        <f>IF(OR(P173&gt;300,P173&lt;100),100000001,P174-H172)</f>
        <v>100000001</v>
      </c>
      <c r="Q175" s="30">
        <f>IF(OR(Q173&gt;300,Q173&lt;100),100000001,Q174-H172)</f>
        <v>250.11223930888809</v>
      </c>
      <c r="R175" s="30">
        <f>IF(OR(R173&gt;300,R173&lt;100),100000001,R174-H172)</f>
        <v>271.0562393088876</v>
      </c>
      <c r="S175" s="30">
        <f>IF(OR(S173&gt;300,S173&lt;100),100000001,S174-H172)</f>
        <v>191.20723930888789</v>
      </c>
    </row>
    <row r="176" spans="1:19" x14ac:dyDescent="0.2">
      <c r="M176" s="6" t="s">
        <v>70</v>
      </c>
      <c r="O176" s="30">
        <f>IF(S173&lt;100,25,IF(MIN(O175:S175)=O175,12,IF(MIN(O175:S175)=P175,16,IF(MIN(O175:S175)=Q175,20,IF(MIN(O175:S175)=R175,22,IF(MIN(O175:S175)=S175,25,0))))))</f>
        <v>25</v>
      </c>
      <c r="P176" s="6" t="s">
        <v>71</v>
      </c>
      <c r="Q176" s="30">
        <f>IF(O176=12,O173,IF(O176=16,P173,IF(O176=20,Q173,IF(O176=22,R173,IF(O176=25,S173,0)))))</f>
        <v>200</v>
      </c>
      <c r="R176" s="6" t="s">
        <v>72</v>
      </c>
    </row>
    <row r="177" spans="1:16" x14ac:dyDescent="0.2">
      <c r="B177" s="7" t="s">
        <v>245</v>
      </c>
      <c r="G177" s="39">
        <f>C173</f>
        <v>20</v>
      </c>
      <c r="H177" s="7" t="s">
        <v>43</v>
      </c>
    </row>
    <row r="178" spans="1:16" x14ac:dyDescent="0.2">
      <c r="B178" s="7" t="s">
        <v>246</v>
      </c>
      <c r="G178" s="29">
        <f>H56/G177</f>
        <v>840.99690843664825</v>
      </c>
      <c r="H178" s="7" t="str">
        <f>IF(G178&lt;=H56,"&lt; KN/m2","&gt; KN/m2")</f>
        <v>&lt; KN/m2</v>
      </c>
      <c r="I178" s="39">
        <f>H57</f>
        <v>1103</v>
      </c>
      <c r="J178" s="6" t="s">
        <v>35</v>
      </c>
    </row>
    <row r="179" spans="1:16" x14ac:dyDescent="0.2">
      <c r="C179" s="6" t="s">
        <v>91</v>
      </c>
      <c r="F179" s="21">
        <f>IF(G178&lt;I178,G178,I178)</f>
        <v>840.99690843664825</v>
      </c>
      <c r="G179" s="6" t="s">
        <v>35</v>
      </c>
      <c r="H179" s="6" t="s">
        <v>64</v>
      </c>
    </row>
    <row r="180" spans="1:16" x14ac:dyDescent="0.2">
      <c r="B180" s="6" t="s">
        <v>92</v>
      </c>
      <c r="H180" s="21">
        <f>G132</f>
        <v>137.20268650853185</v>
      </c>
      <c r="I180" s="6" t="s">
        <v>57</v>
      </c>
    </row>
    <row r="181" spans="1:16" x14ac:dyDescent="0.2">
      <c r="B181" s="6" t="s">
        <v>248</v>
      </c>
      <c r="H181" s="30">
        <f>PI()*C173/E173*1000</f>
        <v>502.65482457436696</v>
      </c>
      <c r="I181" s="6" t="s">
        <v>43</v>
      </c>
    </row>
    <row r="182" spans="1:16" x14ac:dyDescent="0.2">
      <c r="B182" s="6" t="s">
        <v>247</v>
      </c>
      <c r="F182" s="6"/>
      <c r="H182" s="29">
        <f>H180/(H181*G68*G167)*1000000</f>
        <v>488.62285067946402</v>
      </c>
      <c r="I182" s="6" t="s">
        <v>35</v>
      </c>
    </row>
    <row r="183" spans="1:16" x14ac:dyDescent="0.2">
      <c r="B183" s="27" t="str">
        <f>IF(F179&gt;=H182,"bs(allow)  &gt;  bs(actual)    Design is OK.  &lt;-----","bs(allow)  &lt;  bs(actual)    Design is not OK.  &lt;-----")</f>
        <v>bs(allow)  &gt;  bs(actual)    Design is OK.  &lt;-----</v>
      </c>
    </row>
    <row r="184" spans="1:16" x14ac:dyDescent="0.2">
      <c r="B184" s="1"/>
      <c r="C184" s="1"/>
      <c r="D184" s="1"/>
      <c r="E184" s="1"/>
    </row>
    <row r="185" spans="1:16" x14ac:dyDescent="0.2">
      <c r="A185" s="47" t="s">
        <v>93</v>
      </c>
      <c r="F185" s="6"/>
      <c r="M185" s="6" t="s">
        <v>95</v>
      </c>
      <c r="O185" s="6" t="s">
        <v>96</v>
      </c>
    </row>
    <row r="186" spans="1:16" x14ac:dyDescent="0.2">
      <c r="B186" s="6" t="s">
        <v>358</v>
      </c>
      <c r="M186" s="26" t="s">
        <v>97</v>
      </c>
      <c r="N186" s="26" t="s">
        <v>98</v>
      </c>
      <c r="O186" s="26" t="s">
        <v>97</v>
      </c>
      <c r="P186" s="26" t="s">
        <v>98</v>
      </c>
    </row>
    <row r="187" spans="1:16" x14ac:dyDescent="0.2">
      <c r="M187" s="27">
        <f>G198*N187^3-E198*N187</f>
        <v>0</v>
      </c>
      <c r="N187" s="25">
        <v>0</v>
      </c>
      <c r="O187" s="126">
        <f>G198*P187^3-E198*P187</f>
        <v>0.65507563266088198</v>
      </c>
      <c r="P187" s="25">
        <f>N193</f>
        <v>3.0900000000000003</v>
      </c>
    </row>
    <row r="188" spans="1:16" x14ac:dyDescent="0.2">
      <c r="B188" s="47" t="s">
        <v>94</v>
      </c>
      <c r="M188" s="27">
        <f>G198*N188^3-E198*N188</f>
        <v>-14.855643280183738</v>
      </c>
      <c r="N188" s="25">
        <f>0.2*$F$31</f>
        <v>1.03</v>
      </c>
      <c r="O188" s="126">
        <f>G198*P188^3-E198*P188</f>
        <v>8.1754522464093569</v>
      </c>
      <c r="P188" s="25">
        <f>N193+0.04*$F$31</f>
        <v>3.2960000000000003</v>
      </c>
    </row>
    <row r="189" spans="1:16" x14ac:dyDescent="0.2">
      <c r="M189" s="27">
        <f>G198*N189^3-E198*N189</f>
        <v>-18.405785192064457</v>
      </c>
      <c r="N189" s="25">
        <f>0.4*$F$31</f>
        <v>2.06</v>
      </c>
      <c r="O189" s="126">
        <f>G198*P189^3-E198*P189</f>
        <v>17.142933035300601</v>
      </c>
      <c r="P189" s="25">
        <f>N193+0.08*$F$31</f>
        <v>3.5020000000000002</v>
      </c>
    </row>
    <row r="190" spans="1:16" x14ac:dyDescent="0.2">
      <c r="B190" s="6" t="s">
        <v>359</v>
      </c>
      <c r="M190" s="27">
        <f>G198*N190^3-E198*N190</f>
        <v>0.65507563266088198</v>
      </c>
      <c r="N190" s="25">
        <f>0.6*$F$31</f>
        <v>3.0900000000000003</v>
      </c>
      <c r="O190" s="126">
        <f>G198*P190^3-E198*P190</f>
        <v>27.647962010281056</v>
      </c>
      <c r="P190" s="25">
        <f>N193+0.12*$F$31</f>
        <v>3.7080000000000002</v>
      </c>
    </row>
    <row r="191" spans="1:16" x14ac:dyDescent="0.2">
      <c r="B191" s="6" t="s">
        <v>360</v>
      </c>
      <c r="H191" s="30">
        <f>H173/2</f>
        <v>1256.6400000000001</v>
      </c>
      <c r="I191" s="6" t="s">
        <v>78</v>
      </c>
      <c r="M191" s="27">
        <f>G198*N191^3-E198*N191</f>
        <v>53.632440562295272</v>
      </c>
      <c r="N191" s="25">
        <f>0.8*$F$31</f>
        <v>4.12</v>
      </c>
      <c r="O191" s="126">
        <f>G198*P191^3-E198*P191</f>
        <v>39.78098318229717</v>
      </c>
      <c r="P191" s="25">
        <f>N193+0.16*$F$31</f>
        <v>3.9140000000000006</v>
      </c>
    </row>
    <row r="192" spans="1:16" x14ac:dyDescent="0.2">
      <c r="B192" s="6" t="s">
        <v>361</v>
      </c>
      <c r="M192" s="27">
        <f>G198*N192^3-E198*N192</f>
        <v>151.83181096514181</v>
      </c>
      <c r="N192" s="25">
        <f>$F$31</f>
        <v>5.15</v>
      </c>
      <c r="P192" s="25">
        <f>IF(O188&gt;O187,VLOOKUP(C198,O187:P191,2),IF(O189&gt;O188,VLOOKUP(C198,O188:P191,2),IF(O190&gt;O189,VLOOKUP(C198,O189:P191,2),IF(O191&gt;O190,VLOOKUP(C198,O190:P191,2),P191))))</f>
        <v>3.9140000000000006</v>
      </c>
    </row>
    <row r="193" spans="2:16" x14ac:dyDescent="0.2">
      <c r="B193" s="6" t="s">
        <v>362</v>
      </c>
      <c r="F193" s="7" t="s">
        <v>249</v>
      </c>
      <c r="G193" s="30">
        <f>$D$31-$H$62</f>
        <v>225</v>
      </c>
      <c r="H193" s="6" t="s">
        <v>99</v>
      </c>
      <c r="I193" s="24">
        <f>($E$31-$D$31)/$F$31</f>
        <v>77.669902912621353</v>
      </c>
      <c r="J193" s="6" t="s">
        <v>100</v>
      </c>
      <c r="N193" s="25">
        <f>IF(M188&gt;M187,VLOOKUP(C198,M187:N192,2),IF(M189&gt;M188,VLOOKUP(C198,M188:N192,2),IF(M190&gt;M189,VLOOKUP(C198,M189:N192,2),IF(M191&gt;M190,VLOOKUP(C198,M190:N192,2),IF(M192&gt;M191,VLOOKUP(C198,M191:N192,2),N192)))))</f>
        <v>3.0900000000000003</v>
      </c>
    </row>
    <row r="195" spans="2:16" x14ac:dyDescent="0.2">
      <c r="B195" s="6" t="s">
        <v>156</v>
      </c>
      <c r="E195" s="24">
        <f>H191*H51*G68*G193/1000000000</f>
        <v>47.080950491908808</v>
      </c>
      <c r="F195" s="6" t="s">
        <v>99</v>
      </c>
      <c r="G195" s="24">
        <f>H191*H51*G68*I193/1000000000</f>
        <v>16.252323794402177</v>
      </c>
      <c r="H195" s="6" t="s">
        <v>100</v>
      </c>
      <c r="M195" s="6" t="s">
        <v>102</v>
      </c>
      <c r="O195" s="6" t="s">
        <v>103</v>
      </c>
    </row>
    <row r="196" spans="2:16" ht="15.75" x14ac:dyDescent="0.3">
      <c r="B196" s="6" t="s">
        <v>363</v>
      </c>
      <c r="G196" s="24">
        <f>$H$46*$H$44/6</f>
        <v>1.7243558803347074</v>
      </c>
      <c r="H196" s="6" t="s">
        <v>104</v>
      </c>
      <c r="M196" s="26" t="s">
        <v>97</v>
      </c>
      <c r="N196" s="26" t="s">
        <v>98</v>
      </c>
      <c r="O196" s="26" t="s">
        <v>97</v>
      </c>
      <c r="P196" s="26" t="s">
        <v>98</v>
      </c>
    </row>
    <row r="197" spans="2:16" x14ac:dyDescent="0.2">
      <c r="B197" s="6" t="s">
        <v>105</v>
      </c>
      <c r="M197" s="27">
        <f>G198*N197^3-E198*N197</f>
        <v>39.78098318229717</v>
      </c>
      <c r="N197" s="25">
        <f>P192</f>
        <v>3.9140000000000006</v>
      </c>
      <c r="O197" s="44">
        <f>G198*P197^3-E198*P197</f>
        <v>45.110288924725566</v>
      </c>
      <c r="P197" s="25">
        <f>N202</f>
        <v>3.9964000000000004</v>
      </c>
    </row>
    <row r="198" spans="2:16" x14ac:dyDescent="0.2">
      <c r="C198" s="24">
        <f>E195</f>
        <v>47.080950491908808</v>
      </c>
      <c r="D198" s="6" t="s">
        <v>99</v>
      </c>
      <c r="E198" s="24">
        <f>G195</f>
        <v>16.252323794402177</v>
      </c>
      <c r="F198" s="6" t="s">
        <v>106</v>
      </c>
      <c r="G198" s="24">
        <f>G196</f>
        <v>1.7243558803347074</v>
      </c>
      <c r="H198" s="6" t="s">
        <v>104</v>
      </c>
      <c r="M198" s="27">
        <f>G198*N198^3-E198*N198</f>
        <v>42.410905553307941</v>
      </c>
      <c r="N198" s="25">
        <f>P192+0.008*$F$31</f>
        <v>3.9552000000000005</v>
      </c>
      <c r="O198" s="44">
        <f>G198*P198^3-E198*P198</f>
        <v>45.658564591641635</v>
      </c>
      <c r="P198" s="25">
        <f>N202+0.0016*$F$31</f>
        <v>4.0046400000000002</v>
      </c>
    </row>
    <row r="199" spans="2:16" x14ac:dyDescent="0.2">
      <c r="B199" s="6" t="s">
        <v>255</v>
      </c>
      <c r="F199" s="7" t="s">
        <v>254</v>
      </c>
      <c r="G199" s="21">
        <f>P202</f>
        <v>4.0211200000000007</v>
      </c>
      <c r="H199" s="6" t="s">
        <v>107</v>
      </c>
      <c r="M199" s="27">
        <f>G198*N199^3-E198*N199</f>
        <v>45.110288924725566</v>
      </c>
      <c r="N199" s="25">
        <f>P192+0.016*$F$31</f>
        <v>3.9964000000000004</v>
      </c>
      <c r="O199" s="44">
        <f>G198*P199^3-E198*P199</f>
        <v>46.209653429074123</v>
      </c>
      <c r="P199" s="25">
        <f>N202+0.0032*$F$31</f>
        <v>4.01288</v>
      </c>
    </row>
    <row r="200" spans="2:16" x14ac:dyDescent="0.2">
      <c r="B200" s="6" t="s">
        <v>364</v>
      </c>
      <c r="M200" s="27">
        <f>G198*N200^3-E198*N200</f>
        <v>47.879856848637615</v>
      </c>
      <c r="N200" s="25">
        <f>P192+0.024*$F$31</f>
        <v>4.0376000000000003</v>
      </c>
      <c r="O200" s="44">
        <f>G198*P200^3-E198*P200</f>
        <v>46.763561225439901</v>
      </c>
      <c r="P200" s="25">
        <f>N202+0.0048*$F$31</f>
        <v>4.0211200000000007</v>
      </c>
    </row>
    <row r="201" spans="2:16" x14ac:dyDescent="0.2">
      <c r="B201" s="6" t="s">
        <v>392</v>
      </c>
      <c r="M201" s="27">
        <f>G198*N201^3-E198*N201</f>
        <v>50.720332877131654</v>
      </c>
      <c r="N201" s="25">
        <f>P192+0.032*$F$31</f>
        <v>4.0788000000000002</v>
      </c>
      <c r="O201" s="44">
        <f>G198*P201^3-E198*P201</f>
        <v>47.320293769155455</v>
      </c>
      <c r="P201" s="25">
        <f>N202+0.0064*$F$31</f>
        <v>4.0293600000000005</v>
      </c>
    </row>
    <row r="202" spans="2:16" x14ac:dyDescent="0.2">
      <c r="B202" s="6" t="s">
        <v>365</v>
      </c>
      <c r="N202" s="25">
        <f>IF(M198&gt;M197,VLOOKUP(C198,M197:N201,2),IF(M199&gt;M198,VLOOKUP(C198,M198:N201,2),IF(M200&gt;M199,VLOOKUP(C198,M199:N201,2),IF(M201&gt;M200,VLOOKUP(C198,M200:N201,2),N201))))</f>
        <v>3.9964000000000004</v>
      </c>
      <c r="P202" s="25">
        <f>IF(O198&gt;O197,VLOOKUP(C198,O197:P201,2),IF(O199&gt;O198,VLOOKUP(C198,O198:P201,2),IF(O200&gt;O199,VLOOKUP(C198,O199:P201,2),IF(O201&gt;O200,VLOOKUP(C198,O200:P201,2),P201))))</f>
        <v>4.0211200000000007</v>
      </c>
    </row>
    <row r="203" spans="2:16" x14ac:dyDescent="0.2">
      <c r="B203" s="6" t="s">
        <v>55</v>
      </c>
      <c r="C203" s="30">
        <f>G193</f>
        <v>225</v>
      </c>
      <c r="D203" s="6" t="s">
        <v>99</v>
      </c>
      <c r="E203" s="27">
        <f>I193</f>
        <v>77.669902912621353</v>
      </c>
      <c r="F203" s="6" t="s">
        <v>108</v>
      </c>
      <c r="G203" s="30">
        <f>C203+E203*G199</f>
        <v>537.32000000000005</v>
      </c>
      <c r="H203" s="6" t="s">
        <v>43</v>
      </c>
    </row>
    <row r="204" spans="2:16" x14ac:dyDescent="0.2">
      <c r="B204" s="6" t="s">
        <v>250</v>
      </c>
      <c r="E204" s="30"/>
      <c r="F204" s="6"/>
      <c r="G204" s="30">
        <f>12*C173</f>
        <v>240</v>
      </c>
      <c r="H204" s="6" t="s">
        <v>43</v>
      </c>
    </row>
    <row r="205" spans="2:16" x14ac:dyDescent="0.2">
      <c r="B205" s="27" t="str">
        <f>IF(G203&gt;=G204,"da  &gt;  12 * Bar Diameter","da  &lt;  12 * Bar Diameter")</f>
        <v>da  &gt;  12 * Bar Diameter</v>
      </c>
      <c r="E205" s="6" t="s">
        <v>251</v>
      </c>
      <c r="G205" s="30">
        <f>IF(G203&gt;G204,G203,G204)</f>
        <v>537.32000000000005</v>
      </c>
      <c r="H205" s="6" t="s">
        <v>62</v>
      </c>
    </row>
    <row r="206" spans="2:16" x14ac:dyDescent="0.2">
      <c r="B206" s="6" t="s">
        <v>252</v>
      </c>
      <c r="G206" s="29">
        <f>F31-G199+G205/1000</f>
        <v>1.6661999999999997</v>
      </c>
      <c r="H206" s="6" t="s">
        <v>24</v>
      </c>
    </row>
    <row r="207" spans="2:16" x14ac:dyDescent="0.2">
      <c r="B207" s="6" t="s">
        <v>112</v>
      </c>
      <c r="C207" s="21">
        <f>F31-G206</f>
        <v>3.4838000000000005</v>
      </c>
      <c r="D207" s="27" t="str">
        <f>IF(C207&gt;=1,"m &gt; 1 m   Curtailment should be made."," m &lt; 1 m   Curtailment should not be made.")</f>
        <v>m &gt; 1 m   Curtailment should be made.</v>
      </c>
      <c r="M207" s="6" t="s">
        <v>95</v>
      </c>
      <c r="O207" s="6" t="s">
        <v>96</v>
      </c>
    </row>
    <row r="208" spans="2:16" x14ac:dyDescent="0.2">
      <c r="M208" s="26" t="s">
        <v>97</v>
      </c>
      <c r="N208" s="26" t="s">
        <v>98</v>
      </c>
      <c r="O208" s="26" t="s">
        <v>97</v>
      </c>
      <c r="P208" s="26" t="s">
        <v>98</v>
      </c>
    </row>
    <row r="209" spans="1:16" x14ac:dyDescent="0.2">
      <c r="B209" s="47" t="s">
        <v>87</v>
      </c>
      <c r="M209" s="27">
        <f>G223*N209^3-E223*N209</f>
        <v>0</v>
      </c>
      <c r="N209" s="25">
        <v>0</v>
      </c>
      <c r="O209" s="126">
        <f>G223*P209^3-E223*P209</f>
        <v>-1.6658916838302122</v>
      </c>
      <c r="P209" s="25">
        <f>N215</f>
        <v>2.06</v>
      </c>
    </row>
    <row r="210" spans="1:16" x14ac:dyDescent="0.2">
      <c r="B210" s="6" t="s">
        <v>366</v>
      </c>
      <c r="H210" s="136">
        <f>1/2*H173</f>
        <v>1256.6400000000001</v>
      </c>
      <c r="I210" s="6" t="s">
        <v>78</v>
      </c>
      <c r="M210" s="27">
        <f>G223*N210^3-E223*N210</f>
        <v>-6.4856965260666177</v>
      </c>
      <c r="N210" s="25">
        <f>0.2*$F$31</f>
        <v>1.03</v>
      </c>
      <c r="O210" s="126">
        <f>G223*P210^3-E223*P210</f>
        <v>1.6496135692241012</v>
      </c>
      <c r="P210" s="25">
        <f>N215+0.04*$F$31</f>
        <v>2.266</v>
      </c>
    </row>
    <row r="211" spans="1:16" x14ac:dyDescent="0.2">
      <c r="B211" s="27" t="str">
        <f>IF(H210&gt;=H171,"Ast(moment) &gt; Ast(shrinkage)","Ast(omemnt) &lt; Ast(shrinkage)")</f>
        <v>Ast(moment) &gt; Ast(shrinkage)</v>
      </c>
      <c r="F211" s="2" t="s">
        <v>114</v>
      </c>
      <c r="G211" s="50"/>
      <c r="H211" s="50"/>
      <c r="I211" s="51">
        <f>IF(OR(C207&lt;1,H210&lt;H171),F31,G206)</f>
        <v>1.6661999999999997</v>
      </c>
      <c r="J211" s="2" t="s">
        <v>115</v>
      </c>
      <c r="M211" s="27">
        <f>G223*N211^3-E223*N211</f>
        <v>-1.6658916838302122</v>
      </c>
      <c r="N211" s="25">
        <f>0.4*$F$31</f>
        <v>2.06</v>
      </c>
      <c r="O211" s="126">
        <f>G223*P211^3-E223*P211</f>
        <v>5.9600029426890728</v>
      </c>
      <c r="P211" s="25">
        <f>N215+0.08*$F$31</f>
        <v>2.472</v>
      </c>
    </row>
    <row r="212" spans="1:16" x14ac:dyDescent="0.2">
      <c r="M212" s="27">
        <f>G223*N212^3-E223*N212</f>
        <v>25.764915895012248</v>
      </c>
      <c r="N212" s="25">
        <f>0.6*$F$31</f>
        <v>3.0900000000000003</v>
      </c>
      <c r="O212" s="126">
        <f>G223*P212^3-E223*P212</f>
        <v>11.355720447511143</v>
      </c>
      <c r="P212" s="25">
        <f>N215+0.12*$F$31</f>
        <v>2.6779999999999999</v>
      </c>
    </row>
    <row r="213" spans="1:16" x14ac:dyDescent="0.2">
      <c r="B213" s="47" t="s">
        <v>116</v>
      </c>
      <c r="M213" s="27">
        <f>G223*N213^3-E223*N213</f>
        <v>87.112227578763765</v>
      </c>
      <c r="N213" s="25">
        <f>0.8*$F$31</f>
        <v>4.12</v>
      </c>
      <c r="O213" s="126">
        <f>G223*P213^3-E223*P213</f>
        <v>17.927210094636731</v>
      </c>
      <c r="P213" s="25">
        <f>N215+0.16*$F$31</f>
        <v>2.8840000000000003</v>
      </c>
    </row>
    <row r="214" spans="1:16" x14ac:dyDescent="0.2">
      <c r="M214" s="27">
        <f>G223*N214^3-E223*N214</f>
        <v>193.68154473572744</v>
      </c>
      <c r="N214" s="25">
        <f>$F$31</f>
        <v>5.15</v>
      </c>
      <c r="P214" s="25">
        <f>IF(O210&gt;O209,VLOOKUP(C223,O209:P213,2),IF(O211&gt;O210,VLOOKUP(C223,O210:P213,2),IF(O212&gt;O211,VLOOKUP(C223,O211:P213,2),IF(O213&gt;O212,VLOOKUP(C223,O212:P213,2),P213))))</f>
        <v>2.8840000000000003</v>
      </c>
    </row>
    <row r="215" spans="1:16" x14ac:dyDescent="0.2">
      <c r="A215" s="6"/>
      <c r="B215" s="6" t="s">
        <v>367</v>
      </c>
      <c r="N215" s="25">
        <f>IF(M210&gt;M209,VLOOKUP(C223,M209:N214,2),IF(M211&gt;M210,VLOOKUP(C223,M210:N214,2),IF(M212&gt;M211,VLOOKUP(C223,M211:N214,2),IF(M213&gt;M212,VLOOKUP(C223,M212:N214,2),IF(M214&gt;M213,VLOOKUP(C223,M213:N214,2),N214)))))</f>
        <v>2.06</v>
      </c>
    </row>
    <row r="216" spans="1:16" x14ac:dyDescent="0.2">
      <c r="B216" s="6" t="s">
        <v>393</v>
      </c>
      <c r="H216" s="30">
        <f>H173/4</f>
        <v>628.32000000000005</v>
      </c>
      <c r="I216" s="6" t="s">
        <v>78</v>
      </c>
    </row>
    <row r="217" spans="1:16" x14ac:dyDescent="0.2">
      <c r="B217" s="6" t="s">
        <v>368</v>
      </c>
      <c r="M217" s="6" t="s">
        <v>102</v>
      </c>
      <c r="O217" s="6" t="s">
        <v>103</v>
      </c>
    </row>
    <row r="218" spans="1:16" x14ac:dyDescent="0.2">
      <c r="B218" s="6"/>
      <c r="F218" s="7" t="s">
        <v>249</v>
      </c>
      <c r="G218" s="30">
        <f>$D$31-$H$62</f>
        <v>225</v>
      </c>
      <c r="H218" s="6" t="s">
        <v>99</v>
      </c>
      <c r="I218" s="44">
        <f>($E$31-$D$31)/+$F$31</f>
        <v>77.669902912621353</v>
      </c>
      <c r="J218" s="6" t="s">
        <v>100</v>
      </c>
      <c r="M218" s="26" t="s">
        <v>97</v>
      </c>
      <c r="N218" s="26" t="s">
        <v>98</v>
      </c>
      <c r="O218" s="26" t="s">
        <v>97</v>
      </c>
      <c r="P218" s="26" t="s">
        <v>98</v>
      </c>
    </row>
    <row r="219" spans="1:16" x14ac:dyDescent="0.2">
      <c r="B219" s="6" t="s">
        <v>101</v>
      </c>
      <c r="E219" s="43">
        <f>H216*H51*G68*G218/1000000000</f>
        <v>23.540475245954404</v>
      </c>
      <c r="F219" s="6" t="s">
        <v>99</v>
      </c>
      <c r="G219" s="43">
        <f>H216*H51*G68*I218/1000000000</f>
        <v>8.1261618972010883</v>
      </c>
      <c r="H219" s="6" t="s">
        <v>100</v>
      </c>
      <c r="M219" s="27">
        <f>G223*N219^3-E223*N219</f>
        <v>17.927210094636731</v>
      </c>
      <c r="N219" s="25">
        <f>P214</f>
        <v>2.8840000000000003</v>
      </c>
      <c r="O219" s="44">
        <f>G223*P219^3-E223*P219</f>
        <v>22.472099219771486</v>
      </c>
      <c r="P219" s="25">
        <f>N224</f>
        <v>3.0076000000000005</v>
      </c>
    </row>
    <row r="220" spans="1:16" x14ac:dyDescent="0.2">
      <c r="B220" s="6" t="s">
        <v>369</v>
      </c>
      <c r="G220" s="44">
        <f>$H$46*$H$44/6</f>
        <v>1.7243558803347074</v>
      </c>
      <c r="H220" s="6" t="s">
        <v>104</v>
      </c>
      <c r="M220" s="27">
        <f>G223*N220^3-E223*N220</f>
        <v>19.390559754101556</v>
      </c>
      <c r="N220" s="25">
        <f>P214+0.008*$F$31</f>
        <v>2.9252000000000002</v>
      </c>
      <c r="O220" s="44">
        <f>G223*P220^3-E223*P220</f>
        <v>22.791777903989317</v>
      </c>
      <c r="P220" s="25">
        <f>N224+0.0016*$F$31</f>
        <v>3.0158400000000003</v>
      </c>
    </row>
    <row r="221" spans="1:16" x14ac:dyDescent="0.2">
      <c r="M221" s="27">
        <f>G223*N221^3-E223*N221</f>
        <v>20.905281611783945</v>
      </c>
      <c r="N221" s="25">
        <f>P214+0.016*$F$31</f>
        <v>2.9664000000000001</v>
      </c>
      <c r="O221" s="44">
        <f>G223*P221^3-E223*P221</f>
        <v>23.113575148719562</v>
      </c>
      <c r="P221" s="25">
        <f>N224+0.0032*$F$31</f>
        <v>3.0240800000000005</v>
      </c>
    </row>
    <row r="222" spans="1:16" x14ac:dyDescent="0.2">
      <c r="B222" s="6" t="s">
        <v>105</v>
      </c>
      <c r="M222" s="27">
        <f>G223*N222^3-E223*N222</f>
        <v>22.472099219771486</v>
      </c>
      <c r="N222" s="25">
        <f>P214+0.024*$F$31</f>
        <v>3.0076000000000005</v>
      </c>
      <c r="O222" s="44">
        <f>G223*P222^3-E223*P222</f>
        <v>23.437496742378904</v>
      </c>
      <c r="P222" s="25">
        <f>N224+0.0048*$F$31</f>
        <v>3.0323200000000003</v>
      </c>
    </row>
    <row r="223" spans="1:16" x14ac:dyDescent="0.2">
      <c r="C223" s="44">
        <f>E219</f>
        <v>23.540475245954404</v>
      </c>
      <c r="D223" s="6" t="s">
        <v>99</v>
      </c>
      <c r="E223" s="44">
        <f>G219</f>
        <v>8.1261618972010883</v>
      </c>
      <c r="F223" s="6" t="s">
        <v>106</v>
      </c>
      <c r="G223" s="44">
        <f>G220</f>
        <v>1.7243558803347074</v>
      </c>
      <c r="H223" s="6" t="s">
        <v>104</v>
      </c>
      <c r="M223" s="27">
        <f>G223*N223^3-E223*N223</f>
        <v>24.091736130151727</v>
      </c>
      <c r="N223" s="25">
        <f>P214+0.032*$F$31</f>
        <v>3.0488000000000004</v>
      </c>
      <c r="O223" s="44">
        <f>G223*P223^3-E223*P223</f>
        <v>23.763548473384066</v>
      </c>
      <c r="P223" s="25">
        <f>N224+0.0064*$F$31</f>
        <v>3.0405600000000006</v>
      </c>
    </row>
    <row r="224" spans="1:16" x14ac:dyDescent="0.2">
      <c r="B224" s="6" t="s">
        <v>370</v>
      </c>
      <c r="F224" s="7" t="s">
        <v>254</v>
      </c>
      <c r="H224" s="21">
        <f>P224</f>
        <v>3.0323200000000003</v>
      </c>
      <c r="I224" s="45" t="s">
        <v>107</v>
      </c>
      <c r="N224" s="25">
        <f>IF(M220&gt;M219,VLOOKUP(C223,M219:N223,2),IF(M221&gt;M220,VLOOKUP(C223,M220:N223,2),IF(M222&gt;M221,VLOOKUP(C223,M221:N223,2),IF(M223&gt;M222,VLOOKUP(C223,M222:N223,2),N223))))</f>
        <v>3.0076000000000005</v>
      </c>
      <c r="P224" s="25">
        <f>IF(O220&gt;O219,VLOOKUP(C223,O219:P223,2),IF(O221&gt;O220,VLOOKUP(C223,O220:P223,2),IF(O222&gt;O221,VLOOKUP(C223,O221:P223,2),IF(O223&gt;O222,VLOOKUP(C223,O222:P223,2),P223))))</f>
        <v>3.0323200000000003</v>
      </c>
    </row>
    <row r="226" spans="1:9" x14ac:dyDescent="0.2">
      <c r="B226" s="6" t="s">
        <v>371</v>
      </c>
    </row>
    <row r="227" spans="1:9" x14ac:dyDescent="0.2">
      <c r="B227" s="6" t="s">
        <v>372</v>
      </c>
    </row>
    <row r="228" spans="1:9" x14ac:dyDescent="0.2">
      <c r="B228" s="6" t="s">
        <v>117</v>
      </c>
      <c r="C228" s="30">
        <f>G218</f>
        <v>225</v>
      </c>
      <c r="D228" s="6" t="s">
        <v>99</v>
      </c>
      <c r="E228" s="27">
        <f>I218</f>
        <v>77.669902912621353</v>
      </c>
      <c r="F228" s="6" t="s">
        <v>108</v>
      </c>
      <c r="G228" s="30">
        <f>C228+E228*H224</f>
        <v>460.52</v>
      </c>
      <c r="H228" s="6" t="s">
        <v>43</v>
      </c>
    </row>
    <row r="229" spans="1:9" x14ac:dyDescent="0.2">
      <c r="B229" s="6" t="s">
        <v>256</v>
      </c>
      <c r="E229" s="30"/>
      <c r="F229" s="6"/>
      <c r="G229" s="30">
        <f>12*C173</f>
        <v>240</v>
      </c>
      <c r="H229" s="6" t="s">
        <v>43</v>
      </c>
    </row>
    <row r="230" spans="1:9" x14ac:dyDescent="0.2">
      <c r="B230" s="27" t="str">
        <f>IF(G228&gt;=G229,"da  &gt;  12 * Bar Diameter","da  &lt;  12 * Bar Diameter")</f>
        <v>da  &gt;  12 * Bar Diameter</v>
      </c>
      <c r="E230" s="6" t="s">
        <v>109</v>
      </c>
      <c r="G230" s="30">
        <f>IF(G228&gt;G229,G228,G229)</f>
        <v>460.52</v>
      </c>
      <c r="H230" s="6" t="s">
        <v>62</v>
      </c>
    </row>
    <row r="231" spans="1:9" x14ac:dyDescent="0.2">
      <c r="C231" s="6" t="s">
        <v>110</v>
      </c>
      <c r="G231" s="29">
        <f>F31-H224+G230/1000</f>
        <v>2.5781999999999998</v>
      </c>
      <c r="H231" s="7" t="s">
        <v>24</v>
      </c>
    </row>
    <row r="232" spans="1:9" x14ac:dyDescent="0.2">
      <c r="C232" s="6" t="s">
        <v>112</v>
      </c>
      <c r="E232" s="21">
        <f>F31-G231</f>
        <v>2.5718000000000005</v>
      </c>
      <c r="F232" s="27" t="str">
        <f>IF(E232&gt;=1,"m &gt; 1 m   Curtailment should be made."," m &lt; 1 m  Curtailment should not be made.")</f>
        <v>m &gt; 1 m   Curtailment should be made.</v>
      </c>
    </row>
    <row r="234" spans="1:9" x14ac:dyDescent="0.2">
      <c r="B234" s="47" t="s">
        <v>87</v>
      </c>
    </row>
    <row r="235" spans="1:9" x14ac:dyDescent="0.2">
      <c r="B235" s="6" t="s">
        <v>373</v>
      </c>
      <c r="H235" s="136">
        <f>1/4*H173</f>
        <v>628.32000000000005</v>
      </c>
      <c r="I235" s="6" t="s">
        <v>78</v>
      </c>
    </row>
    <row r="236" spans="1:9" x14ac:dyDescent="0.2">
      <c r="B236" s="27" t="str">
        <f>IF(H235&gt;=H171,"Ast(moment)  &gt;  Ast(shrinkage)","Ast(moment)  &lt;  Ast(shrinkage)")</f>
        <v>Ast(moment)  &gt;  Ast(shrinkage)</v>
      </c>
      <c r="F236" s="2" t="s">
        <v>114</v>
      </c>
      <c r="G236" s="50"/>
      <c r="H236" s="51">
        <f>IF(OR(E232&lt;1,H235&lt;H171),I211,G231)</f>
        <v>2.5781999999999998</v>
      </c>
      <c r="I236" s="2" t="s">
        <v>115</v>
      </c>
    </row>
    <row r="238" spans="1:9" x14ac:dyDescent="0.2">
      <c r="A238" s="48" t="s">
        <v>225</v>
      </c>
    </row>
    <row r="240" spans="1:9" x14ac:dyDescent="0.2">
      <c r="A240" s="47" t="s">
        <v>54</v>
      </c>
      <c r="B240" s="6"/>
    </row>
    <row r="242" spans="2:9" x14ac:dyDescent="0.2">
      <c r="B242" s="6" t="s">
        <v>375</v>
      </c>
    </row>
    <row r="243" spans="2:9" x14ac:dyDescent="0.2">
      <c r="B243" s="6" t="s">
        <v>257</v>
      </c>
      <c r="G243" s="21">
        <f>(D31+E31)/2000*F31</f>
        <v>2.5750000000000002</v>
      </c>
      <c r="H243" s="6" t="s">
        <v>118</v>
      </c>
    </row>
    <row r="244" spans="2:9" x14ac:dyDescent="0.2">
      <c r="B244" s="6" t="s">
        <v>258</v>
      </c>
      <c r="G244" s="21">
        <f>(E31-D31)/2000*F31</f>
        <v>1.03</v>
      </c>
      <c r="H244" s="6" t="s">
        <v>118</v>
      </c>
    </row>
    <row r="245" spans="2:9" x14ac:dyDescent="0.2">
      <c r="B245" s="6" t="s">
        <v>259</v>
      </c>
      <c r="C245" s="27"/>
      <c r="D245" s="6"/>
      <c r="E245" s="27"/>
      <c r="F245" s="6"/>
      <c r="G245" s="29">
        <f>G243*H43+G244*H44</f>
        <v>80.958000000000013</v>
      </c>
      <c r="H245" s="6" t="s">
        <v>57</v>
      </c>
    </row>
    <row r="246" spans="2:9" x14ac:dyDescent="0.2">
      <c r="B246" s="6" t="s">
        <v>119</v>
      </c>
      <c r="G246" s="21">
        <f>$J$31</f>
        <v>2.2000000000000002</v>
      </c>
      <c r="H246" s="6" t="s">
        <v>24</v>
      </c>
    </row>
    <row r="247" spans="2:9" x14ac:dyDescent="0.2">
      <c r="B247" s="6" t="s">
        <v>374</v>
      </c>
      <c r="G247" s="21">
        <f>2*G245/G246</f>
        <v>73.598181818181828</v>
      </c>
      <c r="H247" s="6" t="s">
        <v>120</v>
      </c>
    </row>
    <row r="248" spans="2:9" x14ac:dyDescent="0.2">
      <c r="B248" s="6"/>
      <c r="G248" s="21"/>
      <c r="H248" s="6"/>
    </row>
    <row r="249" spans="2:9" ht="15.75" x14ac:dyDescent="0.3">
      <c r="B249" s="6" t="s">
        <v>394</v>
      </c>
      <c r="G249" s="29">
        <f>H46*H44*(F31+G31/2000)^3/6</f>
        <v>290.81965135727296</v>
      </c>
      <c r="H249" s="7" t="s">
        <v>58</v>
      </c>
    </row>
    <row r="250" spans="2:9" ht="14.25" x14ac:dyDescent="0.2">
      <c r="B250" s="6" t="s">
        <v>385</v>
      </c>
      <c r="H250" s="6"/>
    </row>
    <row r="252" spans="2:9" x14ac:dyDescent="0.2">
      <c r="B252" s="6" t="s">
        <v>263</v>
      </c>
    </row>
    <row r="253" spans="2:9" x14ac:dyDescent="0.2">
      <c r="B253" s="6" t="s">
        <v>121</v>
      </c>
      <c r="H253" s="21">
        <f>(($E$31-$D$31)*$F$31/2*(2/3*$D$31+$E$31/3)+$D$31*$F$31*$D$31/2)/(($D$31+$E$31)/2*$F$31)/1000</f>
        <v>0.26333333333333336</v>
      </c>
      <c r="I253" s="6" t="s">
        <v>24</v>
      </c>
    </row>
    <row r="255" spans="2:9" x14ac:dyDescent="0.2">
      <c r="B255" s="6" t="s">
        <v>282</v>
      </c>
      <c r="C255" s="27"/>
      <c r="D255" s="6"/>
      <c r="E255" s="43"/>
      <c r="F255" s="6"/>
      <c r="G255" s="43"/>
      <c r="H255" s="21">
        <f>G249-G245*H253+G247*H253^2/2</f>
        <v>272.0525238724245</v>
      </c>
      <c r="I255" s="6" t="s">
        <v>58</v>
      </c>
    </row>
    <row r="256" spans="2:9" x14ac:dyDescent="0.2">
      <c r="B256" s="6" t="s">
        <v>376</v>
      </c>
      <c r="H256" s="29">
        <f>G249-G245*($H$31/2+H253)+G247*$J$31^2/8</f>
        <v>253.30911135727297</v>
      </c>
      <c r="I256" s="6" t="s">
        <v>58</v>
      </c>
    </row>
    <row r="257" spans="2:19" x14ac:dyDescent="0.2">
      <c r="J257" s="6"/>
    </row>
    <row r="258" spans="2:19" x14ac:dyDescent="0.2">
      <c r="B258" s="47" t="s">
        <v>122</v>
      </c>
    </row>
    <row r="260" spans="2:19" x14ac:dyDescent="0.2">
      <c r="B260" s="6" t="s">
        <v>379</v>
      </c>
      <c r="F260" s="27">
        <f>IF(H256&gt;0,0,-H256)</f>
        <v>0</v>
      </c>
      <c r="G260" s="6" t="s">
        <v>58</v>
      </c>
      <c r="H260" s="7" t="str">
        <f>IF(H256&gt;0,"Mid span moment produces bottom Tension","")</f>
        <v>Mid span moment produces bottom Tension</v>
      </c>
    </row>
    <row r="261" spans="2:19" x14ac:dyDescent="0.2">
      <c r="B261" s="6" t="s">
        <v>378</v>
      </c>
      <c r="F261" s="21">
        <f>H255</f>
        <v>272.0525238724245</v>
      </c>
      <c r="G261" s="6" t="s">
        <v>58</v>
      </c>
    </row>
    <row r="262" spans="2:19" x14ac:dyDescent="0.2">
      <c r="B262" s="6" t="s">
        <v>377</v>
      </c>
      <c r="F262" s="21">
        <f>G245</f>
        <v>80.958000000000013</v>
      </c>
      <c r="G262" s="6" t="s">
        <v>57</v>
      </c>
    </row>
    <row r="264" spans="2:19" x14ac:dyDescent="0.2">
      <c r="B264" s="47" t="s">
        <v>59</v>
      </c>
    </row>
    <row r="265" spans="2:19" x14ac:dyDescent="0.2">
      <c r="B265" s="6"/>
      <c r="G265" s="21"/>
      <c r="H265" s="6"/>
    </row>
    <row r="266" spans="2:19" x14ac:dyDescent="0.2">
      <c r="B266" s="6" t="s">
        <v>229</v>
      </c>
      <c r="G266" s="30">
        <f>SQRT(F261/G69)*1000</f>
        <v>465.96345842528103</v>
      </c>
      <c r="H266" s="6" t="s">
        <v>43</v>
      </c>
    </row>
    <row r="267" spans="2:19" x14ac:dyDescent="0.2">
      <c r="B267" s="6" t="s">
        <v>264</v>
      </c>
      <c r="G267" s="30">
        <f>F262/H54*1000</f>
        <v>188.86461060657152</v>
      </c>
      <c r="H267" s="6" t="s">
        <v>43</v>
      </c>
    </row>
    <row r="268" spans="2:19" x14ac:dyDescent="0.2">
      <c r="B268" s="27" t="str">
        <f>IF(G266&gt;=G267,"dr(moment) &gt; dr(shear)","dr(moment) &lt; dr(shear)")</f>
        <v>dr(moment) &gt; dr(shear)</v>
      </c>
      <c r="F268" s="6" t="s">
        <v>230</v>
      </c>
      <c r="G268" s="30">
        <f>IF(G266&gt;=G267,G266,G267)</f>
        <v>465.96345842528103</v>
      </c>
      <c r="H268" s="6" t="s">
        <v>62</v>
      </c>
    </row>
    <row r="270" spans="2:19" x14ac:dyDescent="0.2">
      <c r="B270" s="6" t="s">
        <v>63</v>
      </c>
      <c r="D270" s="30"/>
      <c r="E270" s="6"/>
      <c r="F270" s="30"/>
      <c r="G270" s="30">
        <f>G268+H62</f>
        <v>540.96345842528103</v>
      </c>
      <c r="H270" s="6" t="s">
        <v>43</v>
      </c>
    </row>
    <row r="271" spans="2:19" x14ac:dyDescent="0.2">
      <c r="B271" s="6" t="s">
        <v>380</v>
      </c>
      <c r="G271" s="30">
        <f>G31</f>
        <v>750</v>
      </c>
      <c r="H271" s="6" t="s">
        <v>43</v>
      </c>
      <c r="I271" s="138" t="str">
        <f>IF(G271&gt;=G270,"ta  &gt;  tr  Design is OK.","ta &lt; tr  Design is Not OK.")</f>
        <v>ta  &gt;  tr  Design is OK.</v>
      </c>
    </row>
    <row r="272" spans="2:19" x14ac:dyDescent="0.2">
      <c r="M272" s="6" t="s">
        <v>66</v>
      </c>
      <c r="O272" s="30">
        <v>12</v>
      </c>
      <c r="P272" s="30">
        <v>16</v>
      </c>
      <c r="Q272" s="30">
        <v>20</v>
      </c>
      <c r="R272" s="30">
        <v>22</v>
      </c>
      <c r="S272" s="30">
        <v>25</v>
      </c>
    </row>
    <row r="273" spans="2:19" x14ac:dyDescent="0.2">
      <c r="B273" s="47" t="s">
        <v>123</v>
      </c>
      <c r="M273" s="6" t="s">
        <v>67</v>
      </c>
      <c r="O273" s="30">
        <f>IF(H277=0,100000000,TRUNC(785.4*O272^2/H277/25)*25)</f>
        <v>100</v>
      </c>
      <c r="P273" s="30">
        <f>IF(H277=0,100000000,TRUNC(785.4*P272^2/H277/25)*25)</f>
        <v>200</v>
      </c>
      <c r="Q273" s="30">
        <f>IF(H277=0,100000000,TRUNC(785.4*Q272^2/H277/25)*25)</f>
        <v>325</v>
      </c>
      <c r="R273" s="30">
        <f>IF(H277=0,100000000,TRUNC(785.4*R272^2/H277/25)*25)</f>
        <v>400</v>
      </c>
      <c r="S273" s="30">
        <f>IF(H277=0,100000000,TRUNC(785.4*S272^2/H277/25)*25)</f>
        <v>500</v>
      </c>
    </row>
    <row r="274" spans="2:19" x14ac:dyDescent="0.2">
      <c r="B274" s="6" t="s">
        <v>124</v>
      </c>
      <c r="F274" s="21">
        <f>MAX($C$31:$C$36)</f>
        <v>16.2</v>
      </c>
      <c r="G274" s="6" t="s">
        <v>24</v>
      </c>
      <c r="M274" s="6" t="s">
        <v>68</v>
      </c>
      <c r="O274" s="30">
        <f>785.4*O272^2/O273</f>
        <v>1130.9759999999999</v>
      </c>
      <c r="P274" s="30">
        <f>785.4*P272^2/P273</f>
        <v>1005.312</v>
      </c>
      <c r="Q274" s="30">
        <f>785.4*Q272^2/Q273</f>
        <v>966.64615384615388</v>
      </c>
      <c r="R274" s="30">
        <f>785.4*R272^2/R273</f>
        <v>950.33399999999995</v>
      </c>
      <c r="S274" s="30">
        <f>785.4*S272^2/S273</f>
        <v>981.75</v>
      </c>
    </row>
    <row r="275" spans="2:19" x14ac:dyDescent="0.2">
      <c r="B275" s="6" t="s">
        <v>74</v>
      </c>
      <c r="F275" s="30">
        <f>G271</f>
        <v>750</v>
      </c>
      <c r="G275" s="6" t="s">
        <v>43</v>
      </c>
      <c r="M275" s="6" t="s">
        <v>69</v>
      </c>
      <c r="O275" s="30">
        <f>IF(OR(O273&gt;300,O273&lt;100),100000000,O274-H277)</f>
        <v>180.97599999999977</v>
      </c>
      <c r="P275" s="30">
        <f>IF(OR(P273&gt;300,P273&lt;100),100000001,P274-H277)</f>
        <v>55.311999999999898</v>
      </c>
      <c r="Q275" s="30">
        <f>IF(OR(Q273&gt;300,Q273&lt;100),100000001,Q274-H277)</f>
        <v>100000001</v>
      </c>
      <c r="R275" s="30">
        <f>IF(OR(R273&gt;300,R273&lt;100),100000001,R274-H277)</f>
        <v>100000001</v>
      </c>
      <c r="S275" s="30">
        <f>IF(OR(S273&gt;300,S273&lt;100),100000001,S274-H277)</f>
        <v>100000001</v>
      </c>
    </row>
    <row r="276" spans="2:19" x14ac:dyDescent="0.2">
      <c r="M276" s="6" t="s">
        <v>70</v>
      </c>
      <c r="O276" s="30">
        <f>IF(S273&lt;100,25,IF(MIN(O275:S275)=O275,12,IF(MIN(O275:S275)=P275,16,IF(MIN(O275:S275)=Q275,20,IF(MIN(O275:S275)=R275,22,IF(MIN(O275:S275)=S275,25,0))))))</f>
        <v>16</v>
      </c>
      <c r="P276" s="6" t="s">
        <v>71</v>
      </c>
      <c r="Q276" s="30">
        <f>IF(O276=12,O273,IF(O276=16,P273,IF(O276=20,Q273,IF(O276=22,R273,IF(O276=25,S273,0)))))</f>
        <v>200</v>
      </c>
      <c r="R276" s="6" t="s">
        <v>72</v>
      </c>
    </row>
    <row r="277" spans="2:19" x14ac:dyDescent="0.2">
      <c r="B277" s="6" t="s">
        <v>77</v>
      </c>
      <c r="H277" s="7">
        <f>IF(F274&lt;=9,C150,C151)*IF(G271&lt;=380,G271,380)*1000</f>
        <v>950.00000000000011</v>
      </c>
      <c r="I277" s="6" t="s">
        <v>78</v>
      </c>
    </row>
    <row r="278" spans="2:19" x14ac:dyDescent="0.2">
      <c r="B278" s="6" t="s">
        <v>79</v>
      </c>
      <c r="C278" s="30">
        <f>IF(D1022=0,O276,D1022)</f>
        <v>16</v>
      </c>
      <c r="D278" s="6" t="s">
        <v>71</v>
      </c>
      <c r="E278" s="30">
        <f>IF(D1022=0,IF(Q276&gt;300,300,Q276),E1022)</f>
        <v>200</v>
      </c>
      <c r="F278" s="6" t="s">
        <v>290</v>
      </c>
      <c r="H278" s="30">
        <f>785.4*C278^2/E278</f>
        <v>1005.312</v>
      </c>
      <c r="I278" s="6" t="s">
        <v>81</v>
      </c>
    </row>
    <row r="279" spans="2:19" x14ac:dyDescent="0.2">
      <c r="B279" s="6" t="s">
        <v>82</v>
      </c>
      <c r="H279" s="30">
        <f>IF(F274&lt;=9,D150,D151)*IF(F275&lt;=380,F275,380)*1000</f>
        <v>570.00000000000011</v>
      </c>
      <c r="I279" s="6" t="s">
        <v>78</v>
      </c>
    </row>
    <row r="280" spans="2:19" x14ac:dyDescent="0.2">
      <c r="B280" s="6" t="s">
        <v>79</v>
      </c>
      <c r="C280" s="30">
        <v>16</v>
      </c>
      <c r="D280" s="6" t="s">
        <v>71</v>
      </c>
      <c r="E280" s="30">
        <v>250</v>
      </c>
      <c r="F280" s="6" t="s">
        <v>80</v>
      </c>
      <c r="H280" s="30">
        <f>785.4*C280^2/E280</f>
        <v>804.24959999999999</v>
      </c>
      <c r="I280" s="6" t="s">
        <v>81</v>
      </c>
      <c r="M280" s="6" t="s">
        <v>66</v>
      </c>
      <c r="O280" s="30">
        <v>12</v>
      </c>
      <c r="P280" s="30">
        <v>16</v>
      </c>
      <c r="Q280" s="30">
        <v>20</v>
      </c>
      <c r="R280" s="30">
        <v>22</v>
      </c>
      <c r="S280" s="30">
        <v>25</v>
      </c>
    </row>
    <row r="281" spans="2:19" x14ac:dyDescent="0.2">
      <c r="M281" s="6" t="s">
        <v>67</v>
      </c>
      <c r="O281" s="30">
        <f>IF(H279=0,100000000,TRUNC(785.4*O280^2/H279/25)*25)</f>
        <v>175</v>
      </c>
      <c r="P281" s="30">
        <f>IF(H279=0,100000000,TRUNC(785.4*P280^2/H279/25)*25)</f>
        <v>350</v>
      </c>
      <c r="Q281" s="30">
        <f>IF(H279=0,100000000,TRUNC(785.4*Q280^2/H279/25)*25)</f>
        <v>550</v>
      </c>
      <c r="R281" s="30">
        <f>IF(H279=0,100000000,TRUNC(785.4*R280^2/H279/25)*25)</f>
        <v>650</v>
      </c>
      <c r="S281" s="30">
        <f>IF(H279=0,100000000,TRUNC(785.4*S280^2/H279/25)*25)</f>
        <v>850</v>
      </c>
    </row>
    <row r="282" spans="2:19" x14ac:dyDescent="0.2">
      <c r="B282" s="47" t="s">
        <v>125</v>
      </c>
      <c r="M282" s="6" t="s">
        <v>68</v>
      </c>
      <c r="O282" s="30">
        <f>785.4*O280^2/O281</f>
        <v>646.27199999999993</v>
      </c>
      <c r="P282" s="30">
        <f>785.4*P280^2/P281</f>
        <v>574.46399999999994</v>
      </c>
      <c r="Q282" s="30">
        <f>785.4*Q280^2/Q281</f>
        <v>571.20000000000005</v>
      </c>
      <c r="R282" s="30">
        <f>785.4*R280^2/R281</f>
        <v>584.82092307692301</v>
      </c>
      <c r="S282" s="30">
        <f>785.4*S280^2/S281</f>
        <v>577.5</v>
      </c>
    </row>
    <row r="283" spans="2:19" x14ac:dyDescent="0.2">
      <c r="F283" s="6"/>
      <c r="M283" s="6" t="s">
        <v>69</v>
      </c>
      <c r="O283" s="30">
        <f>IF(OR(O281&gt;300,O281&lt;100),100000000,O282-H279)</f>
        <v>76.271999999999821</v>
      </c>
      <c r="P283" s="30">
        <f>IF(OR(P281&gt;300,P281&lt;100),100000001,P282-H279)</f>
        <v>100000001</v>
      </c>
      <c r="Q283" s="30">
        <f>IF(OR(Q281&gt;300,Q281&lt;100),100000001,Q282-H279)</f>
        <v>100000001</v>
      </c>
      <c r="R283" s="30">
        <f>IF(OR(R281&gt;300,R281&lt;100),100000001,R282-H279)</f>
        <v>100000001</v>
      </c>
      <c r="S283" s="30">
        <f>IF(OR(S281&gt;300,S281&lt;100),100000001,S282-H279)</f>
        <v>100000001</v>
      </c>
    </row>
    <row r="284" spans="2:19" x14ac:dyDescent="0.2">
      <c r="B284" s="6" t="s">
        <v>86</v>
      </c>
      <c r="G284" s="27">
        <f>F260</f>
        <v>0</v>
      </c>
      <c r="H284" s="6" t="s">
        <v>58</v>
      </c>
      <c r="M284" s="6" t="s">
        <v>70</v>
      </c>
      <c r="O284" s="30">
        <f>IF(S281&lt;100,25,IF(MIN(O283:S283)=O283,12,IF(MIN(O283:S283)=P283,16,IF(MIN(O283:S283)=Q283,20,IF(MIN(O283:S283)=R283,22,IF(MIN(O283:S283)=S283,25,0))))))</f>
        <v>12</v>
      </c>
      <c r="P284" s="6" t="s">
        <v>71</v>
      </c>
      <c r="Q284" s="30">
        <f>IF(O284=12,O281,IF(O284=16,P281,IF(O284=20,Q281,IF(O284=22,R281,IF(O284=25,S281,0)))))</f>
        <v>175</v>
      </c>
      <c r="R284" s="6" t="s">
        <v>72</v>
      </c>
    </row>
    <row r="285" spans="2:19" x14ac:dyDescent="0.2">
      <c r="B285" s="6" t="s">
        <v>381</v>
      </c>
      <c r="G285" s="39">
        <f>G271-H62</f>
        <v>675</v>
      </c>
      <c r="H285" s="7" t="s">
        <v>43</v>
      </c>
    </row>
    <row r="286" spans="2:19" x14ac:dyDescent="0.2">
      <c r="B286" s="7" t="s">
        <v>242</v>
      </c>
      <c r="G286" s="29">
        <f>G284/(H51*G68*G285)*1000000000</f>
        <v>0</v>
      </c>
      <c r="H286" s="6" t="s">
        <v>78</v>
      </c>
    </row>
    <row r="288" spans="2:19" x14ac:dyDescent="0.2">
      <c r="B288" s="46" t="s">
        <v>87</v>
      </c>
      <c r="M288" s="6" t="s">
        <v>66</v>
      </c>
      <c r="O288" s="30">
        <v>12</v>
      </c>
      <c r="P288" s="30">
        <v>16</v>
      </c>
      <c r="Q288" s="30">
        <v>20</v>
      </c>
      <c r="R288" s="30">
        <v>22</v>
      </c>
      <c r="S288" s="30">
        <v>25</v>
      </c>
    </row>
    <row r="289" spans="2:19" x14ac:dyDescent="0.2">
      <c r="M289" s="6" t="s">
        <v>67</v>
      </c>
      <c r="O289" s="30">
        <f>IF(H293=0,100000000,TRUNC(785.4*O288^2/H293/25)*25)</f>
        <v>125</v>
      </c>
      <c r="P289" s="30">
        <f>IF(H293=0,100000000,TRUNC(785.4*P288^2/H293/25)*25)</f>
        <v>250</v>
      </c>
      <c r="Q289" s="30">
        <f>IF(H293=0,100000000,TRUNC(785.4*Q288^2/H293/25)*25)</f>
        <v>400</v>
      </c>
      <c r="R289" s="30">
        <f>IF(H293=0,100000000,TRUNC(785.4*R288^2/H293/25)*25)</f>
        <v>500</v>
      </c>
      <c r="S289" s="30">
        <f>IF(H293=0,100000000,TRUNC(785.4*S288^2/H293/25)*25)</f>
        <v>625</v>
      </c>
    </row>
    <row r="290" spans="2:19" x14ac:dyDescent="0.2">
      <c r="B290" s="6" t="s">
        <v>266</v>
      </c>
      <c r="G290" s="27">
        <f>$H$31+$E$31/500</f>
        <v>2.9</v>
      </c>
      <c r="H290" s="27" t="s">
        <v>24</v>
      </c>
      <c r="M290" s="6" t="s">
        <v>68</v>
      </c>
      <c r="O290" s="30">
        <f>785.4*O288^2/O289</f>
        <v>904.78079999999989</v>
      </c>
      <c r="P290" s="30">
        <f>785.4*P288^2/P289</f>
        <v>804.24959999999999</v>
      </c>
      <c r="Q290" s="30">
        <f>785.4*Q288^2/Q289</f>
        <v>785.4</v>
      </c>
      <c r="R290" s="30">
        <f>785.4*R288^2/R289</f>
        <v>760.2672</v>
      </c>
      <c r="S290" s="30">
        <f>785.4*S288^2/S289</f>
        <v>785.4</v>
      </c>
    </row>
    <row r="291" spans="2:19" x14ac:dyDescent="0.2">
      <c r="B291" s="6" t="s">
        <v>265</v>
      </c>
      <c r="E291" s="31"/>
      <c r="G291" s="7">
        <f>IF(G290&lt;=9,C150,C151)*IF(G271&lt;=380,G271,380)*1000</f>
        <v>760</v>
      </c>
      <c r="H291" s="6" t="s">
        <v>78</v>
      </c>
      <c r="M291" s="6" t="s">
        <v>69</v>
      </c>
      <c r="O291" s="30">
        <f>IF(OR(O289&gt;300,O289&lt;100),100000000,O290-H293)</f>
        <v>144.78079999999989</v>
      </c>
      <c r="P291" s="30">
        <f>IF(OR(P289&gt;300,P289&lt;100),100000001,P290-H293)</f>
        <v>44.249599999999987</v>
      </c>
      <c r="Q291" s="30">
        <f>IF(OR(Q289&gt;300,Q289&lt;100),100000001,Q290-H293)</f>
        <v>100000001</v>
      </c>
      <c r="R291" s="30">
        <f>IF(OR(R289&gt;300,R289&lt;100),100000001,R290-H293)</f>
        <v>100000001</v>
      </c>
      <c r="S291" s="30">
        <f>IF(OR(S289&gt;300,S289&lt;100),100000001,S290-H293)</f>
        <v>100000001</v>
      </c>
    </row>
    <row r="292" spans="2:19" x14ac:dyDescent="0.2">
      <c r="M292" s="6" t="s">
        <v>70</v>
      </c>
      <c r="O292" s="30">
        <f>IF(S289&lt;100,25,IF(MIN(O291:S291)=O291,12,IF(MIN(O291:S291)=P291,16,IF(MIN(O291:S291)=Q291,20,IF(MIN(O291:S291)=R291,22,IF(MIN(O291:S291)=S291,25,0))))))</f>
        <v>16</v>
      </c>
      <c r="P292" s="6" t="s">
        <v>71</v>
      </c>
      <c r="Q292" s="30">
        <f>IF(O292=12,O289,IF(O292=16,P289,IF(O292=20,Q289,IF(O292=22,R289,IF(O292=25,S289,0)))))</f>
        <v>250</v>
      </c>
      <c r="R292" s="6" t="s">
        <v>72</v>
      </c>
    </row>
    <row r="293" spans="2:19" x14ac:dyDescent="0.2">
      <c r="B293" s="27" t="str">
        <f>IF(G286&gt;G291,"Ast(moment) &gt; Ast(shrinkage)","Ast(moment) &lt; Ast(shrinkage)")</f>
        <v>Ast(moment) &lt; Ast(shrinkage)</v>
      </c>
      <c r="E293" s="6" t="s">
        <v>244</v>
      </c>
      <c r="H293" s="30">
        <f>IF(G286&gt;G291,G286,G291)</f>
        <v>760</v>
      </c>
      <c r="I293" s="6" t="s">
        <v>89</v>
      </c>
    </row>
    <row r="294" spans="2:19" x14ac:dyDescent="0.2">
      <c r="B294" s="6" t="s">
        <v>79</v>
      </c>
      <c r="C294" s="30">
        <f>IF(D1042=0,O292,D1042)</f>
        <v>16</v>
      </c>
      <c r="D294" s="6" t="s">
        <v>71</v>
      </c>
      <c r="E294" s="30">
        <v>250</v>
      </c>
      <c r="F294" s="6" t="s">
        <v>80</v>
      </c>
      <c r="H294" s="30">
        <f>785.4*C294^2/E294</f>
        <v>804.24959999999999</v>
      </c>
      <c r="I294" s="6" t="s">
        <v>81</v>
      </c>
    </row>
    <row r="296" spans="2:19" x14ac:dyDescent="0.2">
      <c r="B296" s="47" t="s">
        <v>126</v>
      </c>
      <c r="M296" s="6" t="s">
        <v>66</v>
      </c>
      <c r="O296" s="30">
        <v>12</v>
      </c>
      <c r="P296" s="30">
        <v>16</v>
      </c>
      <c r="Q296" s="30">
        <v>20</v>
      </c>
      <c r="R296" s="30">
        <v>22</v>
      </c>
      <c r="S296" s="30">
        <v>25</v>
      </c>
    </row>
    <row r="297" spans="2:19" x14ac:dyDescent="0.2">
      <c r="F297" s="6"/>
      <c r="M297" s="6" t="s">
        <v>67</v>
      </c>
      <c r="O297" s="30">
        <f>IF(H303=0,100000000,TRUNC(785.4*O296^2/H303/25)*25)</f>
        <v>25</v>
      </c>
      <c r="P297" s="30">
        <f>IF(H303=0,100000000,TRUNC(785.4*P296^2/H303/25)*25)</f>
        <v>75</v>
      </c>
      <c r="Q297" s="30">
        <f>IF(H303=0,100000000,TRUNC(785.4*Q296^2/H303/25)*25)</f>
        <v>125</v>
      </c>
      <c r="R297" s="30">
        <f>IF(H303=0,100000000,TRUNC(785.4*R296^2/H303/25)*25)</f>
        <v>150</v>
      </c>
      <c r="S297" s="30">
        <f>IF(H303=0,100000000,TRUNC(785.4*S296^2/H303/25)*25)</f>
        <v>200</v>
      </c>
    </row>
    <row r="298" spans="2:19" x14ac:dyDescent="0.2">
      <c r="B298" s="7" t="s">
        <v>242</v>
      </c>
      <c r="H298" s="136">
        <f>F261/(H51*G68*G285)*1000000000</f>
        <v>2420.4558321154868</v>
      </c>
      <c r="I298" s="6" t="s">
        <v>78</v>
      </c>
      <c r="M298" s="6" t="s">
        <v>68</v>
      </c>
      <c r="O298" s="30">
        <f>785.4*O296^2/O297</f>
        <v>4523.9039999999995</v>
      </c>
      <c r="P298" s="30">
        <f>785.4*P296^2/P297</f>
        <v>2680.8319999999999</v>
      </c>
      <c r="Q298" s="30">
        <f>785.4*Q296^2/Q297</f>
        <v>2513.2800000000002</v>
      </c>
      <c r="R298" s="30">
        <f>785.4*R296^2/R297</f>
        <v>2534.2239999999997</v>
      </c>
      <c r="S298" s="30">
        <f>785.4*S296^2/S297</f>
        <v>2454.375</v>
      </c>
    </row>
    <row r="299" spans="2:19" x14ac:dyDescent="0.2">
      <c r="M299" s="6" t="s">
        <v>69</v>
      </c>
      <c r="O299" s="30">
        <f>IF(OR(O297&gt;300,O297&lt;100),100000000,O298-H303)</f>
        <v>100000000</v>
      </c>
      <c r="P299" s="30">
        <f>IF(OR(P297&gt;300,P297&lt;100),100000001,P298-H303)</f>
        <v>100000001</v>
      </c>
      <c r="Q299" s="30">
        <f>IF(OR(Q297&gt;300,Q297&lt;100),100000001,Q298-H303)</f>
        <v>92.824167884513372</v>
      </c>
      <c r="R299" s="30">
        <f>IF(OR(R297&gt;300,R297&lt;100),100000001,R298-H303)</f>
        <v>113.76816788451288</v>
      </c>
      <c r="S299" s="30">
        <f>IF(OR(S297&gt;300,S297&lt;100),100000001,S298-H303)</f>
        <v>33.919167884513172</v>
      </c>
    </row>
    <row r="300" spans="2:19" x14ac:dyDescent="0.2">
      <c r="B300" s="47" t="s">
        <v>87</v>
      </c>
      <c r="M300" s="6" t="s">
        <v>70</v>
      </c>
      <c r="O300" s="30">
        <f>IF(S297&lt;100,25,IF(MIN(O299:S299)=O299,12,IF(MIN(O299:S299)=P299,16,IF(MIN(O299:S299)=Q299,20,IF(MIN(O299:S299)=R299,22,IF(MIN(O299:S299)=S299,25,0))))))</f>
        <v>25</v>
      </c>
      <c r="P300" s="6" t="s">
        <v>71</v>
      </c>
      <c r="Q300" s="30">
        <f>IF(O300=12,O297,IF(O300=16,P297,IF(O300=20,Q297,IF(O300=22,R297,IF(O300=25,S297,0)))))</f>
        <v>200</v>
      </c>
      <c r="R300" s="6" t="s">
        <v>72</v>
      </c>
    </row>
    <row r="302" spans="2:19" x14ac:dyDescent="0.2">
      <c r="B302" s="6" t="s">
        <v>243</v>
      </c>
      <c r="E302" s="31"/>
      <c r="H302" s="7">
        <f>IF(G290&lt;=9,D150,D151)*IF(G271&lt;=380,G271,380)*1000</f>
        <v>380</v>
      </c>
      <c r="I302" s="6" t="s">
        <v>78</v>
      </c>
    </row>
    <row r="303" spans="2:19" x14ac:dyDescent="0.2">
      <c r="B303" s="27" t="str">
        <f>IF(H298&gt;H302,"Ast(moment)  &gt;  Ast(shrinkage)","Ast(moment)  &lt;  Ast(shrinkage)")</f>
        <v>Ast(moment)  &gt;  Ast(shrinkage)</v>
      </c>
      <c r="F303" s="6" t="s">
        <v>267</v>
      </c>
      <c r="H303" s="30">
        <f>IF(H298&gt;H302,H298,H302)</f>
        <v>2420.4558321154868</v>
      </c>
      <c r="I303" s="6" t="s">
        <v>89</v>
      </c>
    </row>
    <row r="304" spans="2:19" x14ac:dyDescent="0.2">
      <c r="B304" s="509" t="s">
        <v>79</v>
      </c>
      <c r="C304" s="510">
        <v>20</v>
      </c>
      <c r="D304" s="509" t="s">
        <v>71</v>
      </c>
      <c r="E304" s="510">
        <v>125</v>
      </c>
      <c r="F304" s="509" t="s">
        <v>80</v>
      </c>
      <c r="G304" s="511"/>
      <c r="H304" s="510">
        <f>785.4*C304^2/E304</f>
        <v>2513.2800000000002</v>
      </c>
      <c r="I304" s="509" t="s">
        <v>81</v>
      </c>
      <c r="J304" s="511"/>
      <c r="K304" s="511"/>
    </row>
    <row r="306" spans="2:11" x14ac:dyDescent="0.2">
      <c r="B306" s="47" t="s">
        <v>93</v>
      </c>
    </row>
    <row r="307" spans="2:11" x14ac:dyDescent="0.2">
      <c r="B307" s="6" t="s">
        <v>382</v>
      </c>
    </row>
    <row r="308" spans="2:11" x14ac:dyDescent="0.2">
      <c r="B308" s="6"/>
    </row>
    <row r="309" spans="2:11" x14ac:dyDescent="0.2">
      <c r="B309" s="47" t="s">
        <v>94</v>
      </c>
    </row>
    <row r="310" spans="2:11" x14ac:dyDescent="0.2">
      <c r="B310" s="6" t="s">
        <v>325</v>
      </c>
    </row>
    <row r="311" spans="2:11" x14ac:dyDescent="0.2">
      <c r="B311" s="6" t="s">
        <v>324</v>
      </c>
    </row>
    <row r="313" spans="2:11" x14ac:dyDescent="0.2">
      <c r="B313" s="6" t="s">
        <v>268</v>
      </c>
      <c r="F313" s="27"/>
      <c r="G313" s="21">
        <f>G249/2</f>
        <v>145.40982567863648</v>
      </c>
      <c r="H313" s="6" t="s">
        <v>58</v>
      </c>
    </row>
    <row r="315" spans="2:11" ht="14.25" x14ac:dyDescent="0.2">
      <c r="B315" s="6" t="s">
        <v>269</v>
      </c>
    </row>
    <row r="316" spans="2:11" x14ac:dyDescent="0.2">
      <c r="B316" s="6"/>
    </row>
    <row r="317" spans="2:11" x14ac:dyDescent="0.2">
      <c r="B317" s="21">
        <f>G313</f>
        <v>145.40982567863648</v>
      </c>
      <c r="C317" s="6" t="s">
        <v>55</v>
      </c>
      <c r="D317" s="21">
        <f>G249</f>
        <v>290.81965135727296</v>
      </c>
      <c r="E317" s="6" t="s">
        <v>111</v>
      </c>
      <c r="F317" s="27">
        <f>G245</f>
        <v>80.958000000000013</v>
      </c>
      <c r="G317" s="6" t="s">
        <v>127</v>
      </c>
      <c r="H317" s="27">
        <f>G247</f>
        <v>73.598181818181828</v>
      </c>
      <c r="I317" s="6" t="s">
        <v>128</v>
      </c>
    </row>
    <row r="318" spans="2:11" x14ac:dyDescent="0.2">
      <c r="B318" s="27">
        <v>0</v>
      </c>
      <c r="C318" s="6" t="s">
        <v>55</v>
      </c>
      <c r="D318" s="27">
        <f>D317-B317</f>
        <v>145.40982567863648</v>
      </c>
      <c r="E318" s="6" t="s">
        <v>111</v>
      </c>
      <c r="F318" s="27">
        <f>F317</f>
        <v>80.958000000000013</v>
      </c>
      <c r="G318" s="6" t="s">
        <v>127</v>
      </c>
      <c r="H318" s="27">
        <f>H317/2</f>
        <v>36.799090909090914</v>
      </c>
      <c r="I318" s="6" t="s">
        <v>129</v>
      </c>
    </row>
    <row r="320" spans="2:11" x14ac:dyDescent="0.2">
      <c r="B320" s="6" t="s">
        <v>383</v>
      </c>
      <c r="I320" s="6" t="s">
        <v>270</v>
      </c>
      <c r="J320" s="21">
        <f>IF(F318^2-4*D318*H318&lt;0,$J$31/2,(F318-SQRT(F318^2-4*H318*D318))/2/H318)</f>
        <v>1.1000000000000001</v>
      </c>
      <c r="K320" s="6" t="s">
        <v>24</v>
      </c>
    </row>
    <row r="321" spans="1:9" x14ac:dyDescent="0.2">
      <c r="B321" s="6" t="s">
        <v>271</v>
      </c>
    </row>
    <row r="322" spans="1:9" x14ac:dyDescent="0.2">
      <c r="E322" s="27" t="str">
        <f>IF(J320=$J$31/2,"There is no solution to the quadratic equation.","")</f>
        <v>There is no solution to the quadratic equation.</v>
      </c>
    </row>
    <row r="323" spans="1:9" x14ac:dyDescent="0.2">
      <c r="B323" s="6" t="s">
        <v>132</v>
      </c>
      <c r="G323" s="30">
        <f>$E$31</f>
        <v>700</v>
      </c>
      <c r="H323" s="6" t="s">
        <v>43</v>
      </c>
    </row>
    <row r="324" spans="1:9" x14ac:dyDescent="0.2">
      <c r="B324" s="6" t="s">
        <v>384</v>
      </c>
    </row>
    <row r="325" spans="1:9" x14ac:dyDescent="0.2">
      <c r="B325" s="6" t="s">
        <v>256</v>
      </c>
      <c r="E325" s="30"/>
      <c r="F325" s="6"/>
      <c r="G325" s="30">
        <f>12*C304</f>
        <v>240</v>
      </c>
      <c r="H325" s="6" t="s">
        <v>43</v>
      </c>
    </row>
    <row r="326" spans="1:9" x14ac:dyDescent="0.2">
      <c r="B326" s="6" t="s">
        <v>272</v>
      </c>
      <c r="G326" s="30">
        <f>G285</f>
        <v>675</v>
      </c>
      <c r="H326" s="6" t="s">
        <v>43</v>
      </c>
    </row>
    <row r="327" spans="1:9" x14ac:dyDescent="0.2">
      <c r="B327" s="6" t="s">
        <v>273</v>
      </c>
      <c r="G327" s="29">
        <f>J320-G323/2000+MAX(G325:G326)/1000</f>
        <v>1.4250000000000003</v>
      </c>
      <c r="H327" s="6" t="s">
        <v>24</v>
      </c>
    </row>
    <row r="328" spans="1:9" x14ac:dyDescent="0.2">
      <c r="B328" s="6" t="s">
        <v>274</v>
      </c>
    </row>
    <row r="329" spans="1:9" x14ac:dyDescent="0.2">
      <c r="B329" s="6" t="s">
        <v>133</v>
      </c>
      <c r="D329" s="29">
        <f>H31/2-G327</f>
        <v>-0.67500000000000027</v>
      </c>
      <c r="E329" s="7" t="str">
        <f>IF(D329&gt;=1,"&gt;1m  Curtailment should be made","&lt;1m  No curtailment x=B/2")</f>
        <v>&lt;1m  No curtailment x=B/2</v>
      </c>
    </row>
    <row r="330" spans="1:9" x14ac:dyDescent="0.2">
      <c r="A330" s="6"/>
    </row>
    <row r="331" spans="1:9" x14ac:dyDescent="0.2">
      <c r="B331" s="47" t="s">
        <v>87</v>
      </c>
    </row>
    <row r="333" spans="1:9" x14ac:dyDescent="0.2">
      <c r="B333" s="6" t="s">
        <v>395</v>
      </c>
      <c r="H333" s="136">
        <f>1/2*H304</f>
        <v>1256.6400000000001</v>
      </c>
      <c r="I333" s="6" t="s">
        <v>78</v>
      </c>
    </row>
    <row r="334" spans="1:9" x14ac:dyDescent="0.2">
      <c r="B334" s="6" t="s">
        <v>253</v>
      </c>
      <c r="F334" s="6"/>
      <c r="G334" s="30"/>
      <c r="H334" s="30">
        <f>H302</f>
        <v>380</v>
      </c>
      <c r="I334" s="6" t="s">
        <v>78</v>
      </c>
    </row>
    <row r="335" spans="1:9" x14ac:dyDescent="0.2">
      <c r="B335" s="27" t="str">
        <f>IF(H333&gt;=H334,"Ast(moment)  &gt;  Ast(shrinkage)","Ast(moment)  &lt;  Ast(shrinkage)")</f>
        <v>Ast(moment)  &gt;  Ast(shrinkage)</v>
      </c>
      <c r="F335" s="2" t="s">
        <v>396</v>
      </c>
      <c r="G335" s="50"/>
      <c r="H335" s="51">
        <f>IF(OR(D329&lt;1,H333&lt;H334),$H$31/2,G327)</f>
        <v>0.75</v>
      </c>
      <c r="I335" s="2" t="s">
        <v>115</v>
      </c>
    </row>
    <row r="337" spans="2:10" x14ac:dyDescent="0.2">
      <c r="B337" s="47" t="s">
        <v>116</v>
      </c>
    </row>
    <row r="338" spans="2:10" x14ac:dyDescent="0.2">
      <c r="B338" s="6" t="s">
        <v>275</v>
      </c>
      <c r="F338" s="27"/>
      <c r="G338" s="21">
        <f>G249/4</f>
        <v>72.70491283931824</v>
      </c>
      <c r="H338" s="6" t="s">
        <v>58</v>
      </c>
    </row>
    <row r="339" spans="2:10" ht="14.25" x14ac:dyDescent="0.2">
      <c r="B339" s="6" t="s">
        <v>276</v>
      </c>
    </row>
    <row r="341" spans="2:10" x14ac:dyDescent="0.2">
      <c r="B341" s="21">
        <f>G338</f>
        <v>72.70491283931824</v>
      </c>
      <c r="C341" s="6" t="s">
        <v>55</v>
      </c>
      <c r="D341" s="21">
        <f>G249</f>
        <v>290.81965135727296</v>
      </c>
      <c r="E341" s="6" t="s">
        <v>111</v>
      </c>
      <c r="F341" s="27">
        <f>G245</f>
        <v>80.958000000000013</v>
      </c>
      <c r="G341" s="6" t="s">
        <v>127</v>
      </c>
      <c r="H341" s="27">
        <f>G247</f>
        <v>73.598181818181828</v>
      </c>
      <c r="I341" s="6" t="s">
        <v>128</v>
      </c>
    </row>
    <row r="342" spans="2:10" x14ac:dyDescent="0.2">
      <c r="B342" s="6" t="s">
        <v>130</v>
      </c>
    </row>
    <row r="343" spans="2:10" x14ac:dyDescent="0.2">
      <c r="G343" s="58" t="str">
        <f>IF(C344=$J$31/2,"There is no solution to the quadratic equation.","")</f>
        <v>There is no solution to the quadratic equation.</v>
      </c>
      <c r="H343" s="66"/>
      <c r="I343" s="66"/>
      <c r="J343" s="66"/>
    </row>
    <row r="344" spans="2:10" x14ac:dyDescent="0.2">
      <c r="B344" s="6" t="s">
        <v>131</v>
      </c>
      <c r="C344" s="21">
        <f>IF(F341^2-2*H341*(D341-B341)&lt;0,$J$31/2,(F341-SQRT(F341^2-2*H341*(D341-B341)))/H341)</f>
        <v>1.1000000000000001</v>
      </c>
      <c r="D344" s="6" t="s">
        <v>24</v>
      </c>
      <c r="G344" s="58" t="str">
        <f>IF(C344=$J$31/2,"No curtailment should be made:   d  =  B'/2","")</f>
        <v>No curtailment should be made:   d  =  B'/2</v>
      </c>
      <c r="H344" s="66"/>
      <c r="I344" s="66"/>
      <c r="J344" s="66"/>
    </row>
    <row r="346" spans="2:10" x14ac:dyDescent="0.2">
      <c r="B346" s="6" t="s">
        <v>397</v>
      </c>
    </row>
    <row r="347" spans="2:10" x14ac:dyDescent="0.2">
      <c r="B347" s="6" t="s">
        <v>132</v>
      </c>
      <c r="G347" s="30">
        <f>$E$31</f>
        <v>700</v>
      </c>
      <c r="H347" s="6" t="s">
        <v>43</v>
      </c>
    </row>
    <row r="349" spans="2:10" x14ac:dyDescent="0.2">
      <c r="B349" s="6" t="s">
        <v>398</v>
      </c>
    </row>
    <row r="350" spans="2:10" x14ac:dyDescent="0.2">
      <c r="B350" s="6" t="s">
        <v>272</v>
      </c>
      <c r="G350" s="30">
        <f>G326</f>
        <v>675</v>
      </c>
      <c r="H350" s="6" t="s">
        <v>43</v>
      </c>
    </row>
    <row r="351" spans="2:10" x14ac:dyDescent="0.2">
      <c r="B351" s="6" t="s">
        <v>256</v>
      </c>
      <c r="E351" s="30"/>
      <c r="F351" s="6"/>
      <c r="G351" s="30">
        <f>12*C304</f>
        <v>240</v>
      </c>
      <c r="H351" s="6" t="s">
        <v>43</v>
      </c>
    </row>
    <row r="352" spans="2:10" x14ac:dyDescent="0.2">
      <c r="B352" s="27" t="str">
        <f>IF(G350&gt;=G351,"da  &gt;  12 * Bar Diameter","da  &lt;  12 * Bar Diameter")</f>
        <v>da  &gt;  12 * Bar Diameter</v>
      </c>
      <c r="E352" s="6" t="s">
        <v>251</v>
      </c>
      <c r="G352" s="30">
        <f>IF(G350&gt;G351,G350,G351)</f>
        <v>675</v>
      </c>
      <c r="H352" s="6" t="s">
        <v>62</v>
      </c>
    </row>
    <row r="353" spans="1:9" x14ac:dyDescent="0.2">
      <c r="B353" s="6" t="s">
        <v>110</v>
      </c>
      <c r="C353" s="27"/>
      <c r="D353" s="6"/>
      <c r="E353" s="27"/>
      <c r="F353" s="6"/>
      <c r="G353" s="29">
        <f>C344-G347/2000+G352/1000</f>
        <v>1.4250000000000003</v>
      </c>
      <c r="H353" s="6" t="s">
        <v>24</v>
      </c>
    </row>
    <row r="354" spans="1:9" x14ac:dyDescent="0.2">
      <c r="B354" s="6" t="s">
        <v>326</v>
      </c>
    </row>
    <row r="355" spans="1:9" x14ac:dyDescent="0.2">
      <c r="B355" s="6" t="s">
        <v>133</v>
      </c>
      <c r="C355" s="27">
        <f>H31/2-G353</f>
        <v>-0.67500000000000027</v>
      </c>
      <c r="D355" s="27" t="str">
        <f>IF(C355&gt;=1," &gt;  1 m        Curtailment should be made."," &lt;  1 m        Curtailment should not be made:   x  =  B/2")</f>
        <v xml:space="preserve"> &lt;  1 m        Curtailment should not be made:   x  =  B/2</v>
      </c>
    </row>
    <row r="357" spans="1:9" x14ac:dyDescent="0.2">
      <c r="B357" s="6" t="s">
        <v>87</v>
      </c>
    </row>
    <row r="359" spans="1:9" x14ac:dyDescent="0.2">
      <c r="B359" s="6" t="s">
        <v>277</v>
      </c>
      <c r="H359" s="136">
        <f>1/4*H298</f>
        <v>605.11395802887171</v>
      </c>
      <c r="I359" s="6" t="s">
        <v>78</v>
      </c>
    </row>
    <row r="360" spans="1:9" x14ac:dyDescent="0.2">
      <c r="B360" s="6" t="s">
        <v>113</v>
      </c>
      <c r="F360" s="6"/>
      <c r="G360" s="30"/>
      <c r="H360" s="30">
        <f>H302</f>
        <v>380</v>
      </c>
      <c r="I360" s="6" t="s">
        <v>78</v>
      </c>
    </row>
    <row r="361" spans="1:9" x14ac:dyDescent="0.2">
      <c r="B361" s="27" t="str">
        <f>IF(H359&gt;=H360,"Ast(moment)  &gt;  Ast(shrinkage)","Ast(moment)  &lt;  Ast(shrinkage)")</f>
        <v>Ast(moment)  &gt;  Ast(shrinkage)</v>
      </c>
      <c r="F361" s="2" t="s">
        <v>278</v>
      </c>
      <c r="G361" s="50"/>
      <c r="H361" s="51">
        <f>IF(OR(C355&lt;1,H359&lt;H360),$H$31/2,G353)</f>
        <v>0.75</v>
      </c>
      <c r="I361" s="2" t="s">
        <v>115</v>
      </c>
    </row>
    <row r="363" spans="1:9" x14ac:dyDescent="0.2">
      <c r="A363" s="48" t="s">
        <v>134</v>
      </c>
      <c r="B363" s="1"/>
      <c r="C363" s="1"/>
      <c r="D363" s="1"/>
    </row>
    <row r="365" spans="1:9" x14ac:dyDescent="0.2">
      <c r="A365" s="46" t="s">
        <v>54</v>
      </c>
    </row>
    <row r="366" spans="1:9" x14ac:dyDescent="0.2">
      <c r="C366" s="6" t="s">
        <v>135</v>
      </c>
      <c r="G366" s="21">
        <f>$H$46*$F$32*$H$44</f>
        <v>47.85087567928813</v>
      </c>
      <c r="H366" s="6" t="s">
        <v>35</v>
      </c>
    </row>
    <row r="367" spans="1:9" x14ac:dyDescent="0.2">
      <c r="C367" s="6" t="s">
        <v>136</v>
      </c>
      <c r="G367" s="21">
        <f>G366*$F$32/2</f>
        <v>110.6551500083538</v>
      </c>
      <c r="H367" s="6" t="s">
        <v>57</v>
      </c>
    </row>
    <row r="368" spans="1:9" x14ac:dyDescent="0.2">
      <c r="C368" s="6" t="s">
        <v>137</v>
      </c>
      <c r="G368" s="21">
        <f>G366*$F$32^2/6</f>
        <v>170.59335626287879</v>
      </c>
      <c r="H368" s="6" t="s">
        <v>58</v>
      </c>
    </row>
    <row r="370" spans="2:19" x14ac:dyDescent="0.2">
      <c r="B370" s="47" t="s">
        <v>59</v>
      </c>
    </row>
    <row r="371" spans="2:19" x14ac:dyDescent="0.2">
      <c r="C371" s="6" t="s">
        <v>279</v>
      </c>
      <c r="G371" s="30">
        <f>SQRT(G368/$G$69)*1000</f>
        <v>368.98315259030858</v>
      </c>
      <c r="H371" s="6" t="s">
        <v>43</v>
      </c>
    </row>
    <row r="372" spans="2:19" x14ac:dyDescent="0.2">
      <c r="C372" s="6" t="s">
        <v>280</v>
      </c>
      <c r="G372" s="30">
        <f>G367/$H$54*1000</f>
        <v>258.14424538574934</v>
      </c>
      <c r="H372" s="6" t="s">
        <v>43</v>
      </c>
      <c r="M372" s="6" t="s">
        <v>66</v>
      </c>
      <c r="O372" s="30">
        <v>12</v>
      </c>
      <c r="P372" s="30">
        <v>16</v>
      </c>
      <c r="Q372" s="30">
        <v>20</v>
      </c>
      <c r="R372" s="30">
        <v>22</v>
      </c>
      <c r="S372" s="30">
        <v>25</v>
      </c>
    </row>
    <row r="373" spans="2:19" x14ac:dyDescent="0.2">
      <c r="C373" s="6" t="s">
        <v>281</v>
      </c>
      <c r="G373" s="30">
        <f>MAX(G371:G372)+$H$62</f>
        <v>443.98315259030858</v>
      </c>
      <c r="H373" s="6" t="s">
        <v>43</v>
      </c>
      <c r="M373" s="6" t="s">
        <v>67</v>
      </c>
      <c r="O373" s="30">
        <f>IF(H379=0,100000000,TRUNC(785.4*O372^2/H379/25)*25)</f>
        <v>100</v>
      </c>
      <c r="P373" s="30">
        <f>IF(H379=0,100000000,TRUNC(785.4*P372^2/H379/25)*25)</f>
        <v>200</v>
      </c>
      <c r="Q373" s="30">
        <f>IF(H379=0,100000000,TRUNC(785.4*Q372^2/H379/25)*25)</f>
        <v>325</v>
      </c>
      <c r="R373" s="30">
        <f>IF(H379=0,100000000,TRUNC(785.4*R372^2/H379/25)*25)</f>
        <v>400</v>
      </c>
      <c r="S373" s="30">
        <f>IF(H379=0,100000000,TRUNC(785.4*S372^2/H379/25)*25)</f>
        <v>500</v>
      </c>
    </row>
    <row r="374" spans="2:19" x14ac:dyDescent="0.2">
      <c r="C374" s="6" t="s">
        <v>139</v>
      </c>
      <c r="G374" s="30">
        <f>$E$32</f>
        <v>700</v>
      </c>
      <c r="H374" s="6" t="s">
        <v>43</v>
      </c>
      <c r="M374" s="6" t="s">
        <v>68</v>
      </c>
      <c r="O374" s="30">
        <f>785.4*O372^2/O373</f>
        <v>1130.9759999999999</v>
      </c>
      <c r="P374" s="30">
        <f>785.4*P372^2/P373</f>
        <v>1005.312</v>
      </c>
      <c r="Q374" s="30">
        <f>785.4*Q372^2/Q373</f>
        <v>966.64615384615388</v>
      </c>
      <c r="R374" s="30">
        <f>785.4*R372^2/R373</f>
        <v>950.33399999999995</v>
      </c>
      <c r="S374" s="30">
        <f>785.4*S372^2/S373</f>
        <v>981.75</v>
      </c>
    </row>
    <row r="375" spans="2:19" x14ac:dyDescent="0.2">
      <c r="C375" s="27" t="str">
        <f>IF(G374&gt;=G373,"ta  &gt;  tr     Design is OK.","ta  &lt;  tr     Design is Not OK.")</f>
        <v>ta  &gt;  tr     Design is OK.</v>
      </c>
      <c r="G375" s="6" t="s">
        <v>64</v>
      </c>
      <c r="M375" s="6" t="s">
        <v>69</v>
      </c>
      <c r="O375" s="30">
        <f>IF(OR(O373&gt;300,O373&lt;100),100000000,O374-H379)</f>
        <v>180.97599999999977</v>
      </c>
      <c r="P375" s="30">
        <f>IF(OR(P373&gt;300,P373&lt;100),100000001,P374-H379)</f>
        <v>55.311999999999898</v>
      </c>
      <c r="Q375" s="30">
        <f>IF(OR(Q373&gt;300,Q373&lt;100),100000001,Q374-H379)</f>
        <v>100000001</v>
      </c>
      <c r="R375" s="30">
        <f>IF(OR(R373&gt;300,R373&lt;100),100000001,R374-H379)</f>
        <v>100000001</v>
      </c>
      <c r="S375" s="30">
        <f>IF(OR(S373&gt;300,S373&lt;100),100000001,S374-H379)</f>
        <v>100000001</v>
      </c>
    </row>
    <row r="376" spans="2:19" x14ac:dyDescent="0.2">
      <c r="M376" s="6" t="s">
        <v>70</v>
      </c>
      <c r="O376" s="30">
        <f>IF(S373&lt;100,25,IF(MIN(O375:S375)=O375,12,IF(MIN(O375:S375)=P375,16,IF(MIN(O375:S375)=Q375,20,IF(MIN(O375:S375)=R375,22,IF(MIN(O375:S375)=S375,25,0))))))</f>
        <v>16</v>
      </c>
      <c r="P376" s="6" t="s">
        <v>71</v>
      </c>
      <c r="Q376" s="30">
        <f>IF(O376=12,O373,IF(O376=16,P373,IF(O376=20,Q373,IF(O376=22,R373,IF(O376=25,S373,0)))))</f>
        <v>200</v>
      </c>
      <c r="R376" s="6" t="s">
        <v>72</v>
      </c>
    </row>
    <row r="377" spans="2:19" x14ac:dyDescent="0.2">
      <c r="B377" s="47" t="s">
        <v>123</v>
      </c>
    </row>
    <row r="378" spans="2:19" x14ac:dyDescent="0.2">
      <c r="B378" s="6" t="s">
        <v>140</v>
      </c>
      <c r="G378" s="21">
        <f>$G$40</f>
        <v>16.294247451171227</v>
      </c>
      <c r="H378" s="6" t="s">
        <v>24</v>
      </c>
    </row>
    <row r="379" spans="2:19" x14ac:dyDescent="0.2">
      <c r="B379" s="6" t="s">
        <v>141</v>
      </c>
      <c r="H379" s="30">
        <f>IF(G378&lt;=9,C150,C151)*IF(G374&lt;=380,G374,380)*1000</f>
        <v>950.00000000000011</v>
      </c>
      <c r="I379" s="6" t="s">
        <v>78</v>
      </c>
    </row>
    <row r="380" spans="2:19" x14ac:dyDescent="0.2">
      <c r="B380" s="6" t="s">
        <v>79</v>
      </c>
      <c r="C380" s="30">
        <f>IF(D1016=0,O376,D1016)</f>
        <v>16</v>
      </c>
      <c r="D380" s="6" t="s">
        <v>71</v>
      </c>
      <c r="E380" s="30">
        <f>IF(D1016=0,IF(Q376&gt;300,300,Q376),E1016)</f>
        <v>200</v>
      </c>
      <c r="F380" s="6" t="s">
        <v>80</v>
      </c>
      <c r="H380" s="30">
        <f>785.4*C380^2/E380</f>
        <v>1005.312</v>
      </c>
      <c r="I380" s="6" t="s">
        <v>81</v>
      </c>
      <c r="M380" s="6" t="s">
        <v>66</v>
      </c>
      <c r="O380" s="30">
        <v>12</v>
      </c>
      <c r="P380" s="30">
        <v>16</v>
      </c>
      <c r="Q380" s="30">
        <v>20</v>
      </c>
      <c r="R380" s="30">
        <v>22</v>
      </c>
      <c r="S380" s="30">
        <v>25</v>
      </c>
    </row>
    <row r="381" spans="2:19" x14ac:dyDescent="0.2">
      <c r="B381" s="6" t="s">
        <v>142</v>
      </c>
      <c r="H381" s="30">
        <f>IF(G378&lt;=9,D150,D151)*IF(G374&lt;=380,G374,380)*1000</f>
        <v>570.00000000000011</v>
      </c>
      <c r="I381" s="6" t="s">
        <v>78</v>
      </c>
      <c r="M381" s="6" t="s">
        <v>67</v>
      </c>
      <c r="O381" s="30">
        <f>IF(H381=0,100000000,TRUNC(785.4*O380^2/H381/25)*25)</f>
        <v>175</v>
      </c>
      <c r="P381" s="30">
        <f>IF(H381=0,100000000,TRUNC(785.4*P380^2/H381/25)*25)</f>
        <v>350</v>
      </c>
      <c r="Q381" s="30">
        <f>IF(H381=0,100000000,TRUNC(785.4*Q380^2/H381/25)*25)</f>
        <v>550</v>
      </c>
      <c r="R381" s="30">
        <f>IF(H381=0,100000000,TRUNC(785.4*R380^2/H381/25)*25)</f>
        <v>650</v>
      </c>
      <c r="S381" s="30">
        <f>IF(H381=0,100000000,TRUNC(785.4*S380^2/H381/25)*25)</f>
        <v>850</v>
      </c>
    </row>
    <row r="382" spans="2:19" x14ac:dyDescent="0.2">
      <c r="B382" s="6" t="s">
        <v>79</v>
      </c>
      <c r="C382" s="30">
        <v>16</v>
      </c>
      <c r="D382" s="6" t="s">
        <v>71</v>
      </c>
      <c r="E382" s="30">
        <v>250</v>
      </c>
      <c r="F382" s="6" t="s">
        <v>80</v>
      </c>
      <c r="H382" s="30">
        <f>785.4*C382^2/E382</f>
        <v>804.24959999999999</v>
      </c>
      <c r="I382" s="6" t="s">
        <v>81</v>
      </c>
      <c r="M382" s="6" t="s">
        <v>68</v>
      </c>
      <c r="O382" s="30">
        <f>785.4*O380^2/O381</f>
        <v>646.27199999999993</v>
      </c>
      <c r="P382" s="30">
        <f>785.4*P380^2/P381</f>
        <v>574.46399999999994</v>
      </c>
      <c r="Q382" s="30">
        <f>785.4*Q380^2/Q381</f>
        <v>571.20000000000005</v>
      </c>
      <c r="R382" s="30">
        <f>785.4*R380^2/R381</f>
        <v>584.82092307692301</v>
      </c>
      <c r="S382" s="30">
        <f>785.4*S380^2/S381</f>
        <v>577.5</v>
      </c>
    </row>
    <row r="383" spans="2:19" x14ac:dyDescent="0.2">
      <c r="M383" s="6" t="s">
        <v>69</v>
      </c>
      <c r="O383" s="30">
        <f>IF(OR(O381&gt;300,O381&lt;100),100000000,O382-H381)</f>
        <v>76.271999999999821</v>
      </c>
      <c r="P383" s="30">
        <f>IF(OR(P381&gt;300,P381&lt;100),100000001,P382-H381)</f>
        <v>100000001</v>
      </c>
      <c r="Q383" s="30">
        <f>IF(OR(Q381&gt;300,Q381&lt;100),100000001,Q382-H381)</f>
        <v>100000001</v>
      </c>
      <c r="R383" s="30">
        <f>IF(OR(R381&gt;300,R381&lt;100),100000001,R382-H381)</f>
        <v>100000001</v>
      </c>
      <c r="S383" s="30">
        <f>IF(OR(S381&gt;300,S381&lt;100),100000001,S382-H381)</f>
        <v>100000001</v>
      </c>
    </row>
    <row r="384" spans="2:19" x14ac:dyDescent="0.2">
      <c r="B384" s="47" t="s">
        <v>143</v>
      </c>
      <c r="M384" s="6" t="s">
        <v>70</v>
      </c>
      <c r="O384" s="30">
        <f>IF(S381&lt;100,25,IF(MIN(O383:S383)=O383,12,IF(MIN(O383:S383)=P383,16,IF(MIN(O383:S383)=Q383,20,IF(MIN(O383:S383)=R383,22,IF(MIN(O383:S383)=S383,25,0))))))</f>
        <v>12</v>
      </c>
      <c r="P384" s="6" t="s">
        <v>71</v>
      </c>
      <c r="Q384" s="30">
        <f>IF(O384=12,O381,IF(O384=16,P381,IF(O384=20,Q381,IF(O384=22,R381,IF(O384=25,S381,0)))))</f>
        <v>175</v>
      </c>
      <c r="R384" s="6" t="s">
        <v>72</v>
      </c>
    </row>
    <row r="385" spans="2:19" x14ac:dyDescent="0.2">
      <c r="B385" s="6" t="s">
        <v>144</v>
      </c>
      <c r="G385" s="21">
        <f>$F$32+$G$32/1000</f>
        <v>5.375</v>
      </c>
      <c r="H385" s="6" t="s">
        <v>24</v>
      </c>
    </row>
    <row r="386" spans="2:19" x14ac:dyDescent="0.2">
      <c r="C386" s="6" t="s">
        <v>84</v>
      </c>
      <c r="H386" s="30">
        <f>IF(AND(G385&lt;=9,G374&lt;380),$C$150*G374*1000,IF(G385&lt;=9,$C$150*380000,IF(G374&lt;380,$C$151*G374*1000,$C$151*380000)))</f>
        <v>760</v>
      </c>
      <c r="I386" s="6" t="s">
        <v>78</v>
      </c>
    </row>
    <row r="387" spans="2:19" x14ac:dyDescent="0.2">
      <c r="B387" s="6" t="s">
        <v>79</v>
      </c>
      <c r="C387" s="30">
        <f>IF(D1036=0,O392,D1036)</f>
        <v>16</v>
      </c>
      <c r="D387" s="6" t="s">
        <v>71</v>
      </c>
      <c r="E387" s="30">
        <v>200</v>
      </c>
      <c r="F387" s="6" t="s">
        <v>80</v>
      </c>
      <c r="H387" s="30">
        <f>785.4*C387^2/E387</f>
        <v>1005.312</v>
      </c>
      <c r="I387" s="6" t="s">
        <v>81</v>
      </c>
    </row>
    <row r="388" spans="2:19" x14ac:dyDescent="0.2">
      <c r="M388" s="6" t="s">
        <v>66</v>
      </c>
      <c r="O388" s="30">
        <v>12</v>
      </c>
      <c r="P388" s="30">
        <v>16</v>
      </c>
      <c r="Q388" s="30">
        <v>20</v>
      </c>
      <c r="R388" s="30">
        <v>22</v>
      </c>
      <c r="S388" s="30">
        <v>25</v>
      </c>
    </row>
    <row r="389" spans="2:19" x14ac:dyDescent="0.2">
      <c r="B389" s="47" t="s">
        <v>145</v>
      </c>
      <c r="M389" s="6" t="s">
        <v>67</v>
      </c>
      <c r="O389" s="30">
        <f>IF(H386=0,100000000,TRUNC(785.4*O388^2/H386/25)*25)</f>
        <v>125</v>
      </c>
      <c r="P389" s="30">
        <f>IF(H386=0,100000000,TRUNC(785.4*P388^2/H386/25)*25)</f>
        <v>250</v>
      </c>
      <c r="Q389" s="30">
        <f>IF(H386=0,100000000,TRUNC(785.4*Q388^2/H386/25)*25)</f>
        <v>400</v>
      </c>
      <c r="R389" s="30">
        <f>IF(H386=0,100000000,TRUNC(785.4*R388^2/H386/25)*25)</f>
        <v>500</v>
      </c>
      <c r="S389" s="30">
        <f>IF(H386=0,100000000,TRUNC(785.4*S388^2/H386/25)*25)</f>
        <v>625</v>
      </c>
    </row>
    <row r="390" spans="2:19" x14ac:dyDescent="0.2">
      <c r="B390" s="6" t="s">
        <v>146</v>
      </c>
      <c r="G390" s="30">
        <f>G368/$H$51/$G$68/(G374-$H$62)*1000000000</f>
        <v>1639.1936838736781</v>
      </c>
      <c r="H390" s="6" t="s">
        <v>78</v>
      </c>
      <c r="M390" s="6" t="s">
        <v>68</v>
      </c>
      <c r="O390" s="30">
        <f>785.4*O388^2/O389</f>
        <v>904.78079999999989</v>
      </c>
      <c r="P390" s="30">
        <f>785.4*P388^2/P389</f>
        <v>804.24959999999999</v>
      </c>
      <c r="Q390" s="30">
        <f>785.4*Q388^2/Q389</f>
        <v>785.4</v>
      </c>
      <c r="R390" s="30">
        <f>785.4*R388^2/R389</f>
        <v>760.2672</v>
      </c>
      <c r="S390" s="30">
        <f>785.4*S388^2/S389</f>
        <v>785.4</v>
      </c>
    </row>
    <row r="391" spans="2:19" x14ac:dyDescent="0.2">
      <c r="B391" s="6" t="s">
        <v>147</v>
      </c>
      <c r="G391" s="30">
        <f>IF(AND(G385&lt;=9,G374&lt;380),$D$150*G374*1000,IF(G385&lt;=9,$D$150*380000,IF(G374&lt;380,$D$151*G374*1000,$D$151*380000)))</f>
        <v>380</v>
      </c>
      <c r="H391" s="6" t="s">
        <v>78</v>
      </c>
      <c r="M391" s="6" t="s">
        <v>69</v>
      </c>
      <c r="O391" s="30">
        <f>IF(OR(O389&gt;300,O389&lt;100),100000000,O390-H386)</f>
        <v>144.78079999999989</v>
      </c>
      <c r="P391" s="30">
        <f>IF(OR(P389&gt;300,P389&lt;100),100000001,P390-H386)</f>
        <v>44.249599999999987</v>
      </c>
      <c r="Q391" s="30">
        <f>IF(OR(Q389&gt;300,Q389&lt;100),100000001,Q390-H386)</f>
        <v>100000001</v>
      </c>
      <c r="R391" s="30">
        <f>IF(OR(R389&gt;300,R389&lt;100),100000001,R390-H386)</f>
        <v>100000001</v>
      </c>
      <c r="S391" s="30">
        <f>IF(OR(S389&gt;300,S389&lt;100),100000001,S390-H386)</f>
        <v>100000001</v>
      </c>
    </row>
    <row r="392" spans="2:19" x14ac:dyDescent="0.2">
      <c r="B392" s="6" t="s">
        <v>88</v>
      </c>
      <c r="H392" s="30">
        <f>MAX(G390:G391)</f>
        <v>1639.1936838736781</v>
      </c>
      <c r="I392" s="6" t="s">
        <v>89</v>
      </c>
      <c r="M392" s="6" t="s">
        <v>70</v>
      </c>
      <c r="O392" s="30">
        <f>IF(S389&lt;100,25,IF(MIN(O391:S391)=O391,12,IF(MIN(O391:S391)=P391,16,IF(MIN(O391:S391)=Q391,20,IF(MIN(O391:S391)=R391,22,IF(MIN(O391:S391)=S391,25,0))))))</f>
        <v>16</v>
      </c>
      <c r="P392" s="6" t="s">
        <v>71</v>
      </c>
      <c r="Q392" s="30">
        <f>IF(O392=12,O389,IF(O392=16,P389,IF(O392=20,Q389,IF(O392=22,R389,IF(O392=25,S389,0)))))</f>
        <v>250</v>
      </c>
      <c r="R392" s="6" t="s">
        <v>72</v>
      </c>
    </row>
    <row r="393" spans="2:19" x14ac:dyDescent="0.2">
      <c r="B393" s="509" t="s">
        <v>79</v>
      </c>
      <c r="C393" s="510">
        <v>20</v>
      </c>
      <c r="D393" s="509" t="s">
        <v>71</v>
      </c>
      <c r="E393" s="510">
        <v>125</v>
      </c>
      <c r="F393" s="509" t="s">
        <v>80</v>
      </c>
      <c r="G393" s="511"/>
      <c r="H393" s="510">
        <f>785.4*C393^2/E393</f>
        <v>2513.2800000000002</v>
      </c>
      <c r="I393" s="509" t="s">
        <v>81</v>
      </c>
      <c r="J393" s="511"/>
      <c r="K393" s="674"/>
    </row>
    <row r="394" spans="2:19" x14ac:dyDescent="0.2">
      <c r="B394" s="49" t="s">
        <v>90</v>
      </c>
    </row>
    <row r="395" spans="2:19" x14ac:dyDescent="0.2">
      <c r="B395" s="6" t="s">
        <v>148</v>
      </c>
      <c r="D395" s="24">
        <f>$H$56/C393</f>
        <v>840.99690843664825</v>
      </c>
      <c r="E395" s="6" t="s">
        <v>149</v>
      </c>
      <c r="F395" s="30">
        <f>$H$57</f>
        <v>1103</v>
      </c>
      <c r="G395" s="6" t="s">
        <v>35</v>
      </c>
      <c r="H395" s="6" t="s">
        <v>150</v>
      </c>
      <c r="J395" s="21">
        <f>MIN(D395,F395)</f>
        <v>840.99690843664825</v>
      </c>
      <c r="K395" s="6" t="s">
        <v>35</v>
      </c>
    </row>
    <row r="396" spans="2:19" x14ac:dyDescent="0.2">
      <c r="B396" s="6" t="s">
        <v>151</v>
      </c>
      <c r="D396" s="21">
        <f>G367/(PI()*C393/E393)/$G$68/(G374-$H$62)*1000</f>
        <v>394.07854332417412</v>
      </c>
      <c r="E396" s="6" t="s">
        <v>35</v>
      </c>
      <c r="F396" s="27" t="str">
        <f>IF(J395&gt;=D396,"bs(allow)  &gt;  bs(actual)    Design is OK.  &lt;-----","bs(allow)  &lt;  bs(actual)    Design is not OK.  &lt;-----")</f>
        <v>bs(allow)  &gt;  bs(actual)    Design is OK.  &lt;-----</v>
      </c>
      <c r="M396" s="6" t="s">
        <v>66</v>
      </c>
      <c r="O396" s="30">
        <v>12</v>
      </c>
      <c r="P396" s="30">
        <v>16</v>
      </c>
      <c r="Q396" s="30">
        <v>20</v>
      </c>
      <c r="R396" s="30">
        <v>22</v>
      </c>
      <c r="S396" s="30">
        <v>25</v>
      </c>
    </row>
    <row r="397" spans="2:19" x14ac:dyDescent="0.2">
      <c r="M397" s="6" t="s">
        <v>67</v>
      </c>
      <c r="O397" s="30">
        <f>IF(H392=0,100000000,TRUNC(785.4*O396^2/H392/25)*25)</f>
        <v>50</v>
      </c>
      <c r="P397" s="30">
        <f>IF(H392=0,100000000,TRUNC(785.4*P396^2/H392/25)*25)</f>
        <v>100</v>
      </c>
      <c r="Q397" s="30">
        <f>IF(H392=0,100000000,TRUNC(785.4*Q396^2/H392/25)*25)</f>
        <v>175</v>
      </c>
      <c r="R397" s="30">
        <f>IF(H392=0,100000000,TRUNC(785.4*R396^2/H392/25)*25)</f>
        <v>225</v>
      </c>
      <c r="S397" s="30">
        <f>IF(H392=0,100000000,TRUNC(785.4*S396^2/H392/25)*25)</f>
        <v>275</v>
      </c>
    </row>
    <row r="398" spans="2:19" x14ac:dyDescent="0.2">
      <c r="B398" s="55" t="s">
        <v>93</v>
      </c>
      <c r="M398" s="6" t="s">
        <v>68</v>
      </c>
      <c r="O398" s="30">
        <f>785.4*O396^2/O397</f>
        <v>2261.9519999999998</v>
      </c>
      <c r="P398" s="30">
        <f>785.4*P396^2/P397</f>
        <v>2010.624</v>
      </c>
      <c r="Q398" s="30">
        <f>785.4*Q396^2/Q397</f>
        <v>1795.2</v>
      </c>
      <c r="R398" s="30">
        <f>785.4*R396^2/R397</f>
        <v>1689.4826666666665</v>
      </c>
      <c r="S398" s="30">
        <f>785.4*S396^2/S397</f>
        <v>1785</v>
      </c>
    </row>
    <row r="399" spans="2:19" x14ac:dyDescent="0.2">
      <c r="M399" s="6" t="s">
        <v>69</v>
      </c>
      <c r="O399" s="30">
        <f>IF(OR(O397&gt;300,O397&lt;100),100000000,O398-H392)</f>
        <v>100000000</v>
      </c>
      <c r="P399" s="30">
        <f>IF(OR(P397&gt;300,P397&lt;100),100000001,P398-H392)</f>
        <v>371.43031612632194</v>
      </c>
      <c r="Q399" s="30">
        <f>IF(OR(Q397&gt;300,Q397&lt;100),100000001,Q398-H392)</f>
        <v>156.00631612632196</v>
      </c>
      <c r="R399" s="30">
        <f>IF(OR(R397&gt;300,R397&lt;100),100000001,R398-H392)</f>
        <v>50.288982792988463</v>
      </c>
      <c r="S399" s="30">
        <f>IF(OR(S397&gt;300,S397&lt;100),100000001,S398-H392)</f>
        <v>145.80631612632192</v>
      </c>
    </row>
    <row r="400" spans="2:19" x14ac:dyDescent="0.2">
      <c r="B400" s="47" t="s">
        <v>94</v>
      </c>
      <c r="M400" s="6" t="s">
        <v>70</v>
      </c>
      <c r="O400" s="30">
        <f>IF(S397&lt;100,25,IF(MIN(O399:S399)=O399,12,IF(MIN(O399:S399)=P399,16,IF(MIN(O399:S399)=Q399,20,IF(MIN(O399:S399)=R399,22,IF(MIN(O399:S399)=S399,25,0))))))</f>
        <v>22</v>
      </c>
      <c r="P400" s="6" t="s">
        <v>71</v>
      </c>
      <c r="Q400" s="30">
        <f>IF(O400=12,O397,IF(O400=16,P397,IF(O400=20,Q397,IF(O400=22,R397,IF(O400=25,S397,0)))))</f>
        <v>225</v>
      </c>
      <c r="R400" s="6" t="s">
        <v>72</v>
      </c>
    </row>
    <row r="401" spans="2:20" x14ac:dyDescent="0.2">
      <c r="B401" s="6" t="s">
        <v>156</v>
      </c>
      <c r="D401" s="43">
        <f>1/2*H393*$H$51*$G$68*($D$32-$H$62)/1000000000</f>
        <v>47.080950491908808</v>
      </c>
      <c r="E401" s="6" t="s">
        <v>99</v>
      </c>
      <c r="F401" s="43">
        <f>1/2*H393*$H$51*$G$68*($E$32-$D$32)/$F$32/1000000000</f>
        <v>18.097182171064048</v>
      </c>
      <c r="G401" s="6" t="s">
        <v>417</v>
      </c>
      <c r="H401" s="7">
        <v>1.2717000000000001</v>
      </c>
      <c r="I401" s="6" t="s">
        <v>104</v>
      </c>
    </row>
    <row r="402" spans="2:20" x14ac:dyDescent="0.2">
      <c r="B402" s="6" t="s">
        <v>158</v>
      </c>
      <c r="D402" s="43">
        <f>$H$46*$H$44/6</f>
        <v>1.7243558803347074</v>
      </c>
      <c r="E402" s="6" t="s">
        <v>104</v>
      </c>
    </row>
    <row r="403" spans="2:20" x14ac:dyDescent="0.2">
      <c r="B403" s="6" t="s">
        <v>159</v>
      </c>
      <c r="F403" s="168">
        <f>T413</f>
        <v>4.6989999999999998</v>
      </c>
      <c r="G403" s="6" t="s">
        <v>107</v>
      </c>
    </row>
    <row r="404" spans="2:20" x14ac:dyDescent="0.2">
      <c r="B404" s="6" t="s">
        <v>160</v>
      </c>
      <c r="F404" s="21">
        <f>IF($D$32+($E$32-$D$32)*F403/$F$32-$H$62&gt;12*C393,$F$32-F403+($D$32+($E$32-$D$32)*F403/$F$32-$H$62)/1000,$F$32-F403+(12*C393)/1000)</f>
        <v>0.55740000000000012</v>
      </c>
      <c r="G404" s="6" t="s">
        <v>24</v>
      </c>
    </row>
    <row r="405" spans="2:20" x14ac:dyDescent="0.2">
      <c r="B405" s="6" t="s">
        <v>288</v>
      </c>
      <c r="F405" s="21">
        <f>$F$32-F404</f>
        <v>4.0675999999999997</v>
      </c>
      <c r="G405" s="27" t="str">
        <f>IF(F405&gt;=1,"m &gt; 1 m   Curtailment should be made.","m &lt; 1 m    Curtailment should not be made.")</f>
        <v>m &gt; 1 m   Curtailment should be made.</v>
      </c>
    </row>
    <row r="406" spans="2:20" x14ac:dyDescent="0.2">
      <c r="M406" s="6" t="s">
        <v>152</v>
      </c>
      <c r="O406" s="6" t="s">
        <v>153</v>
      </c>
      <c r="Q406" s="6" t="s">
        <v>154</v>
      </c>
      <c r="S406" s="6" t="s">
        <v>155</v>
      </c>
    </row>
    <row r="407" spans="2:20" x14ac:dyDescent="0.2">
      <c r="B407" s="47" t="s">
        <v>87</v>
      </c>
      <c r="M407" s="6" t="s">
        <v>157</v>
      </c>
      <c r="O407" s="6" t="s">
        <v>157</v>
      </c>
      <c r="Q407" s="6" t="s">
        <v>157</v>
      </c>
      <c r="S407" s="6" t="s">
        <v>157</v>
      </c>
    </row>
    <row r="408" spans="2:20" x14ac:dyDescent="0.2">
      <c r="B408" s="6" t="s">
        <v>287</v>
      </c>
      <c r="F408" s="30">
        <f>G390/2</f>
        <v>819.59684193683904</v>
      </c>
      <c r="G408" s="6" t="s">
        <v>78</v>
      </c>
      <c r="M408" s="27">
        <f>D528*N408^3-F527*N408</f>
        <v>0</v>
      </c>
      <c r="N408" s="25">
        <v>0</v>
      </c>
      <c r="O408" s="43">
        <f>H401*P408^3-F401*P408</f>
        <v>42.111899841641275</v>
      </c>
      <c r="P408" s="25">
        <f>N414</f>
        <v>4.625</v>
      </c>
      <c r="Q408" s="44">
        <f>H401*R408^3-F401*R408</f>
        <v>42.111899841641275</v>
      </c>
      <c r="R408" s="25">
        <f>P413</f>
        <v>4.625</v>
      </c>
      <c r="S408" s="44">
        <f>H401*T408^3-F401*T408</f>
        <v>46.90879244886834</v>
      </c>
      <c r="T408" s="25">
        <f>R413</f>
        <v>4.6989999999999998</v>
      </c>
    </row>
    <row r="409" spans="2:20" x14ac:dyDescent="0.2">
      <c r="B409" s="27" t="str">
        <f>IF(F408&gt;=G391,"Ast(moment) &gt; Ast(shrinkage)","Ast(moment) &lt; Ast(shrinkage)")</f>
        <v>Ast(moment) &gt; Ast(shrinkage)</v>
      </c>
      <c r="F409" s="2" t="s">
        <v>114</v>
      </c>
      <c r="G409" s="50"/>
      <c r="H409" s="51">
        <f>IF(OR(F405&lt;1,F408&lt;G391),$F$32,F404)</f>
        <v>0.55740000000000012</v>
      </c>
      <c r="I409" s="2" t="s">
        <v>115</v>
      </c>
      <c r="M409" s="43">
        <f>H401*N409^3-F401*N409</f>
        <v>-15.733402569171746</v>
      </c>
      <c r="N409" s="25">
        <f>0.2*$F$32</f>
        <v>0.92500000000000004</v>
      </c>
      <c r="O409" s="43">
        <f>H401*P409^3-F401*P409</f>
        <v>54.473231716881884</v>
      </c>
      <c r="P409" s="25">
        <f>N414+0.04*$F$32</f>
        <v>4.8099999999999996</v>
      </c>
      <c r="Q409" s="44">
        <f>H401*R409^3-F401*R409</f>
        <v>44.485997116457014</v>
      </c>
      <c r="R409" s="25">
        <f>P413+0.008*$F$32</f>
        <v>4.6619999999999999</v>
      </c>
      <c r="S409" s="44">
        <f>H401*T409^3-F401*T409</f>
        <v>47.399229293603852</v>
      </c>
      <c r="T409" s="25">
        <f>R413+0.0016*$F$32</f>
        <v>4.7063999999999995</v>
      </c>
    </row>
    <row r="410" spans="2:20" x14ac:dyDescent="0.2">
      <c r="M410" s="43">
        <f>H401*N410^3-F401*N410</f>
        <v>-25.427859503968492</v>
      </c>
      <c r="N410" s="25">
        <f>0.4*$F$32</f>
        <v>1.85</v>
      </c>
      <c r="O410" s="43">
        <f>H401*P410^3-F401*P410</f>
        <v>68.090664284072588</v>
      </c>
      <c r="P410" s="25">
        <f>N414+0.08*$F$32</f>
        <v>4.9950000000000001</v>
      </c>
      <c r="Q410" s="44">
        <f>H401*R410^3-F401*R410</f>
        <v>46.90879244886834</v>
      </c>
      <c r="R410" s="25">
        <f>P413+0.016*$F$32</f>
        <v>4.6989999999999998</v>
      </c>
      <c r="S410" s="44">
        <f>H401*T410^3-F401*T410</f>
        <v>47.891632612284269</v>
      </c>
      <c r="T410" s="25">
        <f>R413+0.0032*$F$32</f>
        <v>4.7138</v>
      </c>
    </row>
    <row r="411" spans="2:20" x14ac:dyDescent="0.2">
      <c r="B411" s="47" t="s">
        <v>116</v>
      </c>
      <c r="M411" s="43">
        <f>H401*N411^3-F401*N411</f>
        <v>-23.044425170015234</v>
      </c>
      <c r="N411" s="25">
        <f>0.6*$F$32</f>
        <v>2.7749999999999999</v>
      </c>
      <c r="O411" s="43">
        <f>H401*P411^3-F401*P411</f>
        <v>83.012509108288199</v>
      </c>
      <c r="P411" s="25">
        <f>N414+0.12*$F$32</f>
        <v>5.18</v>
      </c>
      <c r="Q411" s="44">
        <f>H401*R411^3-F401*R411</f>
        <v>49.380672331395857</v>
      </c>
      <c r="R411" s="25">
        <f>P413+0.024*$F$32</f>
        <v>4.7359999999999998</v>
      </c>
      <c r="S411" s="44">
        <f>H401*T411^3-F401*T411</f>
        <v>48.386005496849577</v>
      </c>
      <c r="T411" s="25">
        <f>R413+0.0048*$F$32</f>
        <v>4.7211999999999996</v>
      </c>
    </row>
    <row r="412" spans="2:20" x14ac:dyDescent="0.2">
      <c r="B412" s="6" t="s">
        <v>156</v>
      </c>
      <c r="D412" s="43">
        <f>1/4*H393*$H$51*$G$68*($D$32-$H$62)/1000000000</f>
        <v>23.540475245954404</v>
      </c>
      <c r="E412" s="6" t="s">
        <v>99</v>
      </c>
      <c r="F412" s="43">
        <f>1/4*H393*$H$51*$G$68*($E$32-$D$32)/$F$32/1000000000</f>
        <v>9.0485910855320242</v>
      </c>
      <c r="G412" s="6" t="s">
        <v>417</v>
      </c>
      <c r="H412" s="7">
        <v>1.2717000000000001</v>
      </c>
      <c r="I412" s="6" t="s">
        <v>104</v>
      </c>
      <c r="M412" s="43">
        <f>H401*N412^3-F401*N412</f>
        <v>-2.5441539329369789</v>
      </c>
      <c r="N412" s="25">
        <f>0.8*$F$32</f>
        <v>3.7</v>
      </c>
      <c r="O412" s="43">
        <f>H401*P412^3-F401*P412</f>
        <v>99.287077754603885</v>
      </c>
      <c r="P412" s="25">
        <f>N414+0.16*$F$32</f>
        <v>5.3650000000000002</v>
      </c>
      <c r="Q412" s="44">
        <f>H401*R412^3-F401*R412</f>
        <v>51.902023256560156</v>
      </c>
      <c r="R412" s="25">
        <f>P413+0.032*$F$32</f>
        <v>4.7729999999999997</v>
      </c>
      <c r="S412" s="44">
        <f>H401*T412^3-F401*T412</f>
        <v>48.882351039240092</v>
      </c>
      <c r="T412" s="25">
        <f>R413+0.0064*$F$32</f>
        <v>4.7286000000000001</v>
      </c>
    </row>
    <row r="413" spans="2:20" x14ac:dyDescent="0.2">
      <c r="B413" s="6" t="s">
        <v>158</v>
      </c>
      <c r="D413" s="43">
        <f>$H$46*$H$44/6</f>
        <v>1.7243558803347074</v>
      </c>
      <c r="E413" s="6" t="s">
        <v>104</v>
      </c>
      <c r="M413" s="43">
        <f>H401*N413^3-F401*N413</f>
        <v>42.111899841641275</v>
      </c>
      <c r="N413" s="25">
        <f>$F$32</f>
        <v>4.625</v>
      </c>
      <c r="P413" s="25">
        <f>IF(O409&gt;O408,VLOOKUP(D401,O408:P412,2),IF(O410&gt;O409,VLOOKUP(D401,O409:P412,2),IF(O411&gt;O410,VLOOKUP(D401,O410:P412,2),IF(O412&gt;O411,VLOOKUP(D401,O411:P412,2),P412))))</f>
        <v>4.625</v>
      </c>
      <c r="R413" s="25">
        <f>IF(Q409&gt;Q408,VLOOKUP(D401,Q408:R412,2),IF(Q410&gt;Q409,VLOOKUP(D401,Q409:R412,2),IF(Q411&gt;Q410,VLOOKUP(D401,Q410:R412,2),IF(Q412&gt;Q411,VLOOKUP(D401,Q411:R412,2),R412))))</f>
        <v>4.6989999999999998</v>
      </c>
      <c r="T413" s="25">
        <f>IF(S409&gt;S408,VLOOKUP(D401,S408:T412,2),IF(S410&gt;S409,VLOOKUP(D401,S409:T412,2),IF(S411&gt;S410,VLOOKUP(D401,S410:T412,2),IF(S412&gt;S411,VLOOKUP(D401,S411:T412,2),T412))))</f>
        <v>4.6989999999999998</v>
      </c>
    </row>
    <row r="414" spans="2:20" x14ac:dyDescent="0.2">
      <c r="B414" s="6" t="s">
        <v>159</v>
      </c>
      <c r="F414" s="168">
        <f>T423</f>
        <v>3.5149999999999997</v>
      </c>
      <c r="G414" s="6" t="s">
        <v>107</v>
      </c>
      <c r="N414" s="25">
        <f>IF(M409&gt;M408,VLOOKUP(D401,M408:N413,2),IF(M410&gt;M409,VLOOKUP(D401,M409:N413,2),IF(M411&gt;M410,VLOOKUP(D401,M410:N413,2),IF(M412&gt;M411,VLOOKUP(D401,M411:N413,2),IF(M413&gt;M412,VLOOKUP(D401,M412:N413,2),N413)))))</f>
        <v>4.625</v>
      </c>
    </row>
    <row r="415" spans="2:20" x14ac:dyDescent="0.2">
      <c r="B415" s="6" t="s">
        <v>160</v>
      </c>
      <c r="F415" s="21">
        <f>IF($D$32+($E$32-$D$32)*F414/$F$32-$H$62&gt;12*C393,$F$32-F414+($D$32+($E$32-$D$32)*F414/$F$32-$H$62)/1000,$F$32-F414+(12*C393)/1000)</f>
        <v>1.6390000000000002</v>
      </c>
      <c r="G415" s="6" t="s">
        <v>24</v>
      </c>
    </row>
    <row r="416" spans="2:20" x14ac:dyDescent="0.2">
      <c r="B416" s="6" t="s">
        <v>112</v>
      </c>
      <c r="F416" s="21">
        <f>$F$32-F415</f>
        <v>2.9859999999999998</v>
      </c>
      <c r="G416" s="27" t="str">
        <f>IF(F416&gt;=1,"m &gt; 1 m   Curtailment should be made."," m&lt; 1 m   Curtailment should not be made.")</f>
        <v>m &gt; 1 m   Curtailment should be made.</v>
      </c>
      <c r="M416" s="6" t="s">
        <v>152</v>
      </c>
      <c r="O416" s="6" t="s">
        <v>153</v>
      </c>
      <c r="Q416" s="6" t="s">
        <v>154</v>
      </c>
      <c r="S416" s="6" t="s">
        <v>155</v>
      </c>
    </row>
    <row r="417" spans="1:20" x14ac:dyDescent="0.2">
      <c r="M417" s="6" t="s">
        <v>157</v>
      </c>
      <c r="O417" s="6" t="s">
        <v>157</v>
      </c>
      <c r="Q417" s="6" t="s">
        <v>157</v>
      </c>
      <c r="S417" s="6" t="s">
        <v>157</v>
      </c>
    </row>
    <row r="418" spans="1:20" x14ac:dyDescent="0.2">
      <c r="B418" s="47" t="s">
        <v>87</v>
      </c>
      <c r="M418" s="27">
        <f>F412*N418^3-H412*N418</f>
        <v>0</v>
      </c>
      <c r="N418" s="25">
        <v>0</v>
      </c>
      <c r="O418" s="43">
        <f>H412*P418^3-F412*P418</f>
        <v>2.0654150923361314</v>
      </c>
      <c r="P418" s="25">
        <f>N424</f>
        <v>2.7749999999999999</v>
      </c>
      <c r="Q418" s="44">
        <f>H412*R418^3-F412*R418</f>
        <v>23.422373142592416</v>
      </c>
      <c r="R418" s="25">
        <f>P423</f>
        <v>3.5149999999999997</v>
      </c>
      <c r="S418" s="44">
        <f>H412*T418^3-F412*T418</f>
        <v>23.422373142592416</v>
      </c>
      <c r="T418" s="25">
        <f>R423</f>
        <v>3.5149999999999997</v>
      </c>
    </row>
    <row r="419" spans="1:20" x14ac:dyDescent="0.2">
      <c r="B419" s="6" t="s">
        <v>287</v>
      </c>
      <c r="F419" s="30">
        <f>G390/4</f>
        <v>409.79842096841952</v>
      </c>
      <c r="G419" s="6" t="s">
        <v>78</v>
      </c>
      <c r="M419" s="27">
        <f>H412*N419^3-F412*N419</f>
        <v>-7.363455815054623</v>
      </c>
      <c r="N419" s="25">
        <f>0.2*$F$32</f>
        <v>0.92500000000000004</v>
      </c>
      <c r="O419" s="43">
        <f>H412*P419^3-F412*P419</f>
        <v>6.1968654780252059</v>
      </c>
      <c r="P419" s="25">
        <f>N424+0.04*$F$32</f>
        <v>2.96</v>
      </c>
      <c r="Q419" s="44">
        <f>H412*R419^3-F412*R419</f>
        <v>24.850045581783839</v>
      </c>
      <c r="R419" s="25">
        <f>P423+0.008*$F$32</f>
        <v>3.5519999999999996</v>
      </c>
      <c r="S419" s="44">
        <f>H412*T419^3-F412*T419</f>
        <v>23.704957919513493</v>
      </c>
      <c r="T419" s="25">
        <f>R423+0.0016*$F$32</f>
        <v>3.5223999999999998</v>
      </c>
    </row>
    <row r="420" spans="1:20" x14ac:dyDescent="0.2">
      <c r="B420" s="27" t="str">
        <f>IF(F419&gt;=G391,"Ast(moment)  &gt;  Ast(shrinkage)","Ast(moment)  &lt;  Ast(shrinkage)")</f>
        <v>Ast(moment)  &gt;  Ast(shrinkage)</v>
      </c>
      <c r="F420" s="2" t="s">
        <v>114</v>
      </c>
      <c r="G420" s="50"/>
      <c r="H420" s="51">
        <f>IF(OR(F416&lt;1,F419&lt;G391),$F$32,F415)</f>
        <v>1.6390000000000002</v>
      </c>
      <c r="I420" s="2" t="s">
        <v>115</v>
      </c>
      <c r="M420" s="27">
        <f>H412*N420^3-F412*N420</f>
        <v>-8.6879659957342454</v>
      </c>
      <c r="N420" s="25">
        <f>0.4*$F$32</f>
        <v>1.85</v>
      </c>
      <c r="O420" s="43">
        <f>H412*P420^3-F412*P420</f>
        <v>11.101300904914286</v>
      </c>
      <c r="P420" s="25">
        <f>N424+0.08*$F$32</f>
        <v>3.145</v>
      </c>
      <c r="Q420" s="44">
        <f>H412*R420^3-F412*R420</f>
        <v>26.314821302952851</v>
      </c>
      <c r="R420" s="25">
        <f>P423+0.016*$F$32</f>
        <v>3.5889999999999995</v>
      </c>
      <c r="S420" s="44">
        <f>H412*T420^3-F412*T420</f>
        <v>23.989014459952998</v>
      </c>
      <c r="T420" s="25">
        <f>R423+0.0032*$F$32</f>
        <v>3.5297999999999998</v>
      </c>
    </row>
    <row r="421" spans="1:20" x14ac:dyDescent="0.2">
      <c r="M421" s="27">
        <f>H412*N421^3-F412*N421</f>
        <v>2.0654150923361314</v>
      </c>
      <c r="N421" s="25">
        <f>0.6*$F$32</f>
        <v>2.7749999999999999</v>
      </c>
      <c r="O421" s="43">
        <f>H412*P421^3-F412*P421</f>
        <v>16.827032938078361</v>
      </c>
      <c r="P421" s="25">
        <f>N424+0.12*$F$32</f>
        <v>3.33</v>
      </c>
      <c r="Q421" s="44">
        <f>H412*R421^3-F412*R421</f>
        <v>27.817086798620068</v>
      </c>
      <c r="R421" s="25">
        <f>P423+0.024*$F$32</f>
        <v>3.6259999999999999</v>
      </c>
      <c r="S421" s="44">
        <f>H412*T421^3-F412*T421</f>
        <v>24.274545855851102</v>
      </c>
      <c r="T421" s="25">
        <f>R423+0.0048*$F$32</f>
        <v>3.5371999999999995</v>
      </c>
    </row>
    <row r="422" spans="1:20" x14ac:dyDescent="0.2">
      <c r="A422" s="48" t="s">
        <v>162</v>
      </c>
      <c r="M422" s="27">
        <f>H412*N422^3-F412*N422</f>
        <v>30.935633083531513</v>
      </c>
      <c r="N422" s="25">
        <f>0.8*$F$32</f>
        <v>3.7</v>
      </c>
      <c r="O422" s="43">
        <f>H412*P422^3-F412*P422</f>
        <v>23.422373142592416</v>
      </c>
      <c r="P422" s="25">
        <f>N424+0.16*$F$32</f>
        <v>3.5149999999999997</v>
      </c>
      <c r="Q422" s="44">
        <f>H412*R422^3-F412*R422</f>
        <v>29.357228561306087</v>
      </c>
      <c r="R422" s="25">
        <f>P423+0.032*$F$32</f>
        <v>3.6629999999999998</v>
      </c>
      <c r="S422" s="44">
        <f>H412*T422^3-F412*T422</f>
        <v>24.561555199147996</v>
      </c>
      <c r="T422" s="25">
        <f>R423+0.0064*$F$32</f>
        <v>3.5445999999999995</v>
      </c>
    </row>
    <row r="423" spans="1:20" x14ac:dyDescent="0.2">
      <c r="M423" s="27">
        <f>H412*N423^3-F412*N423</f>
        <v>83.96163361222689</v>
      </c>
      <c r="N423" s="25">
        <f>$F$32</f>
        <v>4.625</v>
      </c>
      <c r="P423" s="25">
        <f>IF(O419&gt;O418,VLOOKUP(D412,O418:P422,2),IF(O420&gt;O419,VLOOKUP(D412,O419:P422,2),IF(O421&gt;O420,VLOOKUP(D412,O420:P422,2),IF(O422&gt;O421,VLOOKUP(D412,O421:P422,2),P422))))</f>
        <v>3.5149999999999997</v>
      </c>
      <c r="R423" s="25">
        <f>IF(Q419&gt;Q418,VLOOKUP(D412,Q418:R422,2),IF(Q420&gt;Q419,VLOOKUP(D412,Q419:R422,2),IF(Q421&gt;Q420,VLOOKUP(D412,Q420:R422,2),IF(Q422&gt;Q421,VLOOKUP(D412,Q421:R422,2),R422))))</f>
        <v>3.5149999999999997</v>
      </c>
      <c r="T423" s="25">
        <f>IF(S419&gt;S418,VLOOKUP(D412,S418:T422,2),IF(S420&gt;S419,VLOOKUP(D412,S419:T422,2),IF(S421&gt;S420,VLOOKUP(D412,S420:T422,2),IF(S422&gt;S421,VLOOKUP(D412,S421:T422,2),T422))))</f>
        <v>3.5149999999999997</v>
      </c>
    </row>
    <row r="424" spans="1:20" x14ac:dyDescent="0.2">
      <c r="B424" s="47" t="s">
        <v>54</v>
      </c>
      <c r="N424" s="25">
        <f>IF(M419&gt;M418,VLOOKUP(D412,M418:N423,2),IF(M420&gt;M419,VLOOKUP(D412,M419:N423,2),IF(M421&gt;M420,VLOOKUP(D412,M420:N423,2),IF(M422&gt;M421,VLOOKUP(D412,M421:N423,2),IF(M423&gt;M422,VLOOKUP(D412,M422:N423,2),N423)))))</f>
        <v>2.7749999999999999</v>
      </c>
    </row>
    <row r="425" spans="1:20" x14ac:dyDescent="0.2">
      <c r="B425" s="6" t="s">
        <v>163</v>
      </c>
      <c r="F425" s="21">
        <f>($D$32+$E$32)/2000*$F$32*$H$43+($E$32-$D$32)/2000*$F$32*$H$44</f>
        <v>72.705000000000013</v>
      </c>
      <c r="G425" s="6" t="s">
        <v>57</v>
      </c>
    </row>
    <row r="426" spans="1:20" x14ac:dyDescent="0.2">
      <c r="B426" s="6" t="s">
        <v>164</v>
      </c>
      <c r="F426" s="21">
        <f>2*F425/$J$32</f>
        <v>57.363740411542679</v>
      </c>
      <c r="G426" s="6" t="s">
        <v>120</v>
      </c>
    </row>
    <row r="427" spans="1:20" x14ac:dyDescent="0.2">
      <c r="B427" s="6" t="s">
        <v>165</v>
      </c>
      <c r="F427" s="21">
        <f>$H$46*$I$32^3/6*$H$44</f>
        <v>215.54448504183841</v>
      </c>
      <c r="G427" s="6" t="s">
        <v>58</v>
      </c>
    </row>
    <row r="428" spans="1:20" x14ac:dyDescent="0.2">
      <c r="B428" s="6" t="s">
        <v>166</v>
      </c>
      <c r="H428" s="21">
        <f>(($E$32-$D$32)*$F$32/2*(2/3*$D$32+$E$32/3)+$D$32*$F$32*$D$32/2)/(($D$32+$E$32)/2*$F$32)/1000</f>
        <v>0.26333333333333336</v>
      </c>
      <c r="I428" s="6" t="s">
        <v>24</v>
      </c>
    </row>
    <row r="429" spans="1:20" x14ac:dyDescent="0.2">
      <c r="B429" s="6" t="s">
        <v>167</v>
      </c>
      <c r="F429" s="21">
        <f>F427-F425*H428+F426*H428^2/2</f>
        <v>198.38776339688528</v>
      </c>
      <c r="G429" s="6" t="s">
        <v>58</v>
      </c>
    </row>
    <row r="430" spans="1:20" x14ac:dyDescent="0.2">
      <c r="B430" s="6" t="s">
        <v>168</v>
      </c>
      <c r="F430" s="21">
        <f>F427-F425*($H$32/2+H428)+F426*$J$32^2/8</f>
        <v>175.77103527331988</v>
      </c>
      <c r="G430" s="6" t="s">
        <v>58</v>
      </c>
    </row>
    <row r="432" spans="1:20" x14ac:dyDescent="0.2">
      <c r="B432" s="6" t="s">
        <v>169</v>
      </c>
      <c r="E432" s="27">
        <f>IF(F430&gt;0,0,-F430)</f>
        <v>0</v>
      </c>
      <c r="F432" s="6" t="s">
        <v>58</v>
      </c>
      <c r="G432" s="27" t="str">
        <f>IF(F430&gt;0,"(Moment at Midspan produces Bottom Tension)","")</f>
        <v>(Moment at Midspan produces Bottom Tension)</v>
      </c>
    </row>
    <row r="433" spans="2:19" x14ac:dyDescent="0.2">
      <c r="B433" s="6" t="s">
        <v>170</v>
      </c>
      <c r="E433" s="21">
        <f>F429</f>
        <v>198.38776339688528</v>
      </c>
      <c r="F433" s="6" t="s">
        <v>57</v>
      </c>
    </row>
    <row r="434" spans="2:19" x14ac:dyDescent="0.2">
      <c r="B434" s="6" t="s">
        <v>171</v>
      </c>
      <c r="E434" s="21">
        <f>F425</f>
        <v>72.705000000000013</v>
      </c>
      <c r="F434" s="6" t="s">
        <v>58</v>
      </c>
    </row>
    <row r="436" spans="2:19" x14ac:dyDescent="0.2">
      <c r="B436" s="47" t="s">
        <v>59</v>
      </c>
    </row>
    <row r="437" spans="2:19" x14ac:dyDescent="0.2">
      <c r="B437" s="6" t="s">
        <v>279</v>
      </c>
      <c r="E437" s="30">
        <f>SQRT(MAX(E432:E433)/$G$69)*1000</f>
        <v>397.90822922189381</v>
      </c>
      <c r="F437" s="6" t="s">
        <v>43</v>
      </c>
    </row>
    <row r="438" spans="2:19" x14ac:dyDescent="0.2">
      <c r="B438" s="6" t="s">
        <v>280</v>
      </c>
      <c r="E438" s="30">
        <f>E434/$H$54*1000</f>
        <v>169.61142214667828</v>
      </c>
      <c r="F438" s="6" t="s">
        <v>43</v>
      </c>
    </row>
    <row r="440" spans="2:19" x14ac:dyDescent="0.2">
      <c r="B440" s="6" t="s">
        <v>138</v>
      </c>
      <c r="E440" s="30">
        <f>MAX(E437:E438)+$H$62</f>
        <v>472.90822922189381</v>
      </c>
      <c r="F440" s="6" t="s">
        <v>43</v>
      </c>
      <c r="M440" s="6" t="s">
        <v>66</v>
      </c>
      <c r="O440" s="30">
        <v>12</v>
      </c>
      <c r="P440" s="30">
        <v>16</v>
      </c>
      <c r="Q440" s="30">
        <v>20</v>
      </c>
      <c r="R440" s="30">
        <v>22</v>
      </c>
      <c r="S440" s="30">
        <v>25</v>
      </c>
    </row>
    <row r="441" spans="2:19" x14ac:dyDescent="0.2">
      <c r="B441" s="6" t="s">
        <v>139</v>
      </c>
      <c r="E441" s="30">
        <f>$G$32</f>
        <v>750</v>
      </c>
      <c r="F441" s="6" t="s">
        <v>43</v>
      </c>
      <c r="M441" s="6" t="s">
        <v>67</v>
      </c>
      <c r="O441" s="30">
        <f>IF(H446=0,100000000,TRUNC(785.4*O440^2/H446/25)*25)</f>
        <v>100</v>
      </c>
      <c r="P441" s="30">
        <f>IF(H446=0,100000000,TRUNC(785.4*P440^2/H446/25)*25)</f>
        <v>200</v>
      </c>
      <c r="Q441" s="30">
        <f>IF(H446=0,100000000,TRUNC(785.4*Q440^2/H446/25)*25)</f>
        <v>325</v>
      </c>
      <c r="R441" s="30">
        <f>IF(H446=0,100000000,TRUNC(785.4*R440^2/H446/25)*25)</f>
        <v>400</v>
      </c>
      <c r="S441" s="30">
        <f>IF(H446=0,100000000,TRUNC(785.4*S440^2/H446/25)*25)</f>
        <v>500</v>
      </c>
    </row>
    <row r="442" spans="2:19" x14ac:dyDescent="0.2">
      <c r="B442" s="27" t="str">
        <f>IF(E441&gt;=E440,"ta  &gt;  tr     Design is OK.","ta  &lt;  tr     Design is Not OK.")</f>
        <v>ta  &gt;  tr     Design is OK.</v>
      </c>
      <c r="F442" s="6" t="s">
        <v>64</v>
      </c>
      <c r="M442" s="6" t="s">
        <v>68</v>
      </c>
      <c r="O442" s="30">
        <f>785.4*O440^2/O441</f>
        <v>1130.9759999999999</v>
      </c>
      <c r="P442" s="30">
        <f>785.4*P440^2/P441</f>
        <v>1005.312</v>
      </c>
      <c r="Q442" s="30">
        <f>785.4*Q440^2/Q441</f>
        <v>966.64615384615388</v>
      </c>
      <c r="R442" s="30">
        <f>785.4*R440^2/R441</f>
        <v>950.33399999999995</v>
      </c>
      <c r="S442" s="30">
        <f>785.4*S440^2/S441</f>
        <v>981.75</v>
      </c>
    </row>
    <row r="443" spans="2:19" x14ac:dyDescent="0.2">
      <c r="B443" s="513" t="str">
        <f>IF(E441&gt;1.5*E440,"WARNING:  Actual Member Thickness is considerably larger (&gt;50%) than required.","")</f>
        <v>WARNING:  Actual Member Thickness is considerably larger (&gt;50%) than required.</v>
      </c>
      <c r="M443" s="6" t="s">
        <v>69</v>
      </c>
      <c r="O443" s="30">
        <f>IF(OR(O441&gt;300,O441&lt;100),100000000,O442-H446)</f>
        <v>180.97599999999989</v>
      </c>
      <c r="P443" s="30">
        <f>IF(OR(P441&gt;300,P441&lt;100),100000001,P442-H446)</f>
        <v>55.312000000000012</v>
      </c>
      <c r="Q443" s="30">
        <f>IF(OR(Q441&gt;300,Q441&lt;100),100000001,Q442-H446)</f>
        <v>100000001</v>
      </c>
      <c r="R443" s="30">
        <f>IF(OR(R441&gt;300,R441&lt;100),100000001,R442-H446)</f>
        <v>100000001</v>
      </c>
      <c r="S443" s="30">
        <f>IF(OR(S441&gt;300,S441&lt;100),100000001,S442-H446)</f>
        <v>100000001</v>
      </c>
    </row>
    <row r="444" spans="2:19" x14ac:dyDescent="0.2">
      <c r="B444" s="47" t="s">
        <v>123</v>
      </c>
      <c r="M444" s="6" t="s">
        <v>70</v>
      </c>
      <c r="O444" s="30">
        <f>IF(S441&lt;100,25,IF(MIN(O443:S443)=O443,12,IF(MIN(O443:S443)=P443,16,IF(MIN(O443:S443)=Q443,20,IF(MIN(O443:S443)=R443,22,IF(MIN(O443:S443)=S443,25,0))))))</f>
        <v>16</v>
      </c>
      <c r="P444" s="6" t="s">
        <v>71</v>
      </c>
      <c r="Q444" s="30">
        <f>IF(O444=12,O441,IF(O444=16,P441,IF(O444=20,Q441,IF(O444=22,R441,IF(O444=25,S441,0)))))</f>
        <v>200</v>
      </c>
      <c r="R444" s="6" t="s">
        <v>72</v>
      </c>
    </row>
    <row r="445" spans="2:19" x14ac:dyDescent="0.2">
      <c r="B445" s="6" t="s">
        <v>124</v>
      </c>
      <c r="F445" s="21">
        <f>MAX($C$31:$C$36)</f>
        <v>16.2</v>
      </c>
      <c r="G445" s="6" t="s">
        <v>24</v>
      </c>
    </row>
    <row r="446" spans="2:19" x14ac:dyDescent="0.2">
      <c r="B446" s="6" t="s">
        <v>141</v>
      </c>
      <c r="H446" s="30">
        <f>IF(AND(F445&lt;=9,E441&lt;380),$C$150*E441*1000,IF(F445&lt;=9,$C$150*380000,IF(E441&lt;380,$C$151*E441*1000,$C$151*380000)))</f>
        <v>950</v>
      </c>
      <c r="I446" s="6" t="s">
        <v>78</v>
      </c>
    </row>
    <row r="447" spans="2:19" x14ac:dyDescent="0.2">
      <c r="B447" s="6" t="s">
        <v>79</v>
      </c>
      <c r="C447" s="30">
        <f>IF(D1023=0,O444,D1023)</f>
        <v>16</v>
      </c>
      <c r="D447" s="6" t="s">
        <v>71</v>
      </c>
      <c r="E447" s="30">
        <f>IF(D1023=0,IF(Q444&gt;300,300,Q444),E1023)</f>
        <v>200</v>
      </c>
      <c r="F447" s="6" t="s">
        <v>289</v>
      </c>
      <c r="H447" s="30">
        <f>785.4*C447^2/E447</f>
        <v>1005.312</v>
      </c>
      <c r="I447" s="6" t="s">
        <v>81</v>
      </c>
    </row>
    <row r="448" spans="2:19" x14ac:dyDescent="0.2">
      <c r="B448" s="6" t="s">
        <v>142</v>
      </c>
      <c r="H448" s="30">
        <f>IF(AND(F445&lt;=9,E441&lt;380),$D$150*E441*1000,IF(F445&lt;=9,$D$150*380000,IF(E441&lt;380,$D$151*E441*1000,$D$151*380000)))</f>
        <v>570</v>
      </c>
      <c r="I448" s="6" t="s">
        <v>78</v>
      </c>
      <c r="M448" s="6" t="s">
        <v>66</v>
      </c>
      <c r="O448" s="30">
        <v>12</v>
      </c>
      <c r="P448" s="30">
        <v>16</v>
      </c>
      <c r="Q448" s="30">
        <v>20</v>
      </c>
      <c r="R448" s="30">
        <v>22</v>
      </c>
      <c r="S448" s="30">
        <v>25</v>
      </c>
    </row>
    <row r="449" spans="2:19" x14ac:dyDescent="0.2">
      <c r="B449" s="6" t="s">
        <v>79</v>
      </c>
      <c r="C449" s="30">
        <v>16</v>
      </c>
      <c r="D449" s="6" t="s">
        <v>71</v>
      </c>
      <c r="E449" s="30">
        <v>250</v>
      </c>
      <c r="F449" s="6" t="s">
        <v>289</v>
      </c>
      <c r="H449" s="30">
        <f>785.4*C449^2/E449</f>
        <v>804.24959999999999</v>
      </c>
      <c r="I449" s="6" t="s">
        <v>81</v>
      </c>
      <c r="M449" s="6" t="s">
        <v>67</v>
      </c>
      <c r="O449" s="30">
        <f>IF(H448=0,100000000,TRUNC(785.4*O448^2/H448/25)*25)</f>
        <v>175</v>
      </c>
      <c r="P449" s="30">
        <f>IF(H448=0,100000000,TRUNC(785.4*P448^2/H448/25)*25)</f>
        <v>350</v>
      </c>
      <c r="Q449" s="30">
        <f>IF(H448=0,100000000,TRUNC(785.4*Q448^2/H448/25)*25)</f>
        <v>550</v>
      </c>
      <c r="R449" s="30">
        <f>IF(H448=0,100000000,TRUNC(785.4*R448^2/H448/25)*25)</f>
        <v>650</v>
      </c>
      <c r="S449" s="30">
        <f>IF(H448=0,100000000,TRUNC(785.4*S448^2/H448/25)*25)</f>
        <v>850</v>
      </c>
    </row>
    <row r="450" spans="2:19" x14ac:dyDescent="0.2">
      <c r="M450" s="6" t="s">
        <v>68</v>
      </c>
      <c r="O450" s="30">
        <f>785.4*O448^2/O449</f>
        <v>646.27199999999993</v>
      </c>
      <c r="P450" s="30">
        <f>785.4*P448^2/P449</f>
        <v>574.46399999999994</v>
      </c>
      <c r="Q450" s="30">
        <f>785.4*Q448^2/Q449</f>
        <v>571.20000000000005</v>
      </c>
      <c r="R450" s="30">
        <f>785.4*R448^2/R449</f>
        <v>584.82092307692301</v>
      </c>
      <c r="S450" s="30">
        <f>785.4*S448^2/S449</f>
        <v>577.5</v>
      </c>
    </row>
    <row r="451" spans="2:19" x14ac:dyDescent="0.2">
      <c r="B451" s="47" t="s">
        <v>125</v>
      </c>
      <c r="M451" s="6" t="s">
        <v>69</v>
      </c>
      <c r="O451" s="30">
        <f>IF(OR(O449&gt;300,O449&lt;100),100000000,O450-H448)</f>
        <v>76.271999999999935</v>
      </c>
      <c r="P451" s="30">
        <f>IF(OR(P449&gt;300,P449&lt;100),100000001,P450-H448)</f>
        <v>100000001</v>
      </c>
      <c r="Q451" s="30">
        <f>IF(OR(Q449&gt;300,Q449&lt;100),100000001,Q450-H448)</f>
        <v>100000001</v>
      </c>
      <c r="R451" s="30">
        <f>IF(OR(R449&gt;300,R449&lt;100),100000001,R450-H448)</f>
        <v>100000001</v>
      </c>
      <c r="S451" s="30">
        <f>IF(OR(S449&gt;300,S449&lt;100),100000001,S450-H448)</f>
        <v>100000001</v>
      </c>
    </row>
    <row r="452" spans="2:19" x14ac:dyDescent="0.2">
      <c r="B452" s="6" t="s">
        <v>161</v>
      </c>
      <c r="F452" s="30">
        <f>E432/$H$51/$G$68/(E441-$H$62)*1000000000</f>
        <v>0</v>
      </c>
      <c r="G452" s="6" t="s">
        <v>78</v>
      </c>
      <c r="M452" s="6" t="s">
        <v>70</v>
      </c>
      <c r="O452" s="30">
        <f>IF(S449&lt;100,25,IF(MIN(O451:S451)=O451,12,IF(MIN(O451:S451)=P451,16,IF(MIN(O451:S451)=Q451,20,IF(MIN(O451:S451)=R451,22,IF(MIN(O451:S451)=S451,25,0))))))</f>
        <v>12</v>
      </c>
      <c r="P452" s="6" t="s">
        <v>71</v>
      </c>
      <c r="Q452" s="30">
        <f>IF(O452=12,O449,IF(O452=16,P449,IF(O452=20,Q449,IF(O452=22,R449,IF(O452=25,S449,0)))))</f>
        <v>175</v>
      </c>
      <c r="R452" s="6" t="s">
        <v>72</v>
      </c>
    </row>
    <row r="453" spans="2:19" x14ac:dyDescent="0.2">
      <c r="B453" s="6" t="s">
        <v>172</v>
      </c>
      <c r="F453" s="21">
        <f>$H$32+$E$32/500</f>
        <v>3.2348765432098765</v>
      </c>
      <c r="G453" s="6" t="s">
        <v>24</v>
      </c>
    </row>
    <row r="454" spans="2:19" x14ac:dyDescent="0.2">
      <c r="B454" s="6" t="s">
        <v>113</v>
      </c>
      <c r="H454" s="30">
        <f>IF(AND(F453&lt;=9,E441&lt;380),$C$150*E441*1000,IF(F453&lt;=9,$C$150*380000,IF(E441&lt;380,$C$151*E441*1000,$C$151*380000)))</f>
        <v>760</v>
      </c>
      <c r="I454" s="6" t="s">
        <v>78</v>
      </c>
    </row>
    <row r="455" spans="2:19" x14ac:dyDescent="0.2">
      <c r="B455" s="6" t="s">
        <v>88</v>
      </c>
      <c r="H455" s="30">
        <f>MAX(F452,H454)</f>
        <v>760</v>
      </c>
      <c r="I455" s="6" t="s">
        <v>78</v>
      </c>
    </row>
    <row r="456" spans="2:19" x14ac:dyDescent="0.2">
      <c r="B456" s="6" t="s">
        <v>79</v>
      </c>
      <c r="C456" s="30">
        <f>IF(D1043=0,O460,D1043)</f>
        <v>16</v>
      </c>
      <c r="D456" s="6" t="s">
        <v>71</v>
      </c>
      <c r="E456" s="30">
        <v>200</v>
      </c>
      <c r="F456" s="6" t="s">
        <v>289</v>
      </c>
      <c r="H456" s="30">
        <f>785.4*C456^2/E456</f>
        <v>1005.312</v>
      </c>
      <c r="I456" s="6" t="s">
        <v>81</v>
      </c>
      <c r="M456" s="6" t="s">
        <v>66</v>
      </c>
      <c r="O456" s="30">
        <v>12</v>
      </c>
      <c r="P456" s="30">
        <v>16</v>
      </c>
      <c r="Q456" s="30">
        <v>20</v>
      </c>
      <c r="R456" s="30">
        <v>22</v>
      </c>
      <c r="S456" s="30">
        <v>25</v>
      </c>
    </row>
    <row r="457" spans="2:19" x14ac:dyDescent="0.2">
      <c r="B457" s="47" t="s">
        <v>126</v>
      </c>
      <c r="M457" s="6" t="s">
        <v>67</v>
      </c>
      <c r="O457" s="30">
        <f>IF(H455=0,100000000,TRUNC(785.4*O456^2/H455/25)*25)</f>
        <v>125</v>
      </c>
      <c r="P457" s="30">
        <f>IF(H455=0,100000000,TRUNC(785.4*P456^2/H455/25)*25)</f>
        <v>250</v>
      </c>
      <c r="Q457" s="30">
        <f>IF(H455=0,100000000,TRUNC(785.4*Q456^2/H455/25)*25)</f>
        <v>400</v>
      </c>
      <c r="R457" s="30">
        <f>IF(H455=0,100000000,TRUNC(785.4*R456^2/H455/25)*25)</f>
        <v>500</v>
      </c>
      <c r="S457" s="30">
        <f>IF(H455=0,100000000,TRUNC(785.4*S456^2/H455/25)*25)</f>
        <v>625</v>
      </c>
    </row>
    <row r="458" spans="2:19" x14ac:dyDescent="0.2">
      <c r="B458" s="6" t="s">
        <v>161</v>
      </c>
      <c r="H458" s="30">
        <f>E433/$H$51/$G$68/(E441-$H$62)*1000000000</f>
        <v>1765.0592323102896</v>
      </c>
      <c r="I458" s="6" t="s">
        <v>78</v>
      </c>
      <c r="M458" s="6" t="s">
        <v>68</v>
      </c>
      <c r="O458" s="30">
        <f>785.4*O456^2/O457</f>
        <v>904.78079999999989</v>
      </c>
      <c r="P458" s="30">
        <f>785.4*P456^2/P457</f>
        <v>804.24959999999999</v>
      </c>
      <c r="Q458" s="30">
        <f>785.4*Q456^2/Q457</f>
        <v>785.4</v>
      </c>
      <c r="R458" s="30">
        <f>785.4*R456^2/R457</f>
        <v>760.2672</v>
      </c>
      <c r="S458" s="30">
        <f>785.4*S456^2/S457</f>
        <v>785.4</v>
      </c>
    </row>
    <row r="459" spans="2:19" x14ac:dyDescent="0.2">
      <c r="B459" s="6" t="s">
        <v>113</v>
      </c>
      <c r="H459" s="30">
        <f>IF(AND(F453&lt;=9,E441&lt;380),$D$150*E441*1000,IF(F453&lt;=9,$D$150*380000,IF(E441&lt;380,$D$151*E441*1000,$D$151*380000)))</f>
        <v>380</v>
      </c>
      <c r="I459" s="6" t="s">
        <v>78</v>
      </c>
      <c r="M459" s="6" t="s">
        <v>69</v>
      </c>
      <c r="O459" s="30">
        <f>IF(OR(O457&gt;300,O457&lt;100),100000000,O458-H455)</f>
        <v>144.78079999999989</v>
      </c>
      <c r="P459" s="30">
        <f>IF(OR(P457&gt;300,P457&lt;100),100000001,P458-H455)</f>
        <v>44.249599999999987</v>
      </c>
      <c r="Q459" s="30">
        <f>IF(OR(Q457&gt;300,Q457&lt;100),100000001,Q458-H455)</f>
        <v>100000001</v>
      </c>
      <c r="R459" s="30">
        <f>IF(OR(R457&gt;300,R457&lt;100),100000001,R458-H455)</f>
        <v>100000001</v>
      </c>
      <c r="S459" s="30">
        <f>IF(OR(S457&gt;300,S457&lt;100),100000001,S458-H455)</f>
        <v>100000001</v>
      </c>
    </row>
    <row r="460" spans="2:19" x14ac:dyDescent="0.2">
      <c r="B460" s="6" t="s">
        <v>88</v>
      </c>
      <c r="H460" s="30">
        <f>MAX(H458:H459)</f>
        <v>1765.0592323102896</v>
      </c>
      <c r="I460" s="6" t="s">
        <v>89</v>
      </c>
      <c r="M460" s="6" t="s">
        <v>70</v>
      </c>
      <c r="O460" s="30">
        <f>IF(S457&lt;100,25,IF(MIN(O459:S459)=O459,12,IF(MIN(O459:S459)=P459,16,IF(MIN(O459:S459)=Q459,20,IF(MIN(O459:S459)=R459,22,IF(MIN(O459:S459)=S459,25,0))))))</f>
        <v>16</v>
      </c>
      <c r="P460" s="6" t="s">
        <v>71</v>
      </c>
      <c r="Q460" s="30">
        <f>IF(O460=12,O457,IF(O460=16,P457,IF(O460=20,Q457,IF(O460=22,R457,IF(O460=25,S457,0)))))</f>
        <v>250</v>
      </c>
      <c r="R460" s="6" t="s">
        <v>72</v>
      </c>
    </row>
    <row r="461" spans="2:19" x14ac:dyDescent="0.2">
      <c r="B461" s="509" t="s">
        <v>79</v>
      </c>
      <c r="C461" s="510">
        <v>20</v>
      </c>
      <c r="D461" s="509" t="s">
        <v>71</v>
      </c>
      <c r="E461" s="510">
        <v>125</v>
      </c>
      <c r="F461" s="509" t="s">
        <v>289</v>
      </c>
      <c r="G461" s="511"/>
      <c r="H461" s="510">
        <f>785.4*C461^2/E461</f>
        <v>2513.2800000000002</v>
      </c>
      <c r="I461" s="509" t="s">
        <v>81</v>
      </c>
      <c r="J461" s="511"/>
      <c r="K461" s="674"/>
    </row>
    <row r="463" spans="2:19" x14ac:dyDescent="0.2">
      <c r="B463" s="55" t="s">
        <v>93</v>
      </c>
    </row>
    <row r="465" spans="2:19" x14ac:dyDescent="0.2">
      <c r="B465" s="47" t="s">
        <v>94</v>
      </c>
      <c r="M465" s="6" t="s">
        <v>66</v>
      </c>
      <c r="O465" s="30">
        <v>12</v>
      </c>
      <c r="P465" s="30">
        <v>16</v>
      </c>
      <c r="Q465" s="30">
        <v>20</v>
      </c>
      <c r="R465" s="30">
        <v>22</v>
      </c>
      <c r="S465" s="30">
        <v>25</v>
      </c>
    </row>
    <row r="466" spans="2:19" x14ac:dyDescent="0.2">
      <c r="B466" s="6" t="s">
        <v>173</v>
      </c>
      <c r="F466" s="43">
        <f>F427/2</f>
        <v>107.77224252091921</v>
      </c>
      <c r="G466" s="6" t="s">
        <v>111</v>
      </c>
      <c r="H466" s="27">
        <f>F425</f>
        <v>72.705000000000013</v>
      </c>
      <c r="I466" s="6" t="s">
        <v>174</v>
      </c>
      <c r="J466" s="43">
        <f>F426/2</f>
        <v>28.681870205771339</v>
      </c>
      <c r="K466" s="6" t="s">
        <v>129</v>
      </c>
      <c r="M466" s="6" t="s">
        <v>67</v>
      </c>
      <c r="O466" s="30">
        <f>IF(H460=0,100000000,TRUNC(785.4*O465^2/H460/25)*25)</f>
        <v>50</v>
      </c>
      <c r="P466" s="30">
        <f>IF(H460=0,100000000,TRUNC(785.4*P465^2/H460/25)*25)</f>
        <v>100</v>
      </c>
      <c r="Q466" s="30">
        <f>IF(H460=0,100000000,TRUNC(785.4*Q465^2/H460/25)*25)</f>
        <v>175</v>
      </c>
      <c r="R466" s="30">
        <f>IF(H460=0,100000000,TRUNC(785.4*R465^2/H460/25)*25)</f>
        <v>200</v>
      </c>
      <c r="S466" s="30">
        <f>IF(H460=0,100000000,TRUNC(785.4*S465^2/H460/25)*25)</f>
        <v>275</v>
      </c>
    </row>
    <row r="467" spans="2:19" x14ac:dyDescent="0.2">
      <c r="B467" s="6" t="s">
        <v>175</v>
      </c>
      <c r="E467" s="27" t="str">
        <f>IF(F468=$J$32/2,"There is no solution to the quadratic equation.","")</f>
        <v>There is no solution to the quadratic equation.</v>
      </c>
      <c r="M467" s="6" t="s">
        <v>68</v>
      </c>
      <c r="O467" s="30">
        <f>785.4*O465^2/O466</f>
        <v>2261.9519999999998</v>
      </c>
      <c r="P467" s="30">
        <f>785.4*P465^2/P466</f>
        <v>2010.624</v>
      </c>
      <c r="Q467" s="30">
        <f>785.4*Q465^2/Q466</f>
        <v>1795.2</v>
      </c>
      <c r="R467" s="30">
        <f>785.4*R465^2/R466</f>
        <v>1900.6679999999999</v>
      </c>
      <c r="S467" s="30">
        <f>785.4*S465^2/S466</f>
        <v>1785</v>
      </c>
    </row>
    <row r="468" spans="2:19" x14ac:dyDescent="0.2">
      <c r="B468" s="6" t="s">
        <v>292</v>
      </c>
      <c r="F468" s="21">
        <f>IF(H466^2-4*J466*F466&lt;0,$J$32/2,(H466-SQRT(H466^2-4*J466*F466))/2/J466)</f>
        <v>1.2674382716049384</v>
      </c>
      <c r="G468" s="6" t="s">
        <v>24</v>
      </c>
      <c r="M468" s="6" t="s">
        <v>69</v>
      </c>
      <c r="O468" s="30">
        <f>IF(OR(O466&gt;300,O466&lt;100),100000000,O467-H460)</f>
        <v>100000000</v>
      </c>
      <c r="P468" s="30">
        <f>IF(OR(P466&gt;300,P466&lt;100),100000001,P467-H460)</f>
        <v>245.56476768971038</v>
      </c>
      <c r="Q468" s="30">
        <f>IF(OR(Q466&gt;300,Q466&lt;100),100000001,Q467-H460)</f>
        <v>30.140767689710401</v>
      </c>
      <c r="R468" s="30">
        <f>IF(OR(R466&gt;300,R466&lt;100),100000001,R467-H460)</f>
        <v>135.60876768971025</v>
      </c>
      <c r="S468" s="30">
        <f>IF(OR(S466&gt;300,S466&lt;100),100000001,S467-H460)</f>
        <v>19.940767689710356</v>
      </c>
    </row>
    <row r="469" spans="2:19" x14ac:dyDescent="0.2">
      <c r="B469" s="6" t="s">
        <v>293</v>
      </c>
      <c r="F469" s="21">
        <f>IF(E441-$H$62&gt;12*C461,F468+(-$E$32/2+E441-$H$62)/1000,F468+(-$E$32/2+12*C461)/1000)</f>
        <v>1.5924382716049383</v>
      </c>
      <c r="G469" s="6" t="s">
        <v>24</v>
      </c>
      <c r="M469" s="6" t="s">
        <v>70</v>
      </c>
      <c r="O469" s="30">
        <f>IF(S466&lt;100,25,IF(MIN(O468:S468)=O468,12,IF(MIN(O468:S468)=P468,16,IF(MIN(O468:S468)=Q468,20,IF(MIN(O468:S468)=R468,22,IF(MIN(O468:S468)=S468,25,0))))))</f>
        <v>25</v>
      </c>
      <c r="P469" s="6" t="s">
        <v>71</v>
      </c>
      <c r="Q469" s="30">
        <f>IF(O469=12,O466,IF(O469=16,P466,IF(O469=20,Q466,IF(O469=22,R466,IF(O469=25,S466,0)))))</f>
        <v>275</v>
      </c>
      <c r="R469" s="6" t="s">
        <v>72</v>
      </c>
    </row>
    <row r="470" spans="2:19" x14ac:dyDescent="0.2">
      <c r="B470" s="6" t="s">
        <v>133</v>
      </c>
      <c r="F470" s="21">
        <f>$H$32/2-F469</f>
        <v>-0.67500000000000004</v>
      </c>
      <c r="G470" s="27" t="str">
        <f>IF(F470&gt;=1,"m &gt; 1 m   Curtailment should be made."," m&lt; 1 m   Curtailment should not be made:   x  =  B/2")</f>
        <v xml:space="preserve"> m&lt; 1 m   Curtailment should not be made:   x  =  B/2</v>
      </c>
    </row>
    <row r="472" spans="2:19" x14ac:dyDescent="0.2">
      <c r="B472" s="47" t="s">
        <v>87</v>
      </c>
    </row>
    <row r="473" spans="2:19" x14ac:dyDescent="0.2">
      <c r="B473" s="6" t="s">
        <v>287</v>
      </c>
      <c r="F473" s="30">
        <f>H458/2</f>
        <v>882.52961615514482</v>
      </c>
      <c r="G473" s="6" t="s">
        <v>78</v>
      </c>
    </row>
    <row r="474" spans="2:19" x14ac:dyDescent="0.2">
      <c r="B474" s="27" t="str">
        <f>IF(F473&gt;=H459,"Ast(moment)  &gt;  Ast(shrinkage)","Ast(moment)  &lt;  Ast(shrinkage)")</f>
        <v>Ast(moment)  &gt;  Ast(shrinkage)</v>
      </c>
      <c r="F474" s="2" t="s">
        <v>278</v>
      </c>
      <c r="G474" s="50"/>
      <c r="H474" s="51">
        <f>IF(OR(F470&lt;1,F473&lt;H459),$H$32/2,F469)</f>
        <v>0.91743827160493829</v>
      </c>
      <c r="I474" s="2" t="s">
        <v>115</v>
      </c>
    </row>
    <row r="476" spans="2:19" x14ac:dyDescent="0.2">
      <c r="B476" s="47" t="s">
        <v>116</v>
      </c>
    </row>
    <row r="477" spans="2:19" x14ac:dyDescent="0.2">
      <c r="B477" s="6" t="s">
        <v>173</v>
      </c>
      <c r="F477" s="44">
        <f>3*F427/4</f>
        <v>161.6583637813788</v>
      </c>
      <c r="G477" s="6" t="s">
        <v>111</v>
      </c>
      <c r="H477" s="27">
        <f>F425</f>
        <v>72.705000000000013</v>
      </c>
      <c r="I477" s="6" t="s">
        <v>174</v>
      </c>
      <c r="J477" s="43">
        <f>F426/2</f>
        <v>28.681870205771339</v>
      </c>
      <c r="K477" s="6" t="s">
        <v>129</v>
      </c>
    </row>
    <row r="478" spans="2:19" x14ac:dyDescent="0.2">
      <c r="B478" s="6" t="s">
        <v>175</v>
      </c>
      <c r="E478" s="27" t="str">
        <f>IF(F479=$J$32/2,"There is no solution to the quadratic equation.","")</f>
        <v>There is no solution to the quadratic equation.</v>
      </c>
    </row>
    <row r="479" spans="2:19" x14ac:dyDescent="0.2">
      <c r="B479" s="6" t="s">
        <v>176</v>
      </c>
      <c r="F479" s="21">
        <f>IF(H477^2-4*J477*F477&lt;0,$J$32/2,(H477-SQRT(H477^2-4*J477*F477))/2/J477)</f>
        <v>1.2674382716049384</v>
      </c>
      <c r="G479" s="6" t="s">
        <v>24</v>
      </c>
      <c r="H479" s="27" t="str">
        <f>IF(F479=$J$32/2,"No curtailment should be made:   d  =  B'/2","")</f>
        <v>No curtailment should be made:   d  =  B'/2</v>
      </c>
    </row>
    <row r="480" spans="2:19" x14ac:dyDescent="0.2">
      <c r="B480" s="6" t="s">
        <v>177</v>
      </c>
      <c r="F480" s="21">
        <f>IF(E441-$H$62&gt;12*C461,F479+(-$E$32/2+E441-$H$62)/1000,F479+(-$E$32/2+12*C461)/1000)</f>
        <v>1.5924382716049383</v>
      </c>
      <c r="G480" s="6" t="s">
        <v>24</v>
      </c>
    </row>
    <row r="481" spans="1:9" x14ac:dyDescent="0.2">
      <c r="B481" s="6" t="s">
        <v>133</v>
      </c>
      <c r="F481" s="21">
        <f>$H$32/2-F480</f>
        <v>-0.67500000000000004</v>
      </c>
      <c r="G481" s="27" t="str">
        <f>IF(F481&gt;=1,"m &gt; 1 m  Curtailment should be made.","m &lt; 1 m  Curtailment should not be made: x = B/2")</f>
        <v>m &lt; 1 m  Curtailment should not be made: x = B/2</v>
      </c>
    </row>
    <row r="483" spans="1:9" x14ac:dyDescent="0.2">
      <c r="B483" s="47" t="s">
        <v>87</v>
      </c>
    </row>
    <row r="484" spans="1:9" x14ac:dyDescent="0.2">
      <c r="B484" s="6" t="s">
        <v>287</v>
      </c>
      <c r="F484" s="30">
        <f>H458/4</f>
        <v>441.26480807757241</v>
      </c>
      <c r="G484" s="6" t="s">
        <v>78</v>
      </c>
    </row>
    <row r="485" spans="1:9" x14ac:dyDescent="0.2">
      <c r="B485" s="27" t="str">
        <f>IF(F484&gt;=H459,"Ast(moment)  &gt;  Ast(shrinkage)","Ast(moment)  &lt;  Ast(shrinkage)")</f>
        <v>Ast(moment)  &gt;  Ast(shrinkage)</v>
      </c>
      <c r="F485" s="2" t="s">
        <v>278</v>
      </c>
      <c r="G485" s="50"/>
      <c r="H485" s="51">
        <f>IF(OR(F481&lt;1,F484&lt;H459),$H$32/2,F480)</f>
        <v>0.91743827160493829</v>
      </c>
      <c r="I485" s="2" t="s">
        <v>115</v>
      </c>
    </row>
    <row r="487" spans="1:9" x14ac:dyDescent="0.2">
      <c r="A487" s="48" t="s">
        <v>178</v>
      </c>
      <c r="B487" s="1"/>
      <c r="C487" s="1"/>
      <c r="D487" s="1"/>
    </row>
    <row r="489" spans="1:9" x14ac:dyDescent="0.2">
      <c r="B489" s="47" t="s">
        <v>54</v>
      </c>
    </row>
    <row r="490" spans="1:9" x14ac:dyDescent="0.2">
      <c r="B490" s="6" t="s">
        <v>135</v>
      </c>
      <c r="F490" s="21">
        <f>$H$46*$F$33*$H$44</f>
        <v>52.765289938242049</v>
      </c>
      <c r="G490" s="6" t="s">
        <v>35</v>
      </c>
    </row>
    <row r="491" spans="1:9" x14ac:dyDescent="0.2">
      <c r="F491" s="29"/>
    </row>
    <row r="492" spans="1:9" x14ac:dyDescent="0.2">
      <c r="B492" s="6" t="s">
        <v>136</v>
      </c>
      <c r="F492" s="21">
        <f>F490*$F$33/2</f>
        <v>134.55148934251721</v>
      </c>
      <c r="G492" s="6" t="s">
        <v>57</v>
      </c>
    </row>
    <row r="493" spans="1:9" x14ac:dyDescent="0.2">
      <c r="B493" s="6" t="s">
        <v>137</v>
      </c>
      <c r="F493" s="21">
        <f>F490*$F$33^2/6</f>
        <v>228.73753188227928</v>
      </c>
      <c r="G493" s="6" t="s">
        <v>58</v>
      </c>
    </row>
    <row r="495" spans="1:9" x14ac:dyDescent="0.2">
      <c r="B495" s="47" t="s">
        <v>59</v>
      </c>
    </row>
    <row r="496" spans="1:9" x14ac:dyDescent="0.2">
      <c r="B496" s="6" t="s">
        <v>279</v>
      </c>
      <c r="F496" s="30">
        <f>SQRT(F493/$G$69)*1000</f>
        <v>427.26192779639894</v>
      </c>
      <c r="G496" s="6" t="s">
        <v>43</v>
      </c>
    </row>
    <row r="497" spans="2:19" x14ac:dyDescent="0.2">
      <c r="B497" s="6" t="s">
        <v>280</v>
      </c>
      <c r="F497" s="30">
        <f>F492/$H$54*1000</f>
        <v>313.89133428702246</v>
      </c>
      <c r="G497" s="6" t="s">
        <v>43</v>
      </c>
    </row>
    <row r="499" spans="2:19" x14ac:dyDescent="0.2">
      <c r="B499" s="6" t="s">
        <v>138</v>
      </c>
      <c r="F499" s="30">
        <f>MAX(F496:F497)+$H$62</f>
        <v>502.26192779639894</v>
      </c>
      <c r="G499" s="6" t="s">
        <v>43</v>
      </c>
      <c r="M499" s="6" t="s">
        <v>66</v>
      </c>
      <c r="O499" s="30">
        <v>12</v>
      </c>
      <c r="P499" s="30">
        <v>16</v>
      </c>
      <c r="Q499" s="30">
        <v>20</v>
      </c>
      <c r="R499" s="30">
        <v>22</v>
      </c>
      <c r="S499" s="30">
        <v>25</v>
      </c>
    </row>
    <row r="500" spans="2:19" x14ac:dyDescent="0.2">
      <c r="B500" s="6" t="s">
        <v>139</v>
      </c>
      <c r="F500" s="30">
        <f>$E$33</f>
        <v>675</v>
      </c>
      <c r="G500" s="6" t="s">
        <v>43</v>
      </c>
      <c r="M500" s="6" t="s">
        <v>67</v>
      </c>
      <c r="O500" s="30">
        <f>IF(H505=0,100000000,TRUNC(785.4*O499^2/H505/25)*25)</f>
        <v>100</v>
      </c>
      <c r="P500" s="30">
        <f>IF(H505=0,100000000,TRUNC(785.4*P499^2/H505/25)*25)</f>
        <v>200</v>
      </c>
      <c r="Q500" s="30">
        <f>IF(H505=0,100000000,TRUNC(785.4*Q499^2/H505/25)*25)</f>
        <v>325</v>
      </c>
      <c r="R500" s="30">
        <f>IF(H505=0,100000000,TRUNC(785.4*R499^2/H505/25)*25)</f>
        <v>400</v>
      </c>
      <c r="S500" s="30">
        <f>IF(H505=0,100000000,TRUNC(785.4*S499^2/H505/25)*25)</f>
        <v>500</v>
      </c>
    </row>
    <row r="501" spans="2:19" x14ac:dyDescent="0.2">
      <c r="B501" s="27" t="str">
        <f>IF(F500&gt;=F499,"ta  &gt;  tr     Design is OK.","ta  &lt;  tr     Design is Not OK.")</f>
        <v>ta  &gt;  tr     Design is OK.</v>
      </c>
      <c r="F501" s="6" t="s">
        <v>64</v>
      </c>
      <c r="M501" s="6" t="s">
        <v>68</v>
      </c>
      <c r="O501" s="30">
        <f>785.4*O499^2/O500</f>
        <v>1130.9759999999999</v>
      </c>
      <c r="P501" s="30">
        <f>785.4*P499^2/P500</f>
        <v>1005.312</v>
      </c>
      <c r="Q501" s="30">
        <f>785.4*Q499^2/Q500</f>
        <v>966.64615384615388</v>
      </c>
      <c r="R501" s="30">
        <f>785.4*R499^2/R500</f>
        <v>950.33399999999995</v>
      </c>
      <c r="S501" s="30">
        <f>785.4*S499^2/S500</f>
        <v>981.75</v>
      </c>
    </row>
    <row r="502" spans="2:19" x14ac:dyDescent="0.2">
      <c r="B502" s="513" t="str">
        <f>IF(F500&gt;1.5*F499,"WARNING:  Actual Member Thickness is considerably larger (&gt;50%) than required.","")</f>
        <v/>
      </c>
      <c r="M502" s="6" t="s">
        <v>69</v>
      </c>
      <c r="O502" s="30">
        <f>IF(OR(O500&gt;300,O500&lt;100),100000000,O501-H505)</f>
        <v>180.97599999999989</v>
      </c>
      <c r="P502" s="30">
        <f>IF(OR(P500&gt;300,P500&lt;100),100000001,P501-H505)</f>
        <v>55.312000000000012</v>
      </c>
      <c r="Q502" s="30">
        <f>IF(OR(Q500&gt;300,Q500&lt;100),100000001,Q501-H505)</f>
        <v>100000001</v>
      </c>
      <c r="R502" s="30">
        <f>IF(OR(R500&gt;300,R500&lt;100),100000001,R501-H505)</f>
        <v>100000001</v>
      </c>
      <c r="S502" s="30">
        <f>IF(OR(S500&gt;300,S500&lt;100),100000001,S501-H505)</f>
        <v>100000001</v>
      </c>
    </row>
    <row r="503" spans="2:19" x14ac:dyDescent="0.2">
      <c r="B503" s="47" t="s">
        <v>123</v>
      </c>
      <c r="M503" s="6" t="s">
        <v>70</v>
      </c>
      <c r="O503" s="30">
        <f>IF(S500&lt;100,25,IF(MIN(O502:S502)=O502,12,IF(MIN(O502:S502)=P502,16,IF(MIN(O502:S502)=Q502,20,IF(MIN(O502:S502)=R502,22,IF(MIN(O502:S502)=S502,25,0))))))</f>
        <v>16</v>
      </c>
      <c r="P503" s="6" t="s">
        <v>71</v>
      </c>
      <c r="Q503" s="30">
        <f>IF(O503=12,O500,IF(O503=16,P500,IF(O503=20,Q500,IF(O503=22,R500,IF(O503=25,S500,0)))))</f>
        <v>200</v>
      </c>
      <c r="R503" s="6" t="s">
        <v>72</v>
      </c>
    </row>
    <row r="504" spans="2:19" x14ac:dyDescent="0.2">
      <c r="B504" s="6" t="s">
        <v>140</v>
      </c>
      <c r="F504" s="21">
        <f>$G$40</f>
        <v>16.294247451171227</v>
      </c>
      <c r="G504" s="6" t="s">
        <v>24</v>
      </c>
    </row>
    <row r="505" spans="2:19" x14ac:dyDescent="0.2">
      <c r="B505" s="6" t="s">
        <v>141</v>
      </c>
      <c r="H505" s="30">
        <f>IF(AND(F504&lt;=9,F500&lt;380),$C$150*F500*1000,IF(F504&lt;=9,$C$150*380000,IF(F500&lt;380,$C$151*F500*1000,$C$151*380000)))</f>
        <v>950</v>
      </c>
      <c r="I505" s="6" t="s">
        <v>78</v>
      </c>
    </row>
    <row r="506" spans="2:19" x14ac:dyDescent="0.2">
      <c r="B506" s="6" t="s">
        <v>79</v>
      </c>
      <c r="C506" s="30">
        <f>IF(D1017=0,O503,D1017)</f>
        <v>16</v>
      </c>
      <c r="D506" s="6" t="s">
        <v>71</v>
      </c>
      <c r="E506" s="30">
        <f>IF(D1017=0,IF(Q503&gt;300,300,Q503),E1017)</f>
        <v>200</v>
      </c>
      <c r="F506" s="6" t="s">
        <v>290</v>
      </c>
      <c r="H506" s="30">
        <f>785.4*C506^2/E506</f>
        <v>1005.312</v>
      </c>
      <c r="I506" s="6" t="s">
        <v>81</v>
      </c>
    </row>
    <row r="507" spans="2:19" x14ac:dyDescent="0.2">
      <c r="B507" s="6" t="s">
        <v>142</v>
      </c>
      <c r="H507" s="30">
        <f>IF(AND(F504&lt;=9,F500&lt;380),$D$150*F500*1000,IF(F504&lt;=9,$D$150*380000,IF(F500&lt;380,$D$151*F500*1000,$D$151*380000)))</f>
        <v>570</v>
      </c>
      <c r="I507" s="6" t="s">
        <v>78</v>
      </c>
      <c r="M507" s="6" t="s">
        <v>66</v>
      </c>
      <c r="O507" s="30">
        <v>12</v>
      </c>
      <c r="P507" s="30">
        <v>16</v>
      </c>
      <c r="Q507" s="30">
        <v>20</v>
      </c>
      <c r="R507" s="30">
        <v>22</v>
      </c>
      <c r="S507" s="30">
        <v>25</v>
      </c>
    </row>
    <row r="508" spans="2:19" x14ac:dyDescent="0.2">
      <c r="B508" s="6" t="s">
        <v>79</v>
      </c>
      <c r="C508" s="30">
        <v>16</v>
      </c>
      <c r="D508" s="6" t="s">
        <v>71</v>
      </c>
      <c r="E508" s="30">
        <v>250</v>
      </c>
      <c r="F508" s="6" t="s">
        <v>290</v>
      </c>
      <c r="H508" s="30">
        <f>785.4*C508^2/E508</f>
        <v>804.24959999999999</v>
      </c>
      <c r="I508" s="6" t="s">
        <v>81</v>
      </c>
      <c r="M508" s="6" t="s">
        <v>67</v>
      </c>
      <c r="O508" s="30">
        <f>IF(H507=0,100000000,TRUNC(785.4*O507^2/H507/25)*25)</f>
        <v>175</v>
      </c>
      <c r="P508" s="30">
        <f>IF(H507=0,100000000,TRUNC(785.4*P507^2/H507/25)*25)</f>
        <v>350</v>
      </c>
      <c r="Q508" s="30">
        <f>IF(H507=0,100000000,TRUNC(785.4*Q507^2/H507/25)*25)</f>
        <v>550</v>
      </c>
      <c r="R508" s="30">
        <f>IF(H507=0,100000000,TRUNC(785.4*R507^2/H507/25)*25)</f>
        <v>650</v>
      </c>
      <c r="S508" s="30">
        <f>IF(H507=0,100000000,TRUNC(785.4*S507^2/H507/25)*25)</f>
        <v>850</v>
      </c>
    </row>
    <row r="509" spans="2:19" x14ac:dyDescent="0.2">
      <c r="M509" s="6" t="s">
        <v>68</v>
      </c>
      <c r="O509" s="30">
        <f>785.4*O507^2/O508</f>
        <v>646.27199999999993</v>
      </c>
      <c r="P509" s="30">
        <f>785.4*P507^2/P508</f>
        <v>574.46399999999994</v>
      </c>
      <c r="Q509" s="30">
        <f>785.4*Q507^2/Q508</f>
        <v>571.20000000000005</v>
      </c>
      <c r="R509" s="30">
        <f>785.4*R507^2/R508</f>
        <v>584.82092307692301</v>
      </c>
      <c r="S509" s="30">
        <f>785.4*S507^2/S508</f>
        <v>577.5</v>
      </c>
    </row>
    <row r="510" spans="2:19" x14ac:dyDescent="0.2">
      <c r="B510" s="47" t="s">
        <v>143</v>
      </c>
      <c r="M510" s="6" t="s">
        <v>69</v>
      </c>
      <c r="O510" s="30">
        <f>IF(OR(O508&gt;300,O508&lt;100),100000000,O509-H507)</f>
        <v>76.271999999999935</v>
      </c>
      <c r="P510" s="30">
        <f>IF(OR(P508&gt;300,P508&lt;100),100000001,P509-H507)</f>
        <v>100000001</v>
      </c>
      <c r="Q510" s="30">
        <f>IF(OR(Q508&gt;300,Q508&lt;100),100000001,Q509-H507)</f>
        <v>100000001</v>
      </c>
      <c r="R510" s="30">
        <f>IF(OR(R508&gt;300,R508&lt;100),100000001,R509-H507)</f>
        <v>100000001</v>
      </c>
      <c r="S510" s="30">
        <f>IF(OR(S508&gt;300,S508&lt;100),100000001,S509-H507)</f>
        <v>100000001</v>
      </c>
    </row>
    <row r="511" spans="2:19" x14ac:dyDescent="0.2">
      <c r="B511" s="6" t="s">
        <v>144</v>
      </c>
      <c r="F511" s="21">
        <f>$F$33+$G$33/1000</f>
        <v>5.8443686006825937</v>
      </c>
      <c r="G511" s="6" t="s">
        <v>24</v>
      </c>
      <c r="M511" s="6" t="s">
        <v>70</v>
      </c>
      <c r="O511" s="30">
        <f>IF(S508&lt;100,25,IF(MIN(O510:S510)=O510,12,IF(MIN(O510:S510)=P510,16,IF(MIN(O510:S510)=Q510,20,IF(MIN(O510:S510)=R510,22,IF(MIN(O510:S510)=S510,25,0))))))</f>
        <v>12</v>
      </c>
      <c r="P511" s="6" t="s">
        <v>71</v>
      </c>
      <c r="Q511" s="30">
        <f>IF(O511=12,O508,IF(O511=16,P508,IF(O511=20,Q508,IF(O511=22,R508,IF(O511=25,S508,0)))))</f>
        <v>175</v>
      </c>
      <c r="R511" s="6" t="s">
        <v>72</v>
      </c>
    </row>
    <row r="512" spans="2:19" x14ac:dyDescent="0.2">
      <c r="B512" s="6" t="s">
        <v>84</v>
      </c>
      <c r="H512" s="30">
        <f>IF(AND(F511&lt;=9,F500&lt;380),$C$150*F500*1000,IF(F511&lt;=9,$C$150*380000,IF(F500&lt;380,$C$151*F500*1000,$C$151*380000)))</f>
        <v>760</v>
      </c>
      <c r="I512" s="6" t="s">
        <v>78</v>
      </c>
    </row>
    <row r="513" spans="2:19" x14ac:dyDescent="0.2">
      <c r="B513" s="6" t="s">
        <v>79</v>
      </c>
      <c r="C513" s="30">
        <f>IF(D1037=0,O519,D1037)</f>
        <v>16</v>
      </c>
      <c r="D513" s="6" t="s">
        <v>71</v>
      </c>
      <c r="E513" s="30">
        <v>200</v>
      </c>
      <c r="F513" s="6" t="s">
        <v>290</v>
      </c>
      <c r="H513" s="30">
        <f>785.4*C513^2/E513</f>
        <v>1005.312</v>
      </c>
      <c r="I513" s="6" t="s">
        <v>81</v>
      </c>
    </row>
    <row r="515" spans="2:19" x14ac:dyDescent="0.2">
      <c r="B515" s="47" t="s">
        <v>145</v>
      </c>
      <c r="M515" s="6" t="s">
        <v>66</v>
      </c>
      <c r="O515" s="30">
        <v>12</v>
      </c>
      <c r="P515" s="30">
        <v>16</v>
      </c>
      <c r="Q515" s="30">
        <v>20</v>
      </c>
      <c r="R515" s="30">
        <v>22</v>
      </c>
      <c r="S515" s="30">
        <v>25</v>
      </c>
    </row>
    <row r="516" spans="2:19" x14ac:dyDescent="0.2">
      <c r="B516" s="6" t="s">
        <v>146</v>
      </c>
      <c r="F516" s="30">
        <f>F493/$H$51/$G$68/(F500-$H$62)*1000000000</f>
        <v>2289.4668310218121</v>
      </c>
      <c r="G516" s="6" t="s">
        <v>78</v>
      </c>
      <c r="M516" s="6" t="s">
        <v>67</v>
      </c>
      <c r="O516" s="30">
        <f>IF(H512=0,100000000,TRUNC(785.4*O515^2/H512/25)*25)</f>
        <v>125</v>
      </c>
      <c r="P516" s="30">
        <f>IF(H512=0,100000000,TRUNC(785.4*P515^2/H512/25)*25)</f>
        <v>250</v>
      </c>
      <c r="Q516" s="30">
        <f>IF(H512=0,100000000,TRUNC(785.4*Q515^2/H512/25)*25)</f>
        <v>400</v>
      </c>
      <c r="R516" s="30">
        <f>IF(H512=0,100000000,TRUNC(785.4*R515^2/H512/25)*25)</f>
        <v>500</v>
      </c>
      <c r="S516" s="30">
        <f>IF(H512=0,100000000,TRUNC(785.4*S515^2/H512/25)*25)</f>
        <v>625</v>
      </c>
    </row>
    <row r="517" spans="2:19" x14ac:dyDescent="0.2">
      <c r="B517" s="6" t="s">
        <v>147</v>
      </c>
      <c r="F517" s="30">
        <f>IF(AND(F511&lt;=9,F500&lt;380),$D$150*F500*1000,IF(F511&lt;=9,$D$150*380000,IF(F500&lt;380,$D$151*F500*1000,$D$151*380000)))</f>
        <v>380</v>
      </c>
      <c r="G517" s="6" t="s">
        <v>78</v>
      </c>
      <c r="M517" s="6" t="s">
        <v>68</v>
      </c>
      <c r="O517" s="30">
        <f>785.4*O515^2/O516</f>
        <v>904.78079999999989</v>
      </c>
      <c r="P517" s="30">
        <f>785.4*P515^2/P516</f>
        <v>804.24959999999999</v>
      </c>
      <c r="Q517" s="30">
        <f>785.4*Q515^2/Q516</f>
        <v>785.4</v>
      </c>
      <c r="R517" s="30">
        <f>785.4*R515^2/R516</f>
        <v>760.2672</v>
      </c>
      <c r="S517" s="30">
        <f>785.4*S515^2/S516</f>
        <v>785.4</v>
      </c>
    </row>
    <row r="518" spans="2:19" x14ac:dyDescent="0.2">
      <c r="B518" s="6" t="s">
        <v>88</v>
      </c>
      <c r="H518" s="30">
        <f>MAX(F516:F517)</f>
        <v>2289.4668310218121</v>
      </c>
      <c r="I518" s="6" t="s">
        <v>89</v>
      </c>
      <c r="M518" s="6" t="s">
        <v>69</v>
      </c>
      <c r="O518" s="30">
        <f>IF(OR(O516&gt;300,O516&lt;100),100000000,O517-H512)</f>
        <v>144.78079999999989</v>
      </c>
      <c r="P518" s="30">
        <f>IF(OR(P516&gt;300,P516&lt;100),100000001,P517-H512)</f>
        <v>44.249599999999987</v>
      </c>
      <c r="Q518" s="30">
        <f>IF(OR(Q516&gt;300,Q516&lt;100),100000001,Q517-H512)</f>
        <v>100000001</v>
      </c>
      <c r="R518" s="30">
        <f>IF(OR(R516&gt;300,R516&lt;100),100000001,R517-H512)</f>
        <v>100000001</v>
      </c>
      <c r="S518" s="30">
        <f>IF(OR(S516&gt;300,S516&lt;100),100000001,S517-H512)</f>
        <v>100000001</v>
      </c>
    </row>
    <row r="519" spans="2:19" x14ac:dyDescent="0.2">
      <c r="B519" s="509" t="s">
        <v>79</v>
      </c>
      <c r="C519" s="510">
        <v>20</v>
      </c>
      <c r="D519" s="509" t="s">
        <v>71</v>
      </c>
      <c r="E519" s="510">
        <v>125</v>
      </c>
      <c r="F519" s="509" t="s">
        <v>80</v>
      </c>
      <c r="G519" s="511"/>
      <c r="H519" s="510">
        <f>785.4*C519^2/E519</f>
        <v>2513.2800000000002</v>
      </c>
      <c r="I519" s="509" t="s">
        <v>81</v>
      </c>
      <c r="J519" s="511"/>
      <c r="K519" s="674"/>
      <c r="M519" s="6" t="s">
        <v>70</v>
      </c>
      <c r="O519" s="30">
        <f>IF(S516&lt;100,25,IF(MIN(O518:S518)=O518,12,IF(MIN(O518:S518)=P518,16,IF(MIN(O518:S518)=Q518,20,IF(MIN(O518:S518)=R518,22,IF(MIN(O518:S518)=S518,25,0))))))</f>
        <v>16</v>
      </c>
      <c r="P519" s="6" t="s">
        <v>71</v>
      </c>
      <c r="Q519" s="30">
        <f>IF(O519=12,O516,IF(O519=16,P516,IF(O519=20,Q516,IF(O519=22,R516,IF(O519=25,S516,0)))))</f>
        <v>250</v>
      </c>
      <c r="R519" s="6" t="s">
        <v>72</v>
      </c>
    </row>
    <row r="521" spans="2:19" x14ac:dyDescent="0.2">
      <c r="B521" s="47" t="s">
        <v>90</v>
      </c>
    </row>
    <row r="522" spans="2:19" x14ac:dyDescent="0.2">
      <c r="B522" s="6" t="s">
        <v>148</v>
      </c>
      <c r="D522" s="21">
        <f>$H$56/C519</f>
        <v>840.99690843664825</v>
      </c>
      <c r="E522" s="6" t="s">
        <v>149</v>
      </c>
      <c r="F522" s="30">
        <f>$H$57</f>
        <v>1103</v>
      </c>
      <c r="G522" s="6" t="s">
        <v>35</v>
      </c>
      <c r="H522" s="6" t="s">
        <v>150</v>
      </c>
      <c r="J522" s="21">
        <f>MIN(D522,F522)</f>
        <v>840.99690843664825</v>
      </c>
      <c r="K522" s="6" t="s">
        <v>35</v>
      </c>
    </row>
    <row r="523" spans="2:19" x14ac:dyDescent="0.2">
      <c r="B523" s="6" t="s">
        <v>151</v>
      </c>
      <c r="D523" s="21">
        <f>F492/(PI()*C519/E519)/$G$68/(F500-$H$62)*1000</f>
        <v>499.14696429811386</v>
      </c>
      <c r="E523" s="6" t="s">
        <v>35</v>
      </c>
      <c r="F523" s="27" t="str">
        <f>IF(J522&gt;=D523,"bs(allow)  &gt;  bs(actual)    Design is OK.  &lt;-----","bs(allow)  &lt;  bs(actual)    Design is not OK.  &lt;-----")</f>
        <v>bs(allow)  &gt;  bs(actual)    Design is OK.  &lt;-----</v>
      </c>
      <c r="M523" s="6" t="s">
        <v>66</v>
      </c>
      <c r="O523" s="30">
        <v>12</v>
      </c>
      <c r="P523" s="30">
        <v>16</v>
      </c>
      <c r="Q523" s="30">
        <v>20</v>
      </c>
      <c r="R523" s="30">
        <v>22</v>
      </c>
      <c r="S523" s="30">
        <v>25</v>
      </c>
    </row>
    <row r="524" spans="2:19" x14ac:dyDescent="0.2">
      <c r="M524" s="6" t="s">
        <v>67</v>
      </c>
      <c r="O524" s="30">
        <f>IF(H518=0,100000000,TRUNC(785.4*O523^2/H518/25)*25)</f>
        <v>25</v>
      </c>
      <c r="P524" s="30">
        <f>IF(H518=0,100000000,TRUNC(785.4*P523^2/H518/25)*25)</f>
        <v>75</v>
      </c>
      <c r="Q524" s="30">
        <f>IF(H518=0,100000000,TRUNC(785.4*Q523^2/H518/25)*25)</f>
        <v>125</v>
      </c>
      <c r="R524" s="30">
        <f>IF(H518=0,100000000,TRUNC(785.4*R523^2/H518/25)*25)</f>
        <v>150</v>
      </c>
      <c r="S524" s="30">
        <f>IF(H518=0,100000000,TRUNC(785.4*S523^2/H518/25)*25)</f>
        <v>200</v>
      </c>
    </row>
    <row r="525" spans="2:19" x14ac:dyDescent="0.2">
      <c r="B525" s="47" t="s">
        <v>93</v>
      </c>
      <c r="M525" s="6" t="s">
        <v>68</v>
      </c>
      <c r="O525" s="30">
        <f>785.4*O523^2/O524</f>
        <v>4523.9039999999995</v>
      </c>
      <c r="P525" s="30">
        <f>785.4*P523^2/P524</f>
        <v>2680.8319999999999</v>
      </c>
      <c r="Q525" s="30">
        <f>785.4*Q523^2/Q524</f>
        <v>2513.2800000000002</v>
      </c>
      <c r="R525" s="30">
        <f>785.4*R523^2/R524</f>
        <v>2534.2239999999997</v>
      </c>
      <c r="S525" s="30">
        <f>785.4*S523^2/S524</f>
        <v>2454.375</v>
      </c>
    </row>
    <row r="526" spans="2:19" x14ac:dyDescent="0.2">
      <c r="B526" s="47" t="s">
        <v>94</v>
      </c>
      <c r="M526" s="6" t="s">
        <v>69</v>
      </c>
      <c r="O526" s="30">
        <f>IF(OR(O524&gt;300,O524&lt;100),100000000,O525-H518)</f>
        <v>100000000</v>
      </c>
      <c r="P526" s="30">
        <f>IF(OR(P524&gt;300,P524&lt;100),100000001,P525-H518)</f>
        <v>100000001</v>
      </c>
      <c r="Q526" s="30">
        <f>IF(OR(Q524&gt;300,Q524&lt;100),100000001,Q525-H518)</f>
        <v>223.81316897818806</v>
      </c>
      <c r="R526" s="30">
        <f>IF(OR(R524&gt;300,R524&lt;100),100000001,R525-H518)</f>
        <v>244.75716897818756</v>
      </c>
      <c r="S526" s="30">
        <f>IF(OR(S524&gt;300,S524&lt;100),100000001,S525-H518)</f>
        <v>164.90816897818786</v>
      </c>
    </row>
    <row r="527" spans="2:19" x14ac:dyDescent="0.2">
      <c r="B527" s="6" t="s">
        <v>156</v>
      </c>
      <c r="D527" s="27">
        <f>1/2*H519*$H$51*$G$68*($D$33-$H$62)/1000000000</f>
        <v>47.080950491908808</v>
      </c>
      <c r="E527" s="6" t="s">
        <v>99</v>
      </c>
      <c r="F527" s="43">
        <f>1/2*H519*$H$51*$G$68*($E$33-$D$33)/$F$33/1000000000</f>
        <v>15.385931533303536</v>
      </c>
      <c r="G527" s="6" t="s">
        <v>417</v>
      </c>
      <c r="H527" s="43">
        <f>$H$46*$H$44/6</f>
        <v>1.7243558803347074</v>
      </c>
      <c r="I527" s="6" t="s">
        <v>104</v>
      </c>
      <c r="M527" s="6" t="s">
        <v>70</v>
      </c>
      <c r="O527" s="30">
        <f>IF(S524&lt;100,25,IF(MIN(O526:S526)=O526,12,IF(MIN(O526:S526)=P526,16,IF(MIN(O526:S526)=Q526,20,IF(MIN(O526:S526)=R526,22,IF(MIN(O526:S526)=S526,25,0))))))</f>
        <v>25</v>
      </c>
      <c r="P527" s="6" t="s">
        <v>71</v>
      </c>
      <c r="Q527" s="30">
        <f>IF(O527=12,O524,IF(O527=16,P524,IF(O527=20,Q524,IF(O527=22,R524,IF(O527=25,S524,0)))))</f>
        <v>200</v>
      </c>
      <c r="R527" s="6" t="s">
        <v>72</v>
      </c>
    </row>
    <row r="528" spans="2:19" x14ac:dyDescent="0.2">
      <c r="B528" s="6" t="s">
        <v>158</v>
      </c>
      <c r="D528" s="43">
        <f>$H$46*$H$44/6</f>
        <v>1.7243558803347074</v>
      </c>
      <c r="E528" s="6" t="s">
        <v>104</v>
      </c>
    </row>
    <row r="529" spans="2:20" x14ac:dyDescent="0.2">
      <c r="B529" s="6" t="s">
        <v>159</v>
      </c>
      <c r="F529" s="21">
        <f>T543</f>
        <v>3.9739199999999992</v>
      </c>
      <c r="G529" s="6" t="s">
        <v>107</v>
      </c>
    </row>
    <row r="530" spans="2:20" x14ac:dyDescent="0.2">
      <c r="B530" s="6" t="s">
        <v>160</v>
      </c>
      <c r="F530" s="21">
        <f>IF($D$33+($E$33-$D$33)*F529/$F$33-$H$62&gt;12*C519,$F$33-F529+($D$33+($E$33-$D$33)*F529/$F$33-$H$62)/1000,$F$33-F529+(12*C519)/1000)</f>
        <v>1.6432800000000003</v>
      </c>
      <c r="G530" s="6" t="s">
        <v>24</v>
      </c>
    </row>
    <row r="531" spans="2:20" x14ac:dyDescent="0.2">
      <c r="B531" s="6" t="s">
        <v>112</v>
      </c>
      <c r="F531" s="21">
        <f>$F$33-F530</f>
        <v>3.4567199999999993</v>
      </c>
      <c r="G531" s="27" t="str">
        <f>IF(F531&gt;=1,"m &gt; 1 m  Curtailment should be made."," m&lt; 1 m   Curtailment should not be made.")</f>
        <v>m &gt; 1 m  Curtailment should be made.</v>
      </c>
    </row>
    <row r="533" spans="2:20" x14ac:dyDescent="0.2">
      <c r="B533" s="47" t="s">
        <v>87</v>
      </c>
    </row>
    <row r="534" spans="2:20" x14ac:dyDescent="0.2">
      <c r="B534" s="6" t="s">
        <v>161</v>
      </c>
      <c r="F534" s="30">
        <f>F516/2</f>
        <v>1144.7334155109061</v>
      </c>
      <c r="G534" s="6" t="s">
        <v>78</v>
      </c>
    </row>
    <row r="535" spans="2:20" x14ac:dyDescent="0.2">
      <c r="B535" s="27" t="str">
        <f>IF(F534&gt;=F517,"Ast(Moment)  &gt;  Ast(Shrinkage)","Ast(Moment)  &lt;  Ast(Shrinkage)")</f>
        <v>Ast(Moment)  &gt;  Ast(Shrinkage)</v>
      </c>
      <c r="F535" s="2" t="s">
        <v>114</v>
      </c>
      <c r="G535" s="50"/>
      <c r="H535" s="51">
        <f>IF(OR(F531&lt;1,F534&lt;F517),$F$33/2,F530)</f>
        <v>1.6432800000000003</v>
      </c>
      <c r="I535" s="2" t="s">
        <v>115</v>
      </c>
    </row>
    <row r="536" spans="2:20" x14ac:dyDescent="0.2">
      <c r="M536" s="6" t="s">
        <v>152</v>
      </c>
      <c r="O536" s="6" t="s">
        <v>153</v>
      </c>
      <c r="Q536" s="6" t="s">
        <v>154</v>
      </c>
      <c r="S536" s="6" t="s">
        <v>155</v>
      </c>
    </row>
    <row r="537" spans="2:20" x14ac:dyDescent="0.2">
      <c r="B537" s="47" t="s">
        <v>116</v>
      </c>
      <c r="M537" s="6" t="s">
        <v>157</v>
      </c>
      <c r="O537" s="6" t="s">
        <v>157</v>
      </c>
      <c r="Q537" s="6" t="s">
        <v>157</v>
      </c>
      <c r="S537" s="6" t="s">
        <v>157</v>
      </c>
    </row>
    <row r="538" spans="2:20" x14ac:dyDescent="0.2">
      <c r="B538" s="6" t="s">
        <v>156</v>
      </c>
      <c r="D538" s="27">
        <f>1/4*H519*$H$51*$G$68*($D$33-$H$62)/1000000000</f>
        <v>23.540475245954404</v>
      </c>
      <c r="E538" s="6" t="s">
        <v>99</v>
      </c>
      <c r="F538" s="43">
        <f>1/4*H519*$H$51*$G$68*($E$33-$D$33)/$F$33/1000000000</f>
        <v>7.6929657666517679</v>
      </c>
      <c r="G538" s="6" t="s">
        <v>417</v>
      </c>
      <c r="H538" s="44">
        <f>$H$46*$H$44/6</f>
        <v>1.7243558803347074</v>
      </c>
      <c r="I538" s="6" t="s">
        <v>104</v>
      </c>
      <c r="M538" s="27">
        <f>D663*N538^3-F662*N538</f>
        <v>0</v>
      </c>
      <c r="N538" s="25">
        <v>0</v>
      </c>
      <c r="O538" s="43">
        <f>H527*P538^3-F527*P538</f>
        <v>2.3263563946634918</v>
      </c>
      <c r="P538" s="25">
        <f>N544</f>
        <v>3.0599999999999996</v>
      </c>
      <c r="Q538" s="44">
        <f>H527*R538^3-F527*R538</f>
        <v>40.774416172470886</v>
      </c>
      <c r="R538" s="25">
        <f>P543</f>
        <v>3.8759999999999994</v>
      </c>
      <c r="S538" s="44">
        <f>H527*T538^3-F527*T538</f>
        <v>45.995072914822771</v>
      </c>
      <c r="T538" s="25">
        <f>R543</f>
        <v>3.9575999999999993</v>
      </c>
    </row>
    <row r="539" spans="2:20" x14ac:dyDescent="0.2">
      <c r="B539" s="6" t="s">
        <v>158</v>
      </c>
      <c r="D539" s="44">
        <f>$H$46*$H$44/6</f>
        <v>1.7243558803347074</v>
      </c>
      <c r="E539" s="6" t="s">
        <v>104</v>
      </c>
      <c r="M539" s="43">
        <f>H527*N539^3-F527*N539</f>
        <v>-13.863749908911373</v>
      </c>
      <c r="N539" s="25">
        <f>0.2*$F$33</f>
        <v>1.02</v>
      </c>
      <c r="O539" s="43">
        <f>H527*P539^3-F527*P539</f>
        <v>9.7424910330454608</v>
      </c>
      <c r="P539" s="25">
        <f>N544+0.04*$F$33</f>
        <v>3.2639999999999998</v>
      </c>
      <c r="Q539" s="44">
        <f>H527*R539^3-F527*R539</f>
        <v>43.351015822145598</v>
      </c>
      <c r="R539" s="25">
        <f>P543+0.008*$F$33</f>
        <v>3.9167999999999994</v>
      </c>
      <c r="S539" s="44">
        <f>H527*T539^3-F527*T539</f>
        <v>46.532041062507922</v>
      </c>
      <c r="T539" s="25">
        <f>R543+0.0016*$F$33</f>
        <v>3.9657599999999995</v>
      </c>
    </row>
    <row r="540" spans="2:20" x14ac:dyDescent="0.2">
      <c r="B540" s="6" t="s">
        <v>159</v>
      </c>
      <c r="F540" s="21">
        <f>T553</f>
        <v>2.9947199999999996</v>
      </c>
      <c r="G540" s="6" t="s">
        <v>107</v>
      </c>
      <c r="M540" s="43">
        <f>H527*N540^3-F527*N540</f>
        <v>-16.74809828747334</v>
      </c>
      <c r="N540" s="25">
        <f>0.4*$F$33</f>
        <v>2.04</v>
      </c>
      <c r="O540" s="43">
        <f>H527*P540^3-F527*P540</f>
        <v>18.56398906731215</v>
      </c>
      <c r="P540" s="25">
        <f>N544+0.08*$F$33</f>
        <v>3.4679999999999995</v>
      </c>
      <c r="Q540" s="44">
        <f>H527*R540^3-F527*R540</f>
        <v>45.995072914822771</v>
      </c>
      <c r="R540" s="25">
        <f>P543+0.016*$F$33</f>
        <v>3.9575999999999993</v>
      </c>
      <c r="S540" s="44">
        <f>H527*T540^3-F527*T540</f>
        <v>47.071741236634665</v>
      </c>
      <c r="T540" s="25">
        <f>R543+0.0032*$F$33</f>
        <v>3.9739199999999992</v>
      </c>
    </row>
    <row r="541" spans="2:20" x14ac:dyDescent="0.2">
      <c r="B541" s="6" t="s">
        <v>160</v>
      </c>
      <c r="F541" s="21">
        <f>IF($D$33+($E$33-$D$33)*F540/$F$33-$H$62&gt;12*C519,$F$33-F540+($D$33+($E$33-$D$33)*F540/$F$33-$H$62)/1000,$F$33-F540+(12*C519)/1000)</f>
        <v>2.5504799999999999</v>
      </c>
      <c r="G541" s="6" t="s">
        <v>24</v>
      </c>
      <c r="M541" s="43">
        <f>H527*N541^3-F527*N541</f>
        <v>2.3263563946634918</v>
      </c>
      <c r="N541" s="25">
        <f>0.6*$F$33</f>
        <v>3.0599999999999996</v>
      </c>
      <c r="O541" s="43">
        <f>H527*P541^3-F527*P541</f>
        <v>28.878685709706382</v>
      </c>
      <c r="P541" s="25">
        <f>N544+0.12*$F$33</f>
        <v>3.6719999999999997</v>
      </c>
      <c r="Q541" s="44">
        <f>H527*R541^3-F527*R541</f>
        <v>48.707290132200349</v>
      </c>
      <c r="R541" s="25">
        <f>P543+0.024*$F$33</f>
        <v>3.9983999999999993</v>
      </c>
      <c r="S541" s="44">
        <f>H527*T541^3-F527*T541</f>
        <v>47.614179058656596</v>
      </c>
      <c r="T541" s="25">
        <f>R543+0.0048*$F$33</f>
        <v>3.9820799999999994</v>
      </c>
    </row>
    <row r="542" spans="2:20" x14ac:dyDescent="0.2">
      <c r="B542" s="6" t="s">
        <v>112</v>
      </c>
      <c r="F542" s="21">
        <f>$F$33-F541</f>
        <v>2.5495199999999998</v>
      </c>
      <c r="G542" s="27" t="str">
        <f>IF(F542&gt;=1,"m &gt; 1 m  Curtailment should be made."," m&lt; 1 m  Curtailment should not be made.")</f>
        <v>m &gt; 1 m  Curtailment should be made.</v>
      </c>
      <c r="M542" s="43">
        <f>H527*N542^3-F527*N542</f>
        <v>54.339015667848557</v>
      </c>
      <c r="N542" s="25">
        <f>0.8*$F$33</f>
        <v>4.08</v>
      </c>
      <c r="O542" s="43">
        <f>H527*P542^3-F527*P542</f>
        <v>40.774416172470886</v>
      </c>
      <c r="P542" s="25">
        <f>N544+0.16*$F$33</f>
        <v>3.8759999999999994</v>
      </c>
      <c r="Q542" s="44">
        <f>H527*R542^3-F527*R542</f>
        <v>51.488370155976291</v>
      </c>
      <c r="R542" s="25">
        <f>P543+0.032*$F$33</f>
        <v>4.0391999999999992</v>
      </c>
      <c r="S542" s="44">
        <f>H527*T542^3-F527*T542</f>
        <v>48.159360150027283</v>
      </c>
      <c r="T542" s="25">
        <f>R543+0.0064*$F$33</f>
        <v>3.9902399999999991</v>
      </c>
    </row>
    <row r="543" spans="2:20" x14ac:dyDescent="0.2">
      <c r="M543" s="43">
        <f>H527*N543^3-F527*N543</f>
        <v>150.26928106243122</v>
      </c>
      <c r="N543" s="25">
        <f>$F$33</f>
        <v>5.0999999999999996</v>
      </c>
      <c r="P543" s="25">
        <f>IF(O539&gt;O538,VLOOKUP(D527,O538:P542,2),IF(O540&gt;O539,VLOOKUP(D527,O539:P542,2),IF(O541&gt;O540,VLOOKUP(D527,O540:P542,2),IF(O542&gt;O541,VLOOKUP(D527,O541:P542,2),P542))))</f>
        <v>3.8759999999999994</v>
      </c>
      <c r="R543" s="25">
        <f>IF(Q539&gt;Q538,VLOOKUP(D527,Q538:R542,2),IF(Q540&gt;Q539,VLOOKUP(D527,Q539:R542,2),IF(Q541&gt;Q540,VLOOKUP(D527,Q540:R542,2),IF(Q542&gt;Q541,VLOOKUP(D527,Q541:R542,2),R542))))</f>
        <v>3.9575999999999993</v>
      </c>
      <c r="T543" s="25">
        <f>IF(S539&gt;S538,VLOOKUP(D527,S538:T542,2),IF(S540&gt;S539,VLOOKUP(D527,S539:T542,2),IF(S541&gt;S540,VLOOKUP(D527,S540:T542,2),IF(S542&gt;S541,VLOOKUP(D527,S541:T542,2),T542))))</f>
        <v>3.9739199999999992</v>
      </c>
    </row>
    <row r="544" spans="2:20" x14ac:dyDescent="0.2">
      <c r="B544" s="47" t="s">
        <v>87</v>
      </c>
      <c r="N544" s="25">
        <f>IF(M539&gt;M538,VLOOKUP(D527,M538:N543,2),IF(M540&gt;M539,VLOOKUP(D527,M539:N543,2),IF(M541&gt;M540,VLOOKUP(D527,M540:N543,2),IF(M542&gt;M541,VLOOKUP(D527,M541:N543,2),IF(M543&gt;M542,VLOOKUP(D527,M542:N543,2),N543)))))</f>
        <v>3.0599999999999996</v>
      </c>
    </row>
    <row r="545" spans="2:20" x14ac:dyDescent="0.2">
      <c r="B545" s="6" t="s">
        <v>291</v>
      </c>
      <c r="E545" s="30">
        <f>F516/4</f>
        <v>572.36670775545304</v>
      </c>
      <c r="F545" s="6" t="s">
        <v>78</v>
      </c>
    </row>
    <row r="546" spans="2:20" x14ac:dyDescent="0.2">
      <c r="B546" s="27" t="str">
        <f>IF(E545&gt;=F517,"Ast(Moment)  &gt;  Ast(Shrinkage)","Ast(Moment)  &lt;  Ast(Shrinkage)")</f>
        <v>Ast(Moment)  &gt;  Ast(Shrinkage)</v>
      </c>
      <c r="F546" s="2" t="s">
        <v>114</v>
      </c>
      <c r="G546" s="50"/>
      <c r="H546" s="51">
        <f>IF(OR(F542&lt;1,E545&lt;F517),$F$33/2,F541)</f>
        <v>2.5504799999999999</v>
      </c>
      <c r="I546" s="2" t="s">
        <v>115</v>
      </c>
      <c r="M546" s="6" t="s">
        <v>152</v>
      </c>
      <c r="O546" s="6" t="s">
        <v>153</v>
      </c>
      <c r="Q546" s="6" t="s">
        <v>154</v>
      </c>
      <c r="S546" s="6" t="s">
        <v>155</v>
      </c>
    </row>
    <row r="547" spans="2:20" x14ac:dyDescent="0.2">
      <c r="M547" s="6" t="s">
        <v>157</v>
      </c>
      <c r="O547" s="6" t="s">
        <v>157</v>
      </c>
      <c r="Q547" s="6" t="s">
        <v>157</v>
      </c>
      <c r="S547" s="6" t="s">
        <v>157</v>
      </c>
    </row>
    <row r="548" spans="2:20" x14ac:dyDescent="0.2">
      <c r="M548" s="27">
        <f>H538*N548^3-F538*N548</f>
        <v>0</v>
      </c>
      <c r="N548" s="25">
        <v>0</v>
      </c>
      <c r="O548" s="43">
        <f>H538*P548^3-F538*P548</f>
        <v>-1.0544481235037342</v>
      </c>
      <c r="P548" s="25">
        <f>N554</f>
        <v>2.04</v>
      </c>
      <c r="Q548" s="44">
        <f>H538*R548^3-F538*R548</f>
        <v>18.198860169480898</v>
      </c>
      <c r="R548" s="25">
        <f>P553</f>
        <v>2.8559999999999999</v>
      </c>
      <c r="S548" s="44">
        <f>H538*T548^3-F538*T548</f>
        <v>22.646458442011664</v>
      </c>
      <c r="T548" s="25">
        <f>R553</f>
        <v>2.9783999999999997</v>
      </c>
    </row>
    <row r="549" spans="2:20" x14ac:dyDescent="0.2">
      <c r="B549" s="48" t="s">
        <v>179</v>
      </c>
      <c r="C549" s="1"/>
      <c r="D549" s="1"/>
      <c r="M549" s="27">
        <f>H538*N549^3-F538*N549</f>
        <v>-6.0169248269265694</v>
      </c>
      <c r="N549" s="25">
        <f>0.2*$F$33</f>
        <v>1.02</v>
      </c>
      <c r="O549" s="43">
        <f>H538*P549^3-F538*P549</f>
        <v>2.2217627354935168</v>
      </c>
      <c r="P549" s="25">
        <f>N554+0.04*$F$33</f>
        <v>2.2440000000000002</v>
      </c>
      <c r="Q549" s="44">
        <f>H538*R549^3-F538*R549</f>
        <v>19.631268299204603</v>
      </c>
      <c r="R549" s="25">
        <f>P553+0.008*$F$33</f>
        <v>2.8967999999999998</v>
      </c>
      <c r="S549" s="44">
        <f>H538*T549^3-F538*T549</f>
        <v>22.959169770377201</v>
      </c>
      <c r="T549" s="25">
        <f>R553+0.0016*$F$33</f>
        <v>2.9865599999999999</v>
      </c>
    </row>
    <row r="550" spans="2:20" x14ac:dyDescent="0.2">
      <c r="M550" s="27">
        <f>H538*N550^3-F538*N550</f>
        <v>-1.0544481235037342</v>
      </c>
      <c r="N550" s="25">
        <f>0.4*$F$33</f>
        <v>2.04</v>
      </c>
      <c r="O550" s="43">
        <f>H538*P550^3-F538*P550</f>
        <v>6.4641609291615012</v>
      </c>
      <c r="P550" s="25">
        <f>N554+0.08*$F$33</f>
        <v>2.448</v>
      </c>
      <c r="Q550" s="44">
        <f>H538*R550^3-F538*R550</f>
        <v>21.113566829482213</v>
      </c>
      <c r="R550" s="25">
        <f>P553+0.016*$F$33</f>
        <v>2.9375999999999998</v>
      </c>
      <c r="S550" s="44">
        <f>H538*T550^3-F538*T550</f>
        <v>23.273938550754302</v>
      </c>
      <c r="T550" s="25">
        <f>R553+0.0032*$F$33</f>
        <v>2.9947199999999996</v>
      </c>
    </row>
    <row r="551" spans="2:20" x14ac:dyDescent="0.2">
      <c r="B551" s="47" t="s">
        <v>54</v>
      </c>
      <c r="M551" s="27">
        <f>H538*N551^3-F538*N551</f>
        <v>25.8668316406179</v>
      </c>
      <c r="N551" s="25">
        <f>0.6*$F$33</f>
        <v>3.0599999999999996</v>
      </c>
      <c r="O551" s="43">
        <f>H538*P551^3-F538*P551</f>
        <v>11.76058166974304</v>
      </c>
      <c r="P551" s="25">
        <f>N554+0.12*$F$33</f>
        <v>2.6520000000000001</v>
      </c>
      <c r="Q551" s="44">
        <f>H538*R551^3-F538*R551</f>
        <v>22.646458442011664</v>
      </c>
      <c r="R551" s="25">
        <f>P553+0.024*$F$33</f>
        <v>2.9783999999999997</v>
      </c>
      <c r="S551" s="44">
        <f>H538*T551^3-F538*T551</f>
        <v>23.590770404596576</v>
      </c>
      <c r="T551" s="25">
        <f>R553+0.0048*$F$33</f>
        <v>3.0028799999999998</v>
      </c>
    </row>
    <row r="552" spans="2:20" x14ac:dyDescent="0.2">
      <c r="B552" s="6" t="s">
        <v>163</v>
      </c>
      <c r="F552" s="21">
        <f>($D$33+$E$33)/2000*$F$33*$H$43+($E$33-$D$33)/2000*$F$33*$H$44</f>
        <v>77.417999999999992</v>
      </c>
      <c r="G552" s="6" t="s">
        <v>57</v>
      </c>
      <c r="M552" s="27">
        <f>H538*N552^3-F538*N552</f>
        <v>85.726315995787772</v>
      </c>
      <c r="N552" s="25">
        <f>0.8*$F$33</f>
        <v>4.08</v>
      </c>
      <c r="O552" s="43">
        <f>H538*P552^3-F538*P552</f>
        <v>18.198860169480898</v>
      </c>
      <c r="P552" s="25">
        <f>N554+0.16*$F$33</f>
        <v>2.8559999999999999</v>
      </c>
      <c r="Q552" s="44">
        <f>H538*R552^3-F538*R552</f>
        <v>24.230645818490913</v>
      </c>
      <c r="R552" s="25">
        <f>P553+0.032*$F$33</f>
        <v>3.0191999999999997</v>
      </c>
      <c r="S552" s="44">
        <f>H538*T552^3-F538*T552</f>
        <v>23.909670953357569</v>
      </c>
      <c r="T552" s="25">
        <f>R553+0.0064*$F$33</f>
        <v>3.0110399999999995</v>
      </c>
    </row>
    <row r="553" spans="2:20" x14ac:dyDescent="0.2">
      <c r="B553" s="6" t="s">
        <v>164</v>
      </c>
      <c r="F553" s="21">
        <f>2*F552/$J$33</f>
        <v>54.01837407128243</v>
      </c>
      <c r="G553" s="6" t="s">
        <v>120</v>
      </c>
      <c r="M553" s="27">
        <f>H538*N553^3-F538*N553</f>
        <v>189.50340647235524</v>
      </c>
      <c r="N553" s="25">
        <f>$F$33</f>
        <v>5.0999999999999996</v>
      </c>
      <c r="P553" s="25">
        <f>IF(O549&gt;O548,VLOOKUP(D538,O548:P552,2),IF(O550&gt;O549,VLOOKUP(D638,O549:P552,2),IF(O551&gt;O550,VLOOKUP(D538,O550:P552,2),IF(O552&gt;O551,VLOOKUP(D538,O551:P552,2),P552))))</f>
        <v>2.8559999999999999</v>
      </c>
      <c r="R553" s="25">
        <f>IF(Q549&gt;Q548,VLOOKUP(D538,Q548:R552,2),IF(Q550&gt;Q549,VLOOKUP(D538,Q549:R552,2),IF(Q551&gt;Q550,VLOOKUP(D538,Q550:R552,2),IF(Q552&gt;Q551,VLOOKUP(D538,Q551:R552,2),R552))))</f>
        <v>2.9783999999999997</v>
      </c>
      <c r="T553" s="25">
        <f>IF(S549&gt;S548,VLOOKUP(D538,S548:T552,2),IF(S550&gt;S549,VLOOKUP(D538,S549:T552,2),IF(S551&gt;S550,VLOOKUP(D538,S550:T552,2),IF(S552&gt;S551,VLOOKUP(D538,S551:T552,2),T552))))</f>
        <v>2.9947199999999996</v>
      </c>
    </row>
    <row r="554" spans="2:20" x14ac:dyDescent="0.2">
      <c r="B554" s="6" t="s">
        <v>165</v>
      </c>
      <c r="F554" s="21">
        <f>$H$46*$I$33^3/6*$H$44</f>
        <v>282.55893806919488</v>
      </c>
      <c r="G554" s="6" t="s">
        <v>58</v>
      </c>
      <c r="N554" s="25">
        <f>IF(M549&gt;M548,VLOOKUP(D538,M548:N553,2),IF(M550&gt;M549,VLOOKUP(D538,M549:N553,2),IF(M551&gt;M550,VLOOKUP(D538,M550:N553,2),IF(M552&gt;M551,VLOOKUP(D538,M551:N553,2),IF(M553&gt;M552,VLOOKUP(D673,M552:N553,2),N553)))))</f>
        <v>2.04</v>
      </c>
    </row>
    <row r="555" spans="2:20" x14ac:dyDescent="0.2">
      <c r="B555" s="6" t="s">
        <v>166</v>
      </c>
      <c r="H555" s="21">
        <f>(($E$33-$D$33)*$F$33/2*(2/3*$D$33+$E$33/3)+$D$33*$F$33*$D$33/2)/(($D$33+$E$33)/2*$F$33)/1000</f>
        <v>0.25576923076923075</v>
      </c>
      <c r="I555" s="6" t="s">
        <v>24</v>
      </c>
    </row>
    <row r="556" spans="2:20" x14ac:dyDescent="0.2">
      <c r="B556" s="6" t="s">
        <v>167</v>
      </c>
      <c r="F556" s="21">
        <f>F554-F552*H555+F553*H555^2/2</f>
        <v>264.52468004209965</v>
      </c>
      <c r="G556" s="6" t="s">
        <v>58</v>
      </c>
    </row>
    <row r="557" spans="2:20" x14ac:dyDescent="0.2">
      <c r="B557" s="6" t="s">
        <v>168</v>
      </c>
      <c r="F557" s="21">
        <f>F554-F552*($H$33/2+H555)+F553*$J$33^2/8</f>
        <v>233.40944437261371</v>
      </c>
      <c r="G557" s="6" t="s">
        <v>58</v>
      </c>
    </row>
    <row r="560" spans="2:20" x14ac:dyDescent="0.2">
      <c r="B560" s="6" t="s">
        <v>169</v>
      </c>
      <c r="F560" s="21">
        <f>IF(F557&gt;0,0,-F557)</f>
        <v>0</v>
      </c>
      <c r="G560" s="6" t="s">
        <v>58</v>
      </c>
    </row>
    <row r="561" spans="2:19" x14ac:dyDescent="0.2">
      <c r="B561" s="6" t="s">
        <v>170</v>
      </c>
      <c r="F561" s="21">
        <f>F556</f>
        <v>264.52468004209965</v>
      </c>
      <c r="G561" s="6" t="s">
        <v>57</v>
      </c>
    </row>
    <row r="562" spans="2:19" x14ac:dyDescent="0.2">
      <c r="B562" s="6" t="s">
        <v>171</v>
      </c>
      <c r="F562" s="21">
        <f>F552</f>
        <v>77.417999999999992</v>
      </c>
      <c r="G562" s="6" t="s">
        <v>58</v>
      </c>
    </row>
    <row r="564" spans="2:19" x14ac:dyDescent="0.2">
      <c r="B564" s="47" t="s">
        <v>59</v>
      </c>
    </row>
    <row r="565" spans="2:19" x14ac:dyDescent="0.2">
      <c r="B565" s="6" t="s">
        <v>279</v>
      </c>
      <c r="F565" s="30">
        <f>SQRT(MAX(F560:F561)/$G$69)*1000</f>
        <v>459.47150104526037</v>
      </c>
      <c r="G565" s="6" t="s">
        <v>43</v>
      </c>
    </row>
    <row r="566" spans="2:19" x14ac:dyDescent="0.2">
      <c r="B566" s="6" t="s">
        <v>280</v>
      </c>
      <c r="F566" s="30">
        <f>F562/$H$54*1000</f>
        <v>180.60624550927085</v>
      </c>
      <c r="G566" s="6" t="s">
        <v>43</v>
      </c>
    </row>
    <row r="568" spans="2:19" x14ac:dyDescent="0.2">
      <c r="B568" s="6" t="s">
        <v>138</v>
      </c>
      <c r="F568" s="30">
        <f>MAX(F565:F566)+$H$62</f>
        <v>534.47150104526031</v>
      </c>
      <c r="G568" s="6" t="s">
        <v>43</v>
      </c>
    </row>
    <row r="569" spans="2:19" x14ac:dyDescent="0.2">
      <c r="B569" s="6" t="s">
        <v>139</v>
      </c>
      <c r="F569" s="30">
        <f>$G$33</f>
        <v>744.36860068259386</v>
      </c>
      <c r="G569" s="6" t="s">
        <v>43</v>
      </c>
    </row>
    <row r="570" spans="2:19" x14ac:dyDescent="0.2">
      <c r="B570" s="27" t="str">
        <f>IF(F569&gt;=F568,"ta  &gt;  tr     Design is OK.","ta  &lt;  tr     Design is Not OK.")</f>
        <v>ta  &gt;  tr     Design is OK.</v>
      </c>
      <c r="F570" s="6" t="s">
        <v>64</v>
      </c>
    </row>
    <row r="571" spans="2:19" x14ac:dyDescent="0.2">
      <c r="B571" s="27" t="str">
        <f>IF(F569&gt;1.5*F568,"WARNING:  Actual Member Thickness is considerably larger (&gt;50%) than required.","")</f>
        <v/>
      </c>
    </row>
    <row r="572" spans="2:19" x14ac:dyDescent="0.2">
      <c r="B572" s="47" t="s">
        <v>123</v>
      </c>
    </row>
    <row r="573" spans="2:19" x14ac:dyDescent="0.2">
      <c r="B573" s="6" t="s">
        <v>124</v>
      </c>
      <c r="F573" s="21">
        <f>MAX($C$31:$C$36)</f>
        <v>16.2</v>
      </c>
      <c r="G573" s="6" t="s">
        <v>24</v>
      </c>
    </row>
    <row r="574" spans="2:19" x14ac:dyDescent="0.2">
      <c r="B574" s="6" t="s">
        <v>141</v>
      </c>
      <c r="H574" s="30">
        <f>IF(AND(F573&lt;=9,F569&lt;380),$C$150*F569*1000,IF(F573&lt;=9,$C$150*380000,IF(F569&lt;380,$C$151*F569*1000,$C$151*380000)))</f>
        <v>950</v>
      </c>
      <c r="I574" s="6" t="s">
        <v>78</v>
      </c>
      <c r="M574" s="6" t="s">
        <v>66</v>
      </c>
      <c r="O574" s="30">
        <v>12</v>
      </c>
      <c r="P574" s="30">
        <v>16</v>
      </c>
      <c r="Q574" s="30">
        <v>20</v>
      </c>
      <c r="R574" s="30">
        <v>22</v>
      </c>
      <c r="S574" s="30">
        <v>25</v>
      </c>
    </row>
    <row r="575" spans="2:19" x14ac:dyDescent="0.2">
      <c r="B575" s="6" t="s">
        <v>79</v>
      </c>
      <c r="C575" s="30">
        <f>IF(D1024=0,O578,D1024)</f>
        <v>16</v>
      </c>
      <c r="D575" s="6" t="s">
        <v>71</v>
      </c>
      <c r="E575" s="30">
        <f>IF(D1024=0,IF(Q578&gt;300,300,Q578),E1024)</f>
        <v>200</v>
      </c>
      <c r="F575" s="6" t="s">
        <v>289</v>
      </c>
      <c r="H575" s="30">
        <f>785.4*C575^2/E575</f>
        <v>1005.312</v>
      </c>
      <c r="I575" s="6" t="s">
        <v>81</v>
      </c>
      <c r="M575" s="6" t="s">
        <v>67</v>
      </c>
      <c r="O575" s="30">
        <f>IF(H574=0,100000000,TRUNC(785.4*O574^2/H574/25)*25)</f>
        <v>100</v>
      </c>
      <c r="P575" s="30">
        <f>IF(H574=0,100000000,TRUNC(785.4*P574^2/H574/25)*25)</f>
        <v>200</v>
      </c>
      <c r="Q575" s="30">
        <f>IF(H574=0,100000000,TRUNC(785.4*Q574^2/H574/25)*25)</f>
        <v>325</v>
      </c>
      <c r="R575" s="30">
        <f>IF(H574=0,100000000,TRUNC(785.4*R574^2/H574/25)*25)</f>
        <v>400</v>
      </c>
      <c r="S575" s="30">
        <f>IF(H574=0,100000000,TRUNC(785.4*S574^2/H574/25)*25)</f>
        <v>500</v>
      </c>
    </row>
    <row r="576" spans="2:19" x14ac:dyDescent="0.2">
      <c r="B576" s="6" t="s">
        <v>142</v>
      </c>
      <c r="H576" s="30">
        <f>IF(AND(F573&lt;=9,F569&lt;380),$D$150*F569*1000,IF(F573&lt;=9,$D$150*380000,IF(F569&lt;380,$D$151*F569*1000,$D$151*380000)))</f>
        <v>570</v>
      </c>
      <c r="I576" s="6" t="s">
        <v>78</v>
      </c>
      <c r="M576" s="6" t="s">
        <v>68</v>
      </c>
      <c r="O576" s="30">
        <f>785.4*O574^2/O575</f>
        <v>1130.9759999999999</v>
      </c>
      <c r="P576" s="30">
        <f>785.4*P574^2/P575</f>
        <v>1005.312</v>
      </c>
      <c r="Q576" s="30">
        <f>785.4*Q574^2/Q575</f>
        <v>966.64615384615388</v>
      </c>
      <c r="R576" s="30">
        <f>785.4*R574^2/R575</f>
        <v>950.33399999999995</v>
      </c>
      <c r="S576" s="30">
        <f>785.4*S574^2/S575</f>
        <v>981.75</v>
      </c>
    </row>
    <row r="577" spans="1:19" x14ac:dyDescent="0.2">
      <c r="B577" s="6" t="s">
        <v>79</v>
      </c>
      <c r="C577" s="30">
        <v>16</v>
      </c>
      <c r="D577" s="6" t="s">
        <v>71</v>
      </c>
      <c r="E577" s="30">
        <v>250</v>
      </c>
      <c r="F577" s="6" t="s">
        <v>289</v>
      </c>
      <c r="H577" s="30">
        <f>785.4*C577^2/E577</f>
        <v>804.24959999999999</v>
      </c>
      <c r="I577" s="6" t="s">
        <v>81</v>
      </c>
      <c r="M577" s="6" t="s">
        <v>69</v>
      </c>
      <c r="O577" s="30">
        <f>IF(OR(O575&gt;300,O575&lt;100),100000000,O576-H574)</f>
        <v>180.97599999999989</v>
      </c>
      <c r="P577" s="30">
        <f>IF(OR(P575&gt;300,P575&lt;100),100000001,P576-H574)</f>
        <v>55.312000000000012</v>
      </c>
      <c r="Q577" s="30">
        <f>IF(OR(Q575&gt;300,Q575&lt;100),100000001,Q576-H574)</f>
        <v>100000001</v>
      </c>
      <c r="R577" s="30">
        <f>IF(OR(R575&gt;300,R575&lt;100),100000001,R576-H574)</f>
        <v>100000001</v>
      </c>
      <c r="S577" s="30">
        <f>IF(OR(S575&gt;300,S575&lt;100),100000001,S576-H574)</f>
        <v>100000001</v>
      </c>
    </row>
    <row r="578" spans="1:19" x14ac:dyDescent="0.2">
      <c r="M578" s="6" t="s">
        <v>70</v>
      </c>
      <c r="O578" s="30">
        <f>IF(S575&lt;100,25,IF(MIN(O577:S577)=O577,12,IF(MIN(O577:S577)=P577,16,IF(MIN(O577:S577)=Q577,20,IF(MIN(O577:S577)=R577,22,IF(MIN(O577:S577)=S577,25,0))))))</f>
        <v>16</v>
      </c>
      <c r="P578" s="6" t="s">
        <v>71</v>
      </c>
      <c r="Q578" s="30">
        <f>IF(O578=12,O575,IF(O578=16,P575,IF(O578=20,Q575,IF(O578=22,R575,IF(O578=25,S575,0)))))</f>
        <v>200</v>
      </c>
      <c r="R578" s="6" t="s">
        <v>72</v>
      </c>
    </row>
    <row r="579" spans="1:19" x14ac:dyDescent="0.2">
      <c r="B579" s="47" t="s">
        <v>125</v>
      </c>
    </row>
    <row r="580" spans="1:19" x14ac:dyDescent="0.2">
      <c r="B580" s="6" t="s">
        <v>291</v>
      </c>
      <c r="F580" s="30">
        <f>F560/$H$51/$G$68/(F569-$H$62)*1000000000</f>
        <v>0</v>
      </c>
      <c r="G580" s="6" t="s">
        <v>78</v>
      </c>
    </row>
    <row r="581" spans="1:19" x14ac:dyDescent="0.2">
      <c r="B581" s="6" t="s">
        <v>172</v>
      </c>
      <c r="F581" s="27">
        <f>$H$33+$E$33/500</f>
        <v>3.5413580246913581</v>
      </c>
      <c r="G581" s="6" t="s">
        <v>24</v>
      </c>
    </row>
    <row r="582" spans="1:19" x14ac:dyDescent="0.2">
      <c r="B582" s="6" t="s">
        <v>294</v>
      </c>
      <c r="F582" s="30">
        <f>IF(AND(F581&lt;=9,F569&lt;380),$C$150*F569*1000,IF(F581&lt;=9,$C$150*380000,IF(F569&lt;380,$C$151*F569*1000,$C$151*380000)))</f>
        <v>760</v>
      </c>
      <c r="G582" s="6" t="s">
        <v>78</v>
      </c>
      <c r="M582" s="6" t="s">
        <v>66</v>
      </c>
      <c r="O582" s="30">
        <v>12</v>
      </c>
      <c r="P582" s="30">
        <v>16</v>
      </c>
      <c r="Q582" s="30">
        <v>20</v>
      </c>
      <c r="R582" s="30">
        <v>22</v>
      </c>
      <c r="S582" s="30">
        <v>25</v>
      </c>
    </row>
    <row r="583" spans="1:19" x14ac:dyDescent="0.2">
      <c r="B583" s="6" t="s">
        <v>88</v>
      </c>
      <c r="H583" s="30">
        <f>MAX(F580,F582)</f>
        <v>760</v>
      </c>
      <c r="I583" s="6" t="s">
        <v>78</v>
      </c>
      <c r="M583" s="6" t="s">
        <v>67</v>
      </c>
      <c r="O583" s="30">
        <f>IF(H576=0,100000000,TRUNC(785.4*O582^2/H576/25)*25)</f>
        <v>175</v>
      </c>
      <c r="P583" s="30">
        <f>IF(H576=0,100000000,TRUNC(785.4*P582^2/H576/25)*25)</f>
        <v>350</v>
      </c>
      <c r="Q583" s="30">
        <f>IF(H576=0,100000000,TRUNC(785.4*Q582^2/H576/25)*25)</f>
        <v>550</v>
      </c>
      <c r="R583" s="30">
        <f>IF(H576=0,100000000,TRUNC(785.4*R582^2/H576/25)*25)</f>
        <v>650</v>
      </c>
      <c r="S583" s="30">
        <f>IF(H576=0,100000000,TRUNC(785.4*S582^2/H576/25)*25)</f>
        <v>850</v>
      </c>
    </row>
    <row r="584" spans="1:19" x14ac:dyDescent="0.2">
      <c r="B584" s="697" t="s">
        <v>79</v>
      </c>
      <c r="C584" s="343">
        <f>IF(D1044=0,O594,D1044)</f>
        <v>16</v>
      </c>
      <c r="D584" s="697" t="s">
        <v>71</v>
      </c>
      <c r="E584" s="343">
        <v>200</v>
      </c>
      <c r="F584" s="697" t="s">
        <v>290</v>
      </c>
      <c r="G584" s="357"/>
      <c r="H584" s="343">
        <f>785.4*C584^2/E584</f>
        <v>1005.312</v>
      </c>
      <c r="I584" s="697" t="s">
        <v>81</v>
      </c>
      <c r="J584" s="357"/>
      <c r="K584" s="1"/>
      <c r="M584" s="6" t="s">
        <v>68</v>
      </c>
      <c r="O584" s="30">
        <f>785.4*O582^2/O583</f>
        <v>646.27199999999993</v>
      </c>
      <c r="P584" s="30">
        <f>785.4*P582^2/P583</f>
        <v>574.46399999999994</v>
      </c>
      <c r="Q584" s="30">
        <f>785.4*Q582^2/Q583</f>
        <v>571.20000000000005</v>
      </c>
      <c r="R584" s="30">
        <f>785.4*R582^2/R583</f>
        <v>584.82092307692301</v>
      </c>
      <c r="S584" s="30">
        <f>785.4*S582^2/S583</f>
        <v>577.5</v>
      </c>
    </row>
    <row r="585" spans="1:19" x14ac:dyDescent="0.2">
      <c r="M585" s="6" t="s">
        <v>69</v>
      </c>
      <c r="O585" s="30">
        <f>IF(OR(O583&gt;300,O583&lt;100),100000000,O584-H576)</f>
        <v>76.271999999999935</v>
      </c>
      <c r="P585" s="30">
        <f>IF(OR(P583&gt;300,P583&lt;100),100000001,P584-H576)</f>
        <v>100000001</v>
      </c>
      <c r="Q585" s="30">
        <f>IF(OR(Q583&gt;300,Q583&lt;100),100000001,Q584-H576)</f>
        <v>100000001</v>
      </c>
      <c r="R585" s="30">
        <f>IF(OR(R583&gt;300,R583&lt;100),100000001,R584-H576)</f>
        <v>100000001</v>
      </c>
      <c r="S585" s="30">
        <f>IF(OR(S583&gt;300,S583&lt;100),100000001,S584-H576)</f>
        <v>100000001</v>
      </c>
    </row>
    <row r="586" spans="1:19" x14ac:dyDescent="0.2">
      <c r="B586" s="47" t="s">
        <v>126</v>
      </c>
      <c r="M586" s="6" t="s">
        <v>70</v>
      </c>
      <c r="O586" s="30">
        <f>IF(S583&lt;100,25,IF(MIN(O585:S585)=O585,12,IF(MIN(O585:S585)=P585,16,IF(MIN(O585:S585)=Q585,20,IF(MIN(O585:S585)=R585,22,IF(MIN(O585:S585)=S585,25,0))))))</f>
        <v>12</v>
      </c>
      <c r="P586" s="6" t="s">
        <v>71</v>
      </c>
      <c r="Q586" s="30">
        <f>IF(O586=12,O583,IF(O586=16,P583,IF(O586=20,Q583,IF(O586=22,R583,IF(O586=25,S583,0)))))</f>
        <v>175</v>
      </c>
      <c r="R586" s="6" t="s">
        <v>72</v>
      </c>
    </row>
    <row r="587" spans="1:19" x14ac:dyDescent="0.2">
      <c r="B587" s="6" t="s">
        <v>287</v>
      </c>
      <c r="F587" s="30">
        <f>F561/$H$51/$G$68/(F569-$H$62)*1000000000</f>
        <v>2373.2803160669469</v>
      </c>
      <c r="G587" s="6" t="s">
        <v>78</v>
      </c>
    </row>
    <row r="588" spans="1:19" x14ac:dyDescent="0.2">
      <c r="B588" s="6" t="s">
        <v>253</v>
      </c>
      <c r="F588" s="30">
        <f>IF(AND(F581&lt;=9,F569&lt;380),$D$150*F569*1000,IF(F581&lt;=9,$D$150*380000,IF(F569&lt;380,$D$151*F569*1000,$D$151*380000)))</f>
        <v>380</v>
      </c>
      <c r="G588" s="6" t="s">
        <v>78</v>
      </c>
    </row>
    <row r="589" spans="1:19" x14ac:dyDescent="0.2">
      <c r="B589" s="6" t="s">
        <v>88</v>
      </c>
      <c r="H589" s="30">
        <f>MAX(F587:F588)</f>
        <v>2373.2803160669469</v>
      </c>
      <c r="I589" s="6" t="s">
        <v>89</v>
      </c>
    </row>
    <row r="590" spans="1:19" x14ac:dyDescent="0.2">
      <c r="B590" s="509" t="s">
        <v>79</v>
      </c>
      <c r="C590" s="510">
        <v>20</v>
      </c>
      <c r="D590" s="509" t="s">
        <v>71</v>
      </c>
      <c r="E590" s="510">
        <v>125</v>
      </c>
      <c r="F590" s="509" t="s">
        <v>80</v>
      </c>
      <c r="G590" s="511"/>
      <c r="H590" s="510">
        <f>785.4*C590^2/E590</f>
        <v>2513.2800000000002</v>
      </c>
      <c r="I590" s="509" t="s">
        <v>81</v>
      </c>
      <c r="J590" s="511"/>
      <c r="K590" s="674"/>
      <c r="M590" s="6" t="s">
        <v>66</v>
      </c>
      <c r="O590" s="30">
        <v>12</v>
      </c>
      <c r="P590" s="30">
        <v>16</v>
      </c>
      <c r="Q590" s="30">
        <v>20</v>
      </c>
      <c r="R590" s="30">
        <v>22</v>
      </c>
      <c r="S590" s="30">
        <v>25</v>
      </c>
    </row>
    <row r="591" spans="1:19" x14ac:dyDescent="0.2">
      <c r="M591" s="6" t="s">
        <v>67</v>
      </c>
      <c r="O591" s="30">
        <f>IF(H583=0,100000000,TRUNC(785.4*O590^2/H583/25)*25)</f>
        <v>125</v>
      </c>
      <c r="P591" s="30">
        <f>IF(H583=0,100000000,TRUNC(785.4*P590^2/H583/25)*25)</f>
        <v>250</v>
      </c>
      <c r="Q591" s="30">
        <f>IF(H583=0,100000000,TRUNC(785.4*Q590^2/H583/25)*25)</f>
        <v>400</v>
      </c>
      <c r="R591" s="30">
        <f>IF(H583=0,100000000,TRUNC(785.4*R590^2/H583/25)*25)</f>
        <v>500</v>
      </c>
      <c r="S591" s="30">
        <f>IF(H583=0,100000000,TRUNC(785.4*S590^2/H583/25)*25)</f>
        <v>625</v>
      </c>
    </row>
    <row r="592" spans="1:19" x14ac:dyDescent="0.2">
      <c r="A592" s="47" t="s">
        <v>93</v>
      </c>
      <c r="M592" s="6" t="s">
        <v>68</v>
      </c>
      <c r="O592" s="30">
        <f>785.4*O590^2/O591</f>
        <v>904.78079999999989</v>
      </c>
      <c r="P592" s="30">
        <f>785.4*P590^2/P591</f>
        <v>804.24959999999999</v>
      </c>
      <c r="Q592" s="30">
        <f>785.4*Q590^2/Q591</f>
        <v>785.4</v>
      </c>
      <c r="R592" s="30">
        <f>785.4*R590^2/R591</f>
        <v>760.2672</v>
      </c>
      <c r="S592" s="30">
        <f>785.4*S590^2/S591</f>
        <v>785.4</v>
      </c>
    </row>
    <row r="593" spans="2:19" x14ac:dyDescent="0.2">
      <c r="B593" s="47" t="s">
        <v>94</v>
      </c>
      <c r="M593" s="6" t="s">
        <v>69</v>
      </c>
      <c r="O593" s="30">
        <f>IF(OR(O591&gt;300,O591&lt;100),100000000,O592-H583)</f>
        <v>144.78079999999989</v>
      </c>
      <c r="P593" s="30">
        <f>IF(OR(P591&gt;300,P591&lt;100),100000001,P592-H583)</f>
        <v>44.249599999999987</v>
      </c>
      <c r="Q593" s="30">
        <f>IF(OR(Q591&gt;300,Q591&lt;100),100000001,Q592-H583)</f>
        <v>100000001</v>
      </c>
      <c r="R593" s="30">
        <f>IF(OR(R591&gt;300,R591&lt;100),100000001,R592-H583)</f>
        <v>100000001</v>
      </c>
      <c r="S593" s="30">
        <f>IF(OR(S591&gt;300,S591&lt;100),100000001,S592-H583)</f>
        <v>100000001</v>
      </c>
    </row>
    <row r="594" spans="2:19" x14ac:dyDescent="0.2">
      <c r="B594" s="6" t="s">
        <v>173</v>
      </c>
      <c r="F594" s="43">
        <f>F554/2</f>
        <v>141.27946903459744</v>
      </c>
      <c r="G594" s="6" t="s">
        <v>111</v>
      </c>
      <c r="H594" s="27">
        <f>F552</f>
        <v>77.417999999999992</v>
      </c>
      <c r="I594" s="6" t="s">
        <v>174</v>
      </c>
      <c r="J594" s="43">
        <f>F553/2</f>
        <v>27.009187035641215</v>
      </c>
      <c r="K594" s="6" t="s">
        <v>129</v>
      </c>
      <c r="M594" s="6" t="s">
        <v>70</v>
      </c>
      <c r="O594" s="30">
        <f>IF(S591&lt;100,25,IF(MIN(O593:S593)=O593,12,IF(MIN(O593:S593)=P593,16,IF(MIN(O593:S593)=Q593,20,IF(MIN(O593:S593)=R593,22,IF(MIN(O593:S593)=S593,25,0))))))</f>
        <v>16</v>
      </c>
      <c r="P594" s="6" t="s">
        <v>71</v>
      </c>
      <c r="Q594" s="30">
        <f>IF(O594=12,O591,IF(O594=16,P591,IF(O594=20,Q591,IF(O594=22,R591,IF(O594=25,S591,0)))))</f>
        <v>250</v>
      </c>
      <c r="R594" s="6" t="s">
        <v>72</v>
      </c>
    </row>
    <row r="595" spans="2:19" x14ac:dyDescent="0.2">
      <c r="B595" s="6" t="s">
        <v>175</v>
      </c>
      <c r="E595" s="27" t="str">
        <f>IF(F596=$J$35/2,"There is no solution to the quadratic equation.","")</f>
        <v/>
      </c>
    </row>
    <row r="596" spans="2:19" x14ac:dyDescent="0.2">
      <c r="B596" s="6" t="s">
        <v>176</v>
      </c>
      <c r="F596" s="21">
        <f>IF(H594^2-4*J594*F594&lt;0,$J$33/2,(H594-SQRT(H594^2-4*J594*F594))/2/J594)</f>
        <v>1.4331790123456791</v>
      </c>
      <c r="G596" s="6" t="s">
        <v>24</v>
      </c>
      <c r="H596" s="27" t="str">
        <f>IF(F596=$J$33/2,"No curtailment should be made:   d  =  B'/2","")</f>
        <v>No curtailment should be made:   d  =  B'/2</v>
      </c>
    </row>
    <row r="597" spans="2:19" x14ac:dyDescent="0.2">
      <c r="B597" s="6" t="s">
        <v>177</v>
      </c>
      <c r="F597" s="21">
        <f>IF(F569-$H$62&gt;12*C590,F596+(-$E$33/2+F569-$H$62)/1000,F596+(-$E$33/2+12*C590)/1000)</f>
        <v>1.7650476130282731</v>
      </c>
      <c r="G597" s="6" t="s">
        <v>24</v>
      </c>
    </row>
    <row r="598" spans="2:19" x14ac:dyDescent="0.2">
      <c r="B598" s="6" t="s">
        <v>133</v>
      </c>
      <c r="F598" s="21">
        <f>$H$33/2-F597</f>
        <v>-0.66936860068259407</v>
      </c>
      <c r="G598" s="27" t="str">
        <f>IF(F598&gt;=1,"m &gt; 1 m  Curtailment should be made."," m&lt; 1 m  Curtailment should not be made:   x  =  B/2")</f>
        <v xml:space="preserve"> m&lt; 1 m  Curtailment should not be made:   x  =  B/2</v>
      </c>
      <c r="M598" s="6" t="s">
        <v>66</v>
      </c>
      <c r="O598" s="30">
        <v>12</v>
      </c>
      <c r="P598" s="30">
        <v>16</v>
      </c>
      <c r="Q598" s="30">
        <v>20</v>
      </c>
      <c r="R598" s="30">
        <v>22</v>
      </c>
      <c r="S598" s="30">
        <v>25</v>
      </c>
    </row>
    <row r="599" spans="2:19" x14ac:dyDescent="0.2">
      <c r="M599" s="6" t="s">
        <v>67</v>
      </c>
      <c r="O599" s="30">
        <f>IF(H589=0,100000000,TRUNC(785.4*O598^2/H589/25)*25)</f>
        <v>25</v>
      </c>
      <c r="P599" s="30">
        <f>IF(H589=0,100000000,TRUNC(785.4*P598^2/H589/25)*25)</f>
        <v>75</v>
      </c>
      <c r="Q599" s="30">
        <f>IF(H589=0,100000000,TRUNC(785.4*Q598^2/H589/25)*25)</f>
        <v>125</v>
      </c>
      <c r="R599" s="30">
        <f>IF(H589=0,100000000,TRUNC(785.4*R598^2/H589/25)*25)</f>
        <v>150</v>
      </c>
      <c r="S599" s="30">
        <f>IF(H589=0,100000000,TRUNC(785.4*S598^2/H589/25)*25)</f>
        <v>200</v>
      </c>
    </row>
    <row r="600" spans="2:19" x14ac:dyDescent="0.2">
      <c r="B600" s="47" t="s">
        <v>87</v>
      </c>
      <c r="M600" s="6" t="s">
        <v>68</v>
      </c>
      <c r="O600" s="30">
        <f>785.4*O598^2/O599</f>
        <v>4523.9039999999995</v>
      </c>
      <c r="P600" s="30">
        <f>785.4*P598^2/P599</f>
        <v>2680.8319999999999</v>
      </c>
      <c r="Q600" s="30">
        <f>785.4*Q598^2/Q599</f>
        <v>2513.2800000000002</v>
      </c>
      <c r="R600" s="30">
        <f>785.4*R598^2/R599</f>
        <v>2534.2239999999997</v>
      </c>
      <c r="S600" s="30">
        <f>785.4*S598^2/S599</f>
        <v>2454.375</v>
      </c>
    </row>
    <row r="601" spans="2:19" x14ac:dyDescent="0.2">
      <c r="B601" s="6" t="s">
        <v>161</v>
      </c>
      <c r="F601" s="30">
        <f>F587/2</f>
        <v>1186.6401580334734</v>
      </c>
      <c r="G601" s="6" t="s">
        <v>78</v>
      </c>
      <c r="M601" s="6" t="s">
        <v>69</v>
      </c>
      <c r="O601" s="30">
        <f>IF(OR(O599&gt;300,O599&lt;100),100000000,O600-H589)</f>
        <v>100000000</v>
      </c>
      <c r="P601" s="30">
        <f>IF(OR(P599&gt;300,P599&lt;100),100000001,P600-H589)</f>
        <v>100000001</v>
      </c>
      <c r="Q601" s="30">
        <f>IF(OR(Q599&gt;300,Q599&lt;100),100000001,Q600-H589)</f>
        <v>139.99968393305335</v>
      </c>
      <c r="R601" s="30">
        <f>IF(OR(R599&gt;300,R599&lt;100),100000001,R600-H589)</f>
        <v>160.94368393305285</v>
      </c>
      <c r="S601" s="30">
        <f>IF(OR(S599&gt;300,S599&lt;100),100000001,S600-H589)</f>
        <v>81.094683933053147</v>
      </c>
    </row>
    <row r="602" spans="2:19" x14ac:dyDescent="0.2">
      <c r="B602" s="27" t="str">
        <f>IF(F601&gt;=F588,"Ast(Moment)  &gt;  Ast(Shrinkage)","Ast(Moment)  &lt;  Ast(Shrinkage)")</f>
        <v>Ast(Moment)  &gt;  Ast(Shrinkage)</v>
      </c>
      <c r="F602" s="2" t="s">
        <v>114</v>
      </c>
      <c r="G602" s="50"/>
      <c r="H602" s="51">
        <f>IF(OR(F598&lt;1,F601&lt;F588),$H$33/2,F597)</f>
        <v>1.095679012345679</v>
      </c>
      <c r="I602" s="2" t="s">
        <v>115</v>
      </c>
      <c r="M602" s="6" t="s">
        <v>70</v>
      </c>
      <c r="O602" s="30">
        <f>IF(S599&lt;100,25,IF(MIN(O601:S601)=O601,12,IF(MIN(O601:S601)=P601,16,IF(MIN(O601:S601)=Q601,20,IF(MIN(O601:S601)=R601,22,IF(MIN(O601:S601)=S601,25,0))))))</f>
        <v>25</v>
      </c>
      <c r="P602" s="6" t="s">
        <v>71</v>
      </c>
      <c r="Q602" s="30">
        <f>IF(O602=12,O599,IF(O602=16,P599,IF(O602=20,Q599,IF(O602=22,R599,IF(O602=25,S599,0)))))</f>
        <v>200</v>
      </c>
      <c r="R602" s="6" t="s">
        <v>72</v>
      </c>
    </row>
    <row r="604" spans="2:19" x14ac:dyDescent="0.2">
      <c r="B604" s="47" t="s">
        <v>116</v>
      </c>
    </row>
    <row r="605" spans="2:19" x14ac:dyDescent="0.2">
      <c r="B605" s="6" t="s">
        <v>173</v>
      </c>
      <c r="F605" s="21">
        <f>3*F554/4</f>
        <v>211.91920355189615</v>
      </c>
      <c r="G605" s="6" t="s">
        <v>111</v>
      </c>
      <c r="H605" s="27">
        <f>F552</f>
        <v>77.417999999999992</v>
      </c>
      <c r="I605" s="6" t="s">
        <v>174</v>
      </c>
      <c r="J605" s="24">
        <f>F553/2</f>
        <v>27.009187035641215</v>
      </c>
      <c r="K605" s="6" t="s">
        <v>129</v>
      </c>
    </row>
    <row r="606" spans="2:19" x14ac:dyDescent="0.2">
      <c r="B606" s="6" t="s">
        <v>175</v>
      </c>
      <c r="E606" s="27" t="str">
        <f>IF(F607=$J$35/2,"There is no solution to the quadratic equation.","")</f>
        <v/>
      </c>
    </row>
    <row r="607" spans="2:19" x14ac:dyDescent="0.2">
      <c r="B607" s="6" t="s">
        <v>292</v>
      </c>
      <c r="E607" s="27" t="str">
        <f>IF(F607=$J$35/2,"No curtailment should be made:   d  =  B'/2","")</f>
        <v/>
      </c>
      <c r="F607" s="21">
        <f>IF(H605^2-4*J605*F605&lt;0,$J$33/2,(H605-SQRT(H605^2-4*J605*F605))/2/J605)</f>
        <v>1.4331790123456791</v>
      </c>
      <c r="G607" s="6" t="s">
        <v>24</v>
      </c>
    </row>
    <row r="609" spans="1:19" x14ac:dyDescent="0.2">
      <c r="B609" s="6" t="s">
        <v>293</v>
      </c>
      <c r="F609" s="21">
        <f>IF(F569-$H$62&gt;12*C590,F607+(-$E$33/2+F569-$H$62)/1000,F607+(-$E$33/2+12*C590)/1000)</f>
        <v>1.7650476130282731</v>
      </c>
      <c r="G609" s="6" t="s">
        <v>24</v>
      </c>
    </row>
    <row r="610" spans="1:19" x14ac:dyDescent="0.2">
      <c r="B610" s="6" t="s">
        <v>133</v>
      </c>
      <c r="F610" s="21">
        <f>$H$33/2-F609</f>
        <v>-0.66936860068259407</v>
      </c>
      <c r="G610" s="27" t="str">
        <f>IF(F610&gt;=1,"m &gt; 1 m  Curtailment should be made."," m &lt; 1 m  Curtailment should not be made:   x  =  B/2")</f>
        <v xml:space="preserve"> m &lt; 1 m  Curtailment should not be made:   x  =  B/2</v>
      </c>
    </row>
    <row r="612" spans="1:19" x14ac:dyDescent="0.2">
      <c r="B612" s="47" t="s">
        <v>87</v>
      </c>
    </row>
    <row r="613" spans="1:19" x14ac:dyDescent="0.2">
      <c r="B613" s="6" t="s">
        <v>287</v>
      </c>
      <c r="F613" s="30">
        <f>F587/4</f>
        <v>593.32007901673671</v>
      </c>
      <c r="G613" s="6" t="s">
        <v>78</v>
      </c>
    </row>
    <row r="614" spans="1:19" x14ac:dyDescent="0.2">
      <c r="B614" s="27" t="str">
        <f>IF(F613&gt;=F588,"Ast(moment)  &gt;  Ast(shrinkage)","Ast(moment)  &lt;  Ast(shrinkage)")</f>
        <v>Ast(moment)  &gt;  Ast(shrinkage)</v>
      </c>
      <c r="F614" s="2" t="s">
        <v>114</v>
      </c>
      <c r="G614" s="50"/>
      <c r="H614" s="51">
        <f>IF(OR(F610&lt;1,F613&lt;F588),$H$33/2,F609)</f>
        <v>1.095679012345679</v>
      </c>
      <c r="I614" s="2" t="s">
        <v>115</v>
      </c>
    </row>
    <row r="615" spans="1:19" x14ac:dyDescent="0.2">
      <c r="B615" s="27"/>
      <c r="F615" s="2"/>
      <c r="G615" s="50"/>
      <c r="H615" s="51"/>
      <c r="I615" s="2"/>
    </row>
    <row r="616" spans="1:19" x14ac:dyDescent="0.2">
      <c r="A616" s="56" t="s">
        <v>180</v>
      </c>
    </row>
    <row r="618" spans="1:19" x14ac:dyDescent="0.2">
      <c r="A618" s="46" t="s">
        <v>54</v>
      </c>
    </row>
    <row r="619" spans="1:19" x14ac:dyDescent="0.2">
      <c r="B619" s="6" t="s">
        <v>135</v>
      </c>
      <c r="F619" s="21">
        <f>$H$46*$F$34*$H$44</f>
        <v>52.765289938242049</v>
      </c>
      <c r="G619" s="6" t="s">
        <v>35</v>
      </c>
      <c r="M619" s="6" t="s">
        <v>66</v>
      </c>
      <c r="O619" s="30">
        <v>12</v>
      </c>
      <c r="P619" s="30">
        <v>16</v>
      </c>
      <c r="Q619" s="30">
        <v>20</v>
      </c>
      <c r="R619" s="30">
        <v>22</v>
      </c>
      <c r="S619" s="30">
        <v>25</v>
      </c>
    </row>
    <row r="620" spans="1:19" x14ac:dyDescent="0.2">
      <c r="M620" s="6" t="s">
        <v>67</v>
      </c>
      <c r="O620" s="30">
        <f>IF(H634=0,100000000,TRUNC(785.4*O619^2/H634/25)*25)</f>
        <v>100</v>
      </c>
      <c r="P620" s="30">
        <f>IF(H634=0,100000000,TRUNC(785.4*P619^2/H634/25)*25)</f>
        <v>200</v>
      </c>
      <c r="Q620" s="30">
        <f>IF(H634=0,100000000,TRUNC(785.4*Q619^2/H634/25)*25)</f>
        <v>325</v>
      </c>
      <c r="R620" s="30">
        <f>IF(H634=0,100000000,TRUNC(785.4*R619^2/H634/25)*25)</f>
        <v>400</v>
      </c>
      <c r="S620" s="30">
        <f>IF(H634=0,100000000,TRUNC(785.4*S619^2/H634/25)*25)</f>
        <v>500</v>
      </c>
    </row>
    <row r="621" spans="1:19" x14ac:dyDescent="0.2">
      <c r="B621" s="6" t="s">
        <v>136</v>
      </c>
      <c r="F621" s="21">
        <f>F619*$F$34/2</f>
        <v>134.55148934251721</v>
      </c>
      <c r="G621" s="6" t="s">
        <v>57</v>
      </c>
      <c r="M621" s="6" t="s">
        <v>68</v>
      </c>
      <c r="O621" s="30">
        <f>785.4*O619^2/O620</f>
        <v>1130.9759999999999</v>
      </c>
      <c r="P621" s="30">
        <f>785.4*P619^2/P620</f>
        <v>1005.312</v>
      </c>
      <c r="Q621" s="30">
        <f>785.4*Q619^2/Q620</f>
        <v>966.64615384615388</v>
      </c>
      <c r="R621" s="30">
        <f>785.4*R619^2/R620</f>
        <v>950.33399999999995</v>
      </c>
      <c r="S621" s="30">
        <f>785.4*S619^2/S620</f>
        <v>981.75</v>
      </c>
    </row>
    <row r="622" spans="1:19" x14ac:dyDescent="0.2">
      <c r="B622" s="6" t="s">
        <v>137</v>
      </c>
      <c r="F622" s="21">
        <f>F619*$F$34^2/6</f>
        <v>228.73753188227928</v>
      </c>
      <c r="G622" s="6" t="s">
        <v>58</v>
      </c>
      <c r="M622" s="6" t="s">
        <v>69</v>
      </c>
      <c r="O622" s="30">
        <f>IF(OR(O620&gt;300,O620&lt;100),100000000,O621-H634)</f>
        <v>180.97599999999989</v>
      </c>
      <c r="P622" s="30">
        <f>IF(OR(P620&gt;300,P620&lt;100),100000001,P621-H634)</f>
        <v>55.312000000000012</v>
      </c>
      <c r="Q622" s="30">
        <f>IF(OR(Q620&gt;300,Q620&lt;100),100000001,Q621-H634)</f>
        <v>100000001</v>
      </c>
      <c r="R622" s="30">
        <f>IF(OR(R620&gt;300,R620&lt;100),100000001,R621-H634)</f>
        <v>100000001</v>
      </c>
      <c r="S622" s="30">
        <f>IF(OR(S620&gt;300,S620&lt;100),100000001,S621-H634)</f>
        <v>100000001</v>
      </c>
    </row>
    <row r="623" spans="1:19" x14ac:dyDescent="0.2">
      <c r="M623" s="6" t="s">
        <v>70</v>
      </c>
      <c r="O623" s="30">
        <f>IF(S620&lt;100,25,IF(MIN(O622:S622)=O622,12,IF(MIN(O622:S622)=P622,16,IF(MIN(O622:S622)=Q622,20,IF(MIN(O622:S622)=R622,22,IF(MIN(O622:S622)=S622,25,0))))))</f>
        <v>16</v>
      </c>
      <c r="P623" s="6" t="s">
        <v>71</v>
      </c>
      <c r="Q623" s="30">
        <f>IF(O623=12,O620,IF(O623=16,P620,IF(O623=20,Q620,IF(O623=22,R620,IF(O623=25,S620,0)))))</f>
        <v>200</v>
      </c>
      <c r="R623" s="6" t="s">
        <v>72</v>
      </c>
    </row>
    <row r="624" spans="1:19" x14ac:dyDescent="0.2">
      <c r="A624" s="6" t="s">
        <v>59</v>
      </c>
    </row>
    <row r="625" spans="1:19" x14ac:dyDescent="0.2">
      <c r="B625" s="6" t="s">
        <v>60</v>
      </c>
      <c r="F625" s="30">
        <f>SQRT(F622/$G$69)*1000</f>
        <v>427.26192779639894</v>
      </c>
      <c r="G625" s="6" t="s">
        <v>43</v>
      </c>
    </row>
    <row r="626" spans="1:19" x14ac:dyDescent="0.2">
      <c r="B626" s="6" t="s">
        <v>61</v>
      </c>
      <c r="F626" s="30">
        <f>F621/$H$54*1000</f>
        <v>313.89133428702246</v>
      </c>
      <c r="G626" s="6" t="s">
        <v>43</v>
      </c>
    </row>
    <row r="627" spans="1:19" x14ac:dyDescent="0.2">
      <c r="M627" s="6" t="s">
        <v>66</v>
      </c>
      <c r="O627" s="30">
        <v>12</v>
      </c>
      <c r="P627" s="30">
        <v>16</v>
      </c>
      <c r="Q627" s="30">
        <v>20</v>
      </c>
      <c r="R627" s="30">
        <v>22</v>
      </c>
      <c r="S627" s="30">
        <v>25</v>
      </c>
    </row>
    <row r="628" spans="1:19" x14ac:dyDescent="0.2">
      <c r="B628" s="6" t="s">
        <v>138</v>
      </c>
      <c r="F628" s="30">
        <f>MAX(F625:F626)+$H$62</f>
        <v>502.26192779639894</v>
      </c>
      <c r="G628" s="6" t="s">
        <v>43</v>
      </c>
      <c r="M628" s="6" t="s">
        <v>67</v>
      </c>
      <c r="O628" s="30">
        <f>IF(H636=0,100000000,TRUNC(785.4*O627^2/H636/25)*25)</f>
        <v>175</v>
      </c>
      <c r="P628" s="30">
        <f>IF(H636=0,100000000,TRUNC(785.4*P627^2/H636/25)*25)</f>
        <v>350</v>
      </c>
      <c r="Q628" s="30">
        <f>IF(H636=0,100000000,TRUNC(785.4*Q627^2/H636/25)*25)</f>
        <v>550</v>
      </c>
      <c r="R628" s="30">
        <f>IF(H636=0,100000000,TRUNC(785.4*R627^2/H636/25)*25)</f>
        <v>650</v>
      </c>
      <c r="S628" s="30">
        <f>IF(H636=0,100000000,TRUNC(785.4*S627^2/H636/25)*25)</f>
        <v>850</v>
      </c>
    </row>
    <row r="629" spans="1:19" x14ac:dyDescent="0.2">
      <c r="B629" s="6" t="s">
        <v>139</v>
      </c>
      <c r="F629" s="30">
        <f>$E$34</f>
        <v>675</v>
      </c>
      <c r="G629" s="6" t="s">
        <v>43</v>
      </c>
      <c r="M629" s="6" t="s">
        <v>68</v>
      </c>
      <c r="O629" s="30">
        <f>785.4*O627^2/O628</f>
        <v>646.27199999999993</v>
      </c>
      <c r="P629" s="30">
        <f>785.4*P627^2/P628</f>
        <v>574.46399999999994</v>
      </c>
      <c r="Q629" s="30">
        <f>785.4*Q627^2/Q628</f>
        <v>571.20000000000005</v>
      </c>
      <c r="R629" s="30">
        <f>785.4*R627^2/R628</f>
        <v>584.82092307692301</v>
      </c>
      <c r="S629" s="30">
        <f>785.4*S627^2/S628</f>
        <v>577.5</v>
      </c>
    </row>
    <row r="630" spans="1:19" x14ac:dyDescent="0.2">
      <c r="B630" s="27" t="str">
        <f>IF(F629&gt;=F628,"ta  &gt;  tr     Design is OK.","ta  &lt;  tr     Design is Not OK.")</f>
        <v>ta  &gt;  tr     Design is OK.</v>
      </c>
      <c r="F630" s="6" t="s">
        <v>64</v>
      </c>
      <c r="M630" s="6" t="s">
        <v>69</v>
      </c>
      <c r="O630" s="30">
        <f>IF(OR(O628&gt;300,O628&lt;100),100000000,O629-H636)</f>
        <v>76.271999999999935</v>
      </c>
      <c r="P630" s="30">
        <f>IF(OR(P628&gt;300,P628&lt;100),100000001,P629-H636)</f>
        <v>100000001</v>
      </c>
      <c r="Q630" s="30">
        <f>IF(OR(Q628&gt;300,Q628&lt;100),100000001,Q629-H636)</f>
        <v>100000001</v>
      </c>
      <c r="R630" s="30">
        <f>IF(OR(R628&gt;300,R628&lt;100),100000001,R629-H636)</f>
        <v>100000001</v>
      </c>
      <c r="S630" s="30">
        <f>IF(OR(S628&gt;300,S628&lt;100),100000001,S629-H636)</f>
        <v>100000001</v>
      </c>
    </row>
    <row r="631" spans="1:19" x14ac:dyDescent="0.2">
      <c r="B631" s="27" t="str">
        <f>IF(F629&gt;1.5*F628,"WARNING:  Actual Member Thickness is considerably larger (&gt;50%) than required.","")</f>
        <v/>
      </c>
      <c r="M631" s="6" t="s">
        <v>70</v>
      </c>
      <c r="O631" s="30">
        <f>IF(S628&lt;100,25,IF(MIN(O630:S630)=O630,12,IF(MIN(O630:S630)=P630,16,IF(MIN(O630:S630)=Q630,20,IF(MIN(O630:S630)=R630,22,IF(MIN(O630:S630)=S630,25,0))))))</f>
        <v>12</v>
      </c>
      <c r="P631" s="6" t="s">
        <v>71</v>
      </c>
      <c r="Q631" s="30">
        <f>IF(O631=12,O628,IF(O631=16,P628,IF(O631=20,Q628,IF(O631=22,R628,IF(O631=25,S628,0)))))</f>
        <v>175</v>
      </c>
      <c r="R631" s="6" t="s">
        <v>72</v>
      </c>
    </row>
    <row r="632" spans="1:19" x14ac:dyDescent="0.2">
      <c r="A632" s="6" t="s">
        <v>123</v>
      </c>
    </row>
    <row r="633" spans="1:19" x14ac:dyDescent="0.2">
      <c r="B633" s="6" t="s">
        <v>140</v>
      </c>
      <c r="F633" s="21">
        <f>$G$40</f>
        <v>16.294247451171227</v>
      </c>
      <c r="G633" s="6" t="s">
        <v>24</v>
      </c>
    </row>
    <row r="634" spans="1:19" x14ac:dyDescent="0.2">
      <c r="B634" s="6" t="s">
        <v>141</v>
      </c>
      <c r="H634" s="30">
        <f>IF(AND(F633&lt;=9,F629&lt;380),$C$150*F629*1000,IF(F633&lt;=9,$C$150*380000,IF(F629&lt;380,$C$151*F629*1000,$C$151*380000)))</f>
        <v>950</v>
      </c>
      <c r="I634" s="6" t="s">
        <v>78</v>
      </c>
    </row>
    <row r="635" spans="1:19" x14ac:dyDescent="0.2">
      <c r="B635" s="6" t="s">
        <v>79</v>
      </c>
      <c r="C635" s="30">
        <f>IF(D1018=0,O623,D1018)</f>
        <v>16</v>
      </c>
      <c r="D635" s="6" t="s">
        <v>71</v>
      </c>
      <c r="E635" s="30">
        <f>IF(D1018=0,IF(Q623&gt;300,300,Q623),E1018)</f>
        <v>200</v>
      </c>
      <c r="F635" s="6" t="s">
        <v>80</v>
      </c>
      <c r="H635" s="30">
        <f>785.4*C635^2/E635</f>
        <v>1005.312</v>
      </c>
      <c r="I635" s="6" t="s">
        <v>81</v>
      </c>
      <c r="M635" s="6" t="s">
        <v>66</v>
      </c>
      <c r="O635" s="30">
        <v>12</v>
      </c>
      <c r="P635" s="30">
        <v>16</v>
      </c>
      <c r="Q635" s="30">
        <v>20</v>
      </c>
      <c r="R635" s="30">
        <v>22</v>
      </c>
      <c r="S635" s="30">
        <v>25</v>
      </c>
    </row>
    <row r="636" spans="1:19" x14ac:dyDescent="0.2">
      <c r="B636" s="6" t="s">
        <v>142</v>
      </c>
      <c r="H636" s="30">
        <f>IF(AND(F633&lt;=9,F629&lt;380),$D$150*F629*1000,IF(F633&lt;=9,$D$150*380000,IF(F629&lt;380,$D$151*F629*1000,$D$151*380000)))</f>
        <v>570</v>
      </c>
      <c r="I636" s="6" t="s">
        <v>78</v>
      </c>
      <c r="M636" s="6" t="s">
        <v>67</v>
      </c>
      <c r="O636" s="30">
        <f>IF(H641=0,100000000,TRUNC(785.4*O635^2/H641/25)*25)</f>
        <v>125</v>
      </c>
      <c r="P636" s="30">
        <f>IF(H641=0,100000000,TRUNC(785.4*P635^2/H641/25)*25)</f>
        <v>250</v>
      </c>
      <c r="Q636" s="30">
        <f>IF(H641=0,100000000,TRUNC(785.4*Q635^2/H641/25)*25)</f>
        <v>400</v>
      </c>
      <c r="R636" s="30">
        <f>IF(H641=0,100000000,TRUNC(785.4*R635^2/H641/25)*25)</f>
        <v>500</v>
      </c>
      <c r="S636" s="30">
        <f>IF(H641=0,100000000,TRUNC(785.4*S635^2/H641/25)*25)</f>
        <v>625</v>
      </c>
    </row>
    <row r="637" spans="1:19" x14ac:dyDescent="0.2">
      <c r="B637" s="6" t="s">
        <v>79</v>
      </c>
      <c r="C637" s="30">
        <v>16</v>
      </c>
      <c r="D637" s="6" t="s">
        <v>71</v>
      </c>
      <c r="E637" s="30">
        <v>250</v>
      </c>
      <c r="F637" s="6" t="s">
        <v>80</v>
      </c>
      <c r="H637" s="30">
        <f>785.4*C637^2/E637</f>
        <v>804.24959999999999</v>
      </c>
      <c r="I637" s="6" t="s">
        <v>81</v>
      </c>
      <c r="M637" s="6" t="s">
        <v>68</v>
      </c>
      <c r="O637" s="30">
        <f>785.4*O635^2/O636</f>
        <v>904.78079999999989</v>
      </c>
      <c r="P637" s="30">
        <f>785.4*P635^2/P636</f>
        <v>804.24959999999999</v>
      </c>
      <c r="Q637" s="30">
        <f>785.4*Q635^2/Q636</f>
        <v>785.4</v>
      </c>
      <c r="R637" s="30">
        <f>785.4*R635^2/R636</f>
        <v>760.2672</v>
      </c>
      <c r="S637" s="30">
        <f>785.4*S635^2/S636</f>
        <v>785.4</v>
      </c>
    </row>
    <row r="638" spans="1:19" x14ac:dyDescent="0.2">
      <c r="M638" s="6" t="s">
        <v>69</v>
      </c>
      <c r="O638" s="30">
        <f>IF(OR(O636&gt;300,O636&lt;100),100000000,O637-H641)</f>
        <v>144.78079999999989</v>
      </c>
      <c r="P638" s="30">
        <f>IF(OR(P636&gt;300,P636&lt;100),100000001,P637-H641)</f>
        <v>44.249599999999987</v>
      </c>
      <c r="Q638" s="30">
        <f>IF(OR(Q636&gt;300,Q636&lt;100),100000001,Q637-H641)</f>
        <v>100000001</v>
      </c>
      <c r="R638" s="30">
        <f>IF(OR(R636&gt;300,R636&lt;100),100000001,R637-H641)</f>
        <v>100000001</v>
      </c>
      <c r="S638" s="30">
        <f>IF(OR(S636&gt;300,S636&lt;100),100000001,S637-H641)</f>
        <v>100000001</v>
      </c>
    </row>
    <row r="639" spans="1:19" x14ac:dyDescent="0.2">
      <c r="A639" s="47" t="s">
        <v>143</v>
      </c>
      <c r="M639" s="6" t="s">
        <v>70</v>
      </c>
      <c r="O639" s="30">
        <f>IF(S636&lt;100,25,IF(MIN(O638:S638)=O638,12,IF(MIN(O638:S638)=P638,16,IF(MIN(O638:S638)=Q638,20,IF(MIN(O638:S638)=R638,22,IF(MIN(O638:S638)=S638,25,0))))))</f>
        <v>16</v>
      </c>
      <c r="P639" s="6" t="s">
        <v>71</v>
      </c>
      <c r="Q639" s="30">
        <f>IF(O639=12,O636,IF(O639=16,P636,IF(O639=20,Q636,IF(O639=22,R636,IF(O639=25,S636,0)))))</f>
        <v>250</v>
      </c>
      <c r="R639" s="6" t="s">
        <v>72</v>
      </c>
    </row>
    <row r="640" spans="1:19" x14ac:dyDescent="0.2">
      <c r="B640" s="6" t="s">
        <v>144</v>
      </c>
      <c r="F640" s="21">
        <f>F34+G34/1000</f>
        <v>5.8278156996587027</v>
      </c>
      <c r="G640" s="6" t="s">
        <v>24</v>
      </c>
    </row>
    <row r="641" spans="1:19" x14ac:dyDescent="0.2">
      <c r="B641" s="6" t="s">
        <v>84</v>
      </c>
      <c r="H641" s="30">
        <f>IF(AND(F640&lt;=9,F629&lt;380),$C$150*F629*1000,IF(F640&lt;=9,$C$150*380000,IF(F629&lt;380,$C$151*F629*1000,$C$151*380000)))</f>
        <v>760</v>
      </c>
      <c r="I641" s="6" t="s">
        <v>78</v>
      </c>
    </row>
    <row r="642" spans="1:19" x14ac:dyDescent="0.2">
      <c r="B642" s="6" t="s">
        <v>79</v>
      </c>
      <c r="C642" s="30">
        <f>IF(D1038=0,O639,D1038)</f>
        <v>16</v>
      </c>
      <c r="D642" s="6" t="s">
        <v>71</v>
      </c>
      <c r="E642" s="30">
        <v>200</v>
      </c>
      <c r="F642" s="6" t="s">
        <v>80</v>
      </c>
      <c r="H642" s="30">
        <f>785.4*C642^2/E642</f>
        <v>1005.312</v>
      </c>
      <c r="I642" s="6" t="s">
        <v>81</v>
      </c>
    </row>
    <row r="643" spans="1:19" x14ac:dyDescent="0.2">
      <c r="M643" s="6" t="s">
        <v>66</v>
      </c>
      <c r="O643" s="30">
        <v>12</v>
      </c>
      <c r="P643" s="30">
        <v>16</v>
      </c>
      <c r="Q643" s="30">
        <v>20</v>
      </c>
      <c r="R643" s="30">
        <v>22</v>
      </c>
      <c r="S643" s="30">
        <v>25</v>
      </c>
    </row>
    <row r="644" spans="1:19" x14ac:dyDescent="0.2">
      <c r="A644" s="47" t="s">
        <v>145</v>
      </c>
      <c r="M644" s="6" t="s">
        <v>67</v>
      </c>
      <c r="O644" s="30">
        <f>IF(H647=0,100000000,TRUNC(785.4*O643^2/H647/25)*25)</f>
        <v>25</v>
      </c>
      <c r="P644" s="30">
        <f>IF(H647=0,100000000,TRUNC(785.4*P643^2/H647/25)*25)</f>
        <v>75</v>
      </c>
      <c r="Q644" s="30">
        <f>IF(H647=0,100000000,TRUNC(785.4*Q643^2/H647/25)*25)</f>
        <v>125</v>
      </c>
      <c r="R644" s="30">
        <f>IF(H647=0,100000000,TRUNC(785.4*R643^2/H647/25)*25)</f>
        <v>150</v>
      </c>
      <c r="S644" s="30">
        <f>IF(H647=0,100000000,TRUNC(785.4*S643^2/H647/25)*25)</f>
        <v>200</v>
      </c>
    </row>
    <row r="645" spans="1:19" x14ac:dyDescent="0.2">
      <c r="B645" s="6" t="s">
        <v>287</v>
      </c>
      <c r="F645" s="30">
        <f>F622/$H$51/$G$68/(F629-$H$62)*1000000000</f>
        <v>2289.4668310218121</v>
      </c>
      <c r="G645" s="6" t="s">
        <v>78</v>
      </c>
      <c r="M645" s="6" t="s">
        <v>68</v>
      </c>
      <c r="O645" s="30">
        <f>785.4*O643^2/O644</f>
        <v>4523.9039999999995</v>
      </c>
      <c r="P645" s="30">
        <f>785.4*P643^2/P644</f>
        <v>2680.8319999999999</v>
      </c>
      <c r="Q645" s="30">
        <f>785.4*Q643^2/Q644</f>
        <v>2513.2800000000002</v>
      </c>
      <c r="R645" s="30">
        <f>785.4*R643^2/R644</f>
        <v>2534.2239999999997</v>
      </c>
      <c r="S645" s="30">
        <f>785.4*S643^2/S644</f>
        <v>2454.375</v>
      </c>
    </row>
    <row r="646" spans="1:19" x14ac:dyDescent="0.2">
      <c r="B646" s="6" t="s">
        <v>296</v>
      </c>
      <c r="F646" s="30">
        <f>IF(AND(F640&lt;=9,F629&lt;380),$D$150*F629*1000,IF(F640&lt;=9,$D$150*380000,IF(F629&lt;380,$D$151*F629*1000,$D$151*380000)))</f>
        <v>380</v>
      </c>
      <c r="G646" s="6" t="s">
        <v>78</v>
      </c>
      <c r="M646" s="6" t="s">
        <v>69</v>
      </c>
      <c r="O646" s="30">
        <f>IF(OR(O644&gt;300,O644&lt;100),100000000,O645-H647)</f>
        <v>100000000</v>
      </c>
      <c r="P646" s="30">
        <f>IF(OR(P644&gt;300,P644&lt;100),100000001,P645-H647)</f>
        <v>100000001</v>
      </c>
      <c r="Q646" s="30">
        <f>IF(OR(Q644&gt;300,Q644&lt;100),100000001,Q645-H647)</f>
        <v>223.81316897818806</v>
      </c>
      <c r="R646" s="30">
        <f>IF(OR(R644&gt;300,R644&lt;100),100000001,R645-H647)</f>
        <v>244.75716897818756</v>
      </c>
      <c r="S646" s="30">
        <f>IF(OR(S644&gt;300,S644&lt;100),100000001,S645-H647)</f>
        <v>164.90816897818786</v>
      </c>
    </row>
    <row r="647" spans="1:19" x14ac:dyDescent="0.2">
      <c r="B647" s="6" t="s">
        <v>88</v>
      </c>
      <c r="H647" s="30">
        <f>MAX(F645:F646)</f>
        <v>2289.4668310218121</v>
      </c>
      <c r="I647" s="6" t="s">
        <v>89</v>
      </c>
      <c r="M647" s="6" t="s">
        <v>70</v>
      </c>
      <c r="O647" s="30">
        <f>IF(S644&lt;100,25,IF(MIN(O646:S646)=O646,12,IF(MIN(O646:S646)=P646,16,IF(MIN(O646:S646)=Q646,20,IF(MIN(O646:S646)=R646,22,IF(MIN(O646:S646)=S646,25,0))))))</f>
        <v>25</v>
      </c>
      <c r="P647" s="6" t="s">
        <v>71</v>
      </c>
      <c r="Q647" s="30">
        <f>IF(O647=12,O644,IF(O647=16,P644,IF(O647=20,Q644,IF(O647=22,R644,IF(O647=25,S644,0)))))</f>
        <v>200</v>
      </c>
      <c r="R647" s="6" t="s">
        <v>72</v>
      </c>
    </row>
    <row r="648" spans="1:19" x14ac:dyDescent="0.2">
      <c r="B648" s="509" t="s">
        <v>79</v>
      </c>
      <c r="C648" s="510">
        <v>20</v>
      </c>
      <c r="D648" s="509" t="s">
        <v>71</v>
      </c>
      <c r="E648" s="510">
        <v>125</v>
      </c>
      <c r="F648" s="509" t="s">
        <v>80</v>
      </c>
      <c r="G648" s="511"/>
      <c r="H648" s="510">
        <f>785.4*C648^2/E648</f>
        <v>2513.2800000000002</v>
      </c>
      <c r="I648" s="509" t="s">
        <v>81</v>
      </c>
      <c r="J648" s="511"/>
      <c r="K648" s="674"/>
    </row>
    <row r="649" spans="1:19" x14ac:dyDescent="0.2">
      <c r="B649" s="698"/>
      <c r="C649" s="698"/>
      <c r="D649" s="698"/>
      <c r="E649" s="698"/>
      <c r="F649" s="698"/>
      <c r="G649" s="698"/>
      <c r="H649" s="698"/>
      <c r="I649" s="698"/>
      <c r="J649" s="698"/>
    </row>
    <row r="650" spans="1:19" x14ac:dyDescent="0.2">
      <c r="B650" s="47" t="s">
        <v>90</v>
      </c>
    </row>
    <row r="651" spans="1:19" x14ac:dyDescent="0.2">
      <c r="B651" s="6" t="s">
        <v>148</v>
      </c>
      <c r="D651" s="21">
        <f>$H$56/C648</f>
        <v>840.99690843664825</v>
      </c>
      <c r="E651" s="6" t="s">
        <v>149</v>
      </c>
      <c r="F651" s="30">
        <f>$H$57</f>
        <v>1103</v>
      </c>
      <c r="G651" s="6" t="s">
        <v>35</v>
      </c>
      <c r="H651" s="6" t="s">
        <v>150</v>
      </c>
      <c r="J651" s="21">
        <f>MIN(D651,F651)</f>
        <v>840.99690843664825</v>
      </c>
      <c r="K651" s="6" t="s">
        <v>35</v>
      </c>
    </row>
    <row r="652" spans="1:19" x14ac:dyDescent="0.2">
      <c r="B652" s="6" t="s">
        <v>151</v>
      </c>
      <c r="D652" s="21">
        <f>F621/(PI()*C648/E648)/$G$68/(F629-$H$62)*1000</f>
        <v>499.14696429811386</v>
      </c>
      <c r="E652" s="6" t="s">
        <v>35</v>
      </c>
      <c r="F652" s="27" t="str">
        <f>IF(J651&gt;=D652,"bs(allow)  &gt;  bs(actual)    Design is OK.  &lt;-----","bs(allow)  &lt;  bs(actual)    Design is not OK.  &lt;-----")</f>
        <v>bs(allow)  &gt;  bs(actual)    Design is OK.  &lt;-----</v>
      </c>
    </row>
    <row r="654" spans="1:19" x14ac:dyDescent="0.2">
      <c r="A654" s="47" t="s">
        <v>93</v>
      </c>
    </row>
    <row r="655" spans="1:19" x14ac:dyDescent="0.2">
      <c r="B655" s="47" t="s">
        <v>94</v>
      </c>
    </row>
    <row r="656" spans="1:19" x14ac:dyDescent="0.2">
      <c r="B656" s="6" t="s">
        <v>156</v>
      </c>
      <c r="D656" s="43">
        <f>1/2*H648*$H$51*$G$68*($D$34-$H$62)/1000000000</f>
        <v>47.080950491908808</v>
      </c>
      <c r="E656" s="6" t="s">
        <v>99</v>
      </c>
      <c r="F656" s="43">
        <f>1/2*H648*$H$51*$G$68*($E$34-$D$34)/$F$34/1000000000</f>
        <v>15.385931533303536</v>
      </c>
      <c r="G656" s="6" t="s">
        <v>417</v>
      </c>
      <c r="H656" s="43">
        <f>$H$46*$H$44/6</f>
        <v>1.7243558803347074</v>
      </c>
      <c r="I656" s="6" t="s">
        <v>104</v>
      </c>
      <c r="M656" s="6" t="s">
        <v>152</v>
      </c>
      <c r="O656" s="6" t="s">
        <v>153</v>
      </c>
      <c r="Q656" s="6" t="s">
        <v>154</v>
      </c>
      <c r="S656" s="6" t="s">
        <v>155</v>
      </c>
    </row>
    <row r="657" spans="2:20" x14ac:dyDescent="0.2">
      <c r="B657" s="6" t="s">
        <v>158</v>
      </c>
      <c r="D657" s="43">
        <f>$H$46*$H$44/6</f>
        <v>1.7243558803347074</v>
      </c>
      <c r="E657" s="6" t="s">
        <v>104</v>
      </c>
      <c r="M657" s="6" t="s">
        <v>157</v>
      </c>
      <c r="O657" s="6" t="s">
        <v>157</v>
      </c>
      <c r="Q657" s="6" t="s">
        <v>157</v>
      </c>
      <c r="S657" s="6" t="s">
        <v>157</v>
      </c>
    </row>
    <row r="658" spans="2:20" x14ac:dyDescent="0.2">
      <c r="B658" s="6" t="s">
        <v>159</v>
      </c>
      <c r="F658" s="21">
        <f>T663</f>
        <v>3.9739199999999992</v>
      </c>
      <c r="G658" s="6" t="s">
        <v>107</v>
      </c>
      <c r="M658" s="27">
        <f>D657*N658^3-F656*N658</f>
        <v>0</v>
      </c>
      <c r="N658" s="25">
        <v>0</v>
      </c>
      <c r="O658" s="44">
        <f>H656*P658^3-F656*P658</f>
        <v>2.3263563946634918</v>
      </c>
      <c r="P658" s="25">
        <f>N664</f>
        <v>3.0599999999999996</v>
      </c>
      <c r="Q658" s="44">
        <f>H656*R658^3-F656*R658</f>
        <v>40.774416172470886</v>
      </c>
      <c r="R658" s="25">
        <f>P663</f>
        <v>3.8759999999999994</v>
      </c>
      <c r="S658" s="43">
        <f>H656*T658^3-F656*T658</f>
        <v>45.995072914822771</v>
      </c>
      <c r="T658" s="25">
        <f>R663</f>
        <v>3.9575999999999993</v>
      </c>
    </row>
    <row r="659" spans="2:20" x14ac:dyDescent="0.2">
      <c r="B659" s="6" t="s">
        <v>160</v>
      </c>
      <c r="F659" s="21">
        <f>IF(D34+(E34-D34)*F658/F34-$H$62&gt;12*C648,F34-F658+(D34+(E34-D34)*F658/F34-$H$62)/1000,F34-F658+(12*C648)/1000)</f>
        <v>1.6432800000000003</v>
      </c>
      <c r="G659" s="6" t="s">
        <v>24</v>
      </c>
      <c r="M659" s="44">
        <f>H656*N659^3-F656*N659</f>
        <v>-13.863749908911373</v>
      </c>
      <c r="N659" s="25">
        <f>0.2*$F$34</f>
        <v>1.02</v>
      </c>
      <c r="O659" s="44">
        <f>H656*P659^3-F656*P659</f>
        <v>9.7424910330454608</v>
      </c>
      <c r="P659" s="25">
        <f>N664+0.04*F34</f>
        <v>3.2639999999999998</v>
      </c>
      <c r="Q659" s="44">
        <f>H656*R659^3-F656*R659</f>
        <v>43.351015822145598</v>
      </c>
      <c r="R659" s="25">
        <f>P663+0.008*F34</f>
        <v>3.9167999999999994</v>
      </c>
      <c r="S659" s="43">
        <f>H656*T659^3-F656*T659</f>
        <v>46.532041062507922</v>
      </c>
      <c r="T659" s="25">
        <f>R663+0.0016*F34</f>
        <v>3.9657599999999995</v>
      </c>
    </row>
    <row r="660" spans="2:20" x14ac:dyDescent="0.2">
      <c r="B660" s="6" t="s">
        <v>112</v>
      </c>
      <c r="F660" s="21">
        <f>$F$34-F659</f>
        <v>3.4567199999999993</v>
      </c>
      <c r="G660" s="27" t="str">
        <f>IF(F660&gt;=1," m &gt; 1 m   Curtailment should be made."," m &lt; 1 m  Curtailment should not be made.")</f>
        <v xml:space="preserve"> m &gt; 1 m   Curtailment should be made.</v>
      </c>
      <c r="M660" s="44">
        <f>H656*N660^3-F656*N660</f>
        <v>-16.74809828747334</v>
      </c>
      <c r="N660" s="25">
        <f>0.4*$F$34</f>
        <v>2.04</v>
      </c>
      <c r="O660" s="44">
        <f>H656*P660^3-F656*P660</f>
        <v>18.56398906731215</v>
      </c>
      <c r="P660" s="25">
        <f>N664+0.08*F34</f>
        <v>3.4679999999999995</v>
      </c>
      <c r="Q660" s="44">
        <f>H656*R660^3-F656*R660</f>
        <v>45.995072914822771</v>
      </c>
      <c r="R660" s="25">
        <f>P663+0.016*F34</f>
        <v>3.9575999999999993</v>
      </c>
      <c r="S660" s="43">
        <f>H656*T660^3-F656*T660</f>
        <v>47.071741236634665</v>
      </c>
      <c r="T660" s="25">
        <f>R663+0.0032*F34</f>
        <v>3.9739199999999992</v>
      </c>
    </row>
    <row r="661" spans="2:20" x14ac:dyDescent="0.2">
      <c r="M661" s="44">
        <f>H656*N661^3-F656*N661</f>
        <v>2.3263563946634918</v>
      </c>
      <c r="N661" s="25">
        <f>0.6*$F$34</f>
        <v>3.0599999999999996</v>
      </c>
      <c r="O661" s="44">
        <f>H656*P661^3-F656*P661</f>
        <v>28.878685709706382</v>
      </c>
      <c r="P661" s="25">
        <f>N664+0.12*F34</f>
        <v>3.6719999999999997</v>
      </c>
      <c r="Q661" s="44">
        <f>H656*R661^3-F656*R661</f>
        <v>48.707290132200349</v>
      </c>
      <c r="R661" s="25">
        <f>P663+0.024*F34</f>
        <v>3.9983999999999993</v>
      </c>
      <c r="S661" s="43">
        <f>H656*T661^3-F656*T661</f>
        <v>47.614179058656596</v>
      </c>
      <c r="T661" s="25">
        <f>R663+0.0048*F34</f>
        <v>3.9820799999999994</v>
      </c>
    </row>
    <row r="662" spans="2:20" x14ac:dyDescent="0.2">
      <c r="B662" s="47" t="s">
        <v>87</v>
      </c>
      <c r="M662" s="44">
        <f>H656*N662^3-F656*N662</f>
        <v>54.339015667848557</v>
      </c>
      <c r="N662" s="25">
        <f>0.8*F34</f>
        <v>4.08</v>
      </c>
      <c r="O662" s="44">
        <f>H656*P662^3-F656*P662</f>
        <v>40.774416172470886</v>
      </c>
      <c r="P662" s="25">
        <f>N664+0.16*F34</f>
        <v>3.8759999999999994</v>
      </c>
      <c r="Q662" s="44">
        <f>H656*R662^3-F656*R662</f>
        <v>51.488370155976291</v>
      </c>
      <c r="R662" s="25">
        <f>P663+0.032*F34</f>
        <v>4.0391999999999992</v>
      </c>
      <c r="S662" s="43">
        <f>H656*T662^3-F656*T662</f>
        <v>48.159360150027283</v>
      </c>
      <c r="T662" s="25">
        <f>R663+0.0064*F34</f>
        <v>3.9902399999999991</v>
      </c>
    </row>
    <row r="663" spans="2:20" x14ac:dyDescent="0.2">
      <c r="B663" s="6" t="s">
        <v>287</v>
      </c>
      <c r="F663" s="30">
        <f>F645/2</f>
        <v>1144.7334155109061</v>
      </c>
      <c r="G663" s="6" t="s">
        <v>78</v>
      </c>
      <c r="M663" s="44">
        <f>H656*N663^3-F656*N663</f>
        <v>150.26928106243122</v>
      </c>
      <c r="N663" s="25">
        <f>F34</f>
        <v>5.0999999999999996</v>
      </c>
      <c r="P663" s="25">
        <f>IF(O659&gt;O658,VLOOKUP(D656,O658:P662,2),IF(O660&gt;O659,VLOOKUP(D656,O659:P662,2),IF(O661&gt;O660,VLOOKUP(D656,O660:P662,2),IF(O662&gt;O661,VLOOKUP(D656,O661:P662,2),P662))))</f>
        <v>3.8759999999999994</v>
      </c>
      <c r="R663" s="25">
        <f>IF(Q659&gt;Q658,VLOOKUP(D656,Q658:R662,2),IF(Q660&gt;Q659,VLOOKUP(D656,Q659:R662,2),IF(Q661&gt;Q660,VLOOKUP(D656,Q660:R662,2),IF(Q662&gt;Q661,VLOOKUP(D656,Q661:R662,2),R662))))</f>
        <v>3.9575999999999993</v>
      </c>
      <c r="T663" s="25">
        <f>IF(S659&gt;S658,VLOOKUP(D656,S658:T662,2),IF(S660&gt;S659,VLOOKUP(D656,S659:T662,2),IF(S661&gt;S660,VLOOKUP(D656,S660:T662,2),IF(S662&gt;S661,VLOOKUP(D656,S661:T662,2),T662))))</f>
        <v>3.9739199999999992</v>
      </c>
    </row>
    <row r="664" spans="2:20" x14ac:dyDescent="0.2">
      <c r="B664" s="27" t="str">
        <f>IF(F663&gt;=F646,"Ast(moment) &gt; Ast(shrinkage)","Ast(moment) &lt; Ast(shrinkage)")</f>
        <v>Ast(moment) &gt; Ast(shrinkage)</v>
      </c>
      <c r="F664" s="2" t="s">
        <v>114</v>
      </c>
      <c r="G664" s="50"/>
      <c r="H664" s="51">
        <f>IF(OR(F660&lt;1,F663&lt;F646),F34/2,F659)</f>
        <v>1.6432800000000003</v>
      </c>
      <c r="I664" s="2" t="s">
        <v>115</v>
      </c>
      <c r="N664" s="25">
        <f>IF(M659&gt;M658,VLOOKUP(D656,M658:N663,2),IF(M660&gt;M659,VLOOKUP(D656,M659:N663,2),IF(M661&gt;M660,VLOOKUP(D656,M660:N663,2),IF(M662&gt;M661,VLOOKUP(D656,M661:N663,2),IF(M663&gt;M662,VLOOKUP(D656,M662:N663,2),N663)))))</f>
        <v>3.0599999999999996</v>
      </c>
    </row>
    <row r="666" spans="2:20" x14ac:dyDescent="0.2">
      <c r="B666" s="47" t="s">
        <v>116</v>
      </c>
      <c r="M666" s="6" t="s">
        <v>152</v>
      </c>
      <c r="O666" s="6" t="s">
        <v>153</v>
      </c>
      <c r="Q666" s="6" t="s">
        <v>154</v>
      </c>
      <c r="S666" s="6" t="s">
        <v>155</v>
      </c>
    </row>
    <row r="667" spans="2:20" x14ac:dyDescent="0.2">
      <c r="B667" s="6" t="s">
        <v>156</v>
      </c>
      <c r="D667" s="43">
        <f>1/4*H648*$H$51*$G$68*(D34-$H$62)/1000000000</f>
        <v>23.540475245954404</v>
      </c>
      <c r="E667" s="6" t="s">
        <v>99</v>
      </c>
      <c r="F667" s="43">
        <f>1/4*H648*$H$51*$G$68*(E34-D34)/F34/1000000000</f>
        <v>7.6929657666517679</v>
      </c>
      <c r="G667" s="6" t="s">
        <v>417</v>
      </c>
      <c r="H667" s="43">
        <f>$H$46*$H$44/6</f>
        <v>1.7243558803347074</v>
      </c>
      <c r="I667" s="6" t="s">
        <v>104</v>
      </c>
      <c r="M667" s="6" t="s">
        <v>157</v>
      </c>
      <c r="O667" s="6" t="s">
        <v>157</v>
      </c>
      <c r="Q667" s="6" t="s">
        <v>157</v>
      </c>
      <c r="S667" s="6" t="s">
        <v>157</v>
      </c>
    </row>
    <row r="668" spans="2:20" x14ac:dyDescent="0.2">
      <c r="B668" s="6" t="s">
        <v>158</v>
      </c>
      <c r="D668" s="43">
        <f>$H$46*$H$44/6</f>
        <v>1.7243558803347074</v>
      </c>
      <c r="E668" s="6" t="s">
        <v>104</v>
      </c>
      <c r="M668" s="27">
        <f>D668*N668^3-F667*N668</f>
        <v>0</v>
      </c>
      <c r="N668" s="25">
        <v>0</v>
      </c>
      <c r="O668" s="44">
        <f>H667*P668^3-F667*P668</f>
        <v>-1.0544481235037342</v>
      </c>
      <c r="P668" s="25">
        <f>N674</f>
        <v>2.04</v>
      </c>
      <c r="Q668" s="44">
        <f>H667*R668^3-F667*R668</f>
        <v>18.198860169480898</v>
      </c>
      <c r="R668" s="25">
        <f>P673</f>
        <v>2.8559999999999999</v>
      </c>
      <c r="S668" s="43">
        <f>H667*T668^3-F667*T668</f>
        <v>22.646458442011664</v>
      </c>
      <c r="T668" s="25">
        <f>R673</f>
        <v>2.9783999999999997</v>
      </c>
    </row>
    <row r="669" spans="2:20" x14ac:dyDescent="0.2">
      <c r="B669" s="6" t="s">
        <v>159</v>
      </c>
      <c r="F669" s="21">
        <f>T673</f>
        <v>2.9947199999999996</v>
      </c>
      <c r="G669" s="6" t="s">
        <v>107</v>
      </c>
      <c r="M669" s="44">
        <f>H667*N669^3-F667*N669</f>
        <v>-6.0169248269265694</v>
      </c>
      <c r="N669" s="25">
        <f>0.2*F34</f>
        <v>1.02</v>
      </c>
      <c r="O669" s="44">
        <f>H667*P669^3-F667*P669</f>
        <v>2.2217627354935168</v>
      </c>
      <c r="P669" s="25">
        <f>N674+0.04*F34</f>
        <v>2.2440000000000002</v>
      </c>
      <c r="Q669" s="44">
        <f>H667*R669^3-F667*R669</f>
        <v>19.631268299204603</v>
      </c>
      <c r="R669" s="25">
        <f>P673+0.008*F34</f>
        <v>2.8967999999999998</v>
      </c>
      <c r="S669" s="43">
        <f>H667*T669^3-F667*T669</f>
        <v>22.959169770377201</v>
      </c>
      <c r="T669" s="25">
        <f>R673+0.0016*F34</f>
        <v>2.9865599999999999</v>
      </c>
    </row>
    <row r="670" spans="2:20" x14ac:dyDescent="0.2">
      <c r="B670" s="6" t="s">
        <v>160</v>
      </c>
      <c r="F670" s="21">
        <f>IF(D34+(E34-D34)*F669/F34-$H$62&gt;12*C648,F34-F669+(D34+(E34-D34)*F669/F34-$H$62)/1000,F34-F669+(12*C648)/1000)</f>
        <v>2.5504799999999999</v>
      </c>
      <c r="G670" s="6" t="s">
        <v>24</v>
      </c>
      <c r="M670" s="44">
        <f>H667*N670^3-F667*N670</f>
        <v>-1.0544481235037342</v>
      </c>
      <c r="N670" s="25">
        <f>0.4*F34</f>
        <v>2.04</v>
      </c>
      <c r="O670" s="44">
        <f>H667*P670^3-F667*P670</f>
        <v>6.4641609291615012</v>
      </c>
      <c r="P670" s="25">
        <f>N674+0.08*F34</f>
        <v>2.448</v>
      </c>
      <c r="Q670" s="44">
        <f>H667*R670^3-F667*R670</f>
        <v>21.113566829482213</v>
      </c>
      <c r="R670" s="25">
        <f>P673+0.016*F34</f>
        <v>2.9375999999999998</v>
      </c>
      <c r="S670" s="43">
        <f>H667*T670^3-F667*T670</f>
        <v>23.273938550754302</v>
      </c>
      <c r="T670" s="25">
        <f>R673+0.0032*F34</f>
        <v>2.9947199999999996</v>
      </c>
    </row>
    <row r="671" spans="2:20" x14ac:dyDescent="0.2">
      <c r="B671" s="6" t="s">
        <v>112</v>
      </c>
      <c r="F671" s="21">
        <f>F34-F670</f>
        <v>2.5495199999999998</v>
      </c>
      <c r="G671" s="27" t="str">
        <f>IF(F671&gt;=1,"m &gt; 1 m   Curtailment should be made.","m &lt; 1 m   Curtailment should not be made.")</f>
        <v>m &gt; 1 m   Curtailment should be made.</v>
      </c>
      <c r="M671" s="44">
        <f>H667*N671^3-F667*N671</f>
        <v>25.8668316406179</v>
      </c>
      <c r="N671" s="25">
        <f>0.6*F34</f>
        <v>3.0599999999999996</v>
      </c>
      <c r="O671" s="44">
        <f>H667*P671^3-F667*P671</f>
        <v>11.76058166974304</v>
      </c>
      <c r="P671" s="25">
        <f>N674+0.12*F34</f>
        <v>2.6520000000000001</v>
      </c>
      <c r="Q671" s="44">
        <f>H667*R671^3-F667*R671</f>
        <v>22.646458442011664</v>
      </c>
      <c r="R671" s="25">
        <f>P673+0.024*F34</f>
        <v>2.9783999999999997</v>
      </c>
      <c r="S671" s="43">
        <f>H667*T671^3-F667*T671</f>
        <v>23.590770404596576</v>
      </c>
      <c r="T671" s="25">
        <f>R673+0.0048*F34</f>
        <v>3.0028799999999998</v>
      </c>
    </row>
    <row r="672" spans="2:20" x14ac:dyDescent="0.2">
      <c r="M672" s="44">
        <f>H667*N672^3-F667*N672</f>
        <v>85.726315995787772</v>
      </c>
      <c r="N672" s="25">
        <f>0.8*F34</f>
        <v>4.08</v>
      </c>
      <c r="O672" s="44">
        <f>H667*P672^3-F667*P672</f>
        <v>18.198860169480898</v>
      </c>
      <c r="P672" s="25">
        <f>N674+0.16*F34</f>
        <v>2.8559999999999999</v>
      </c>
      <c r="Q672" s="44">
        <f>H667*R672^3-F667*R672</f>
        <v>24.230645818490913</v>
      </c>
      <c r="R672" s="25">
        <f>P673+0.032*F34</f>
        <v>3.0191999999999997</v>
      </c>
      <c r="S672" s="43">
        <f>H667*T672^3-F667*T672</f>
        <v>23.909670953357569</v>
      </c>
      <c r="T672" s="25">
        <f>R673+0.0064*F34</f>
        <v>3.0110399999999995</v>
      </c>
    </row>
    <row r="673" spans="1:20" x14ac:dyDescent="0.2">
      <c r="B673" s="47" t="s">
        <v>87</v>
      </c>
      <c r="M673" s="44">
        <f>H667*N673^3-F667*N673</f>
        <v>189.50340647235524</v>
      </c>
      <c r="N673" s="25">
        <f>F34</f>
        <v>5.0999999999999996</v>
      </c>
      <c r="P673" s="25">
        <f>IF(O669&gt;O668,VLOOKUP(D667,O668:P672,2),IF(O670&gt;O669,VLOOKUP(D667,O669:P672,2),IF(O671&gt;O670,VLOOKUP(D667,O670:P672,2),IF(O672&gt;O671,VLOOKUP(D667,O671:P672,2),P672))))</f>
        <v>2.8559999999999999</v>
      </c>
      <c r="R673" s="25">
        <f>IF(Q669&gt;Q668,VLOOKUP(D667,Q668:R672,2),IF(Q670&gt;Q669,VLOOKUP(D667,Q669:R672,2),IF(Q671&gt;Q670,VLOOKUP(D667,Q670:R672,2),IF(Q672&gt;Q671,VLOOKUP(D667,Q671:R672,2),R672))))</f>
        <v>2.9783999999999997</v>
      </c>
      <c r="T673" s="25">
        <f>IF(S669&gt;S668,VLOOKUP(D667,S668:T672,2),IF(S670&gt;S669,VLOOKUP(D667,S669:T672,2),IF(S671&gt;S670,VLOOKUP(D667,S670:T672,2),IF(S672&gt;S671,VLOOKUP(D667,S671:T672,2),T672))))</f>
        <v>2.9947199999999996</v>
      </c>
    </row>
    <row r="674" spans="1:20" x14ac:dyDescent="0.2">
      <c r="B674" s="6" t="s">
        <v>161</v>
      </c>
      <c r="D674" s="30">
        <f>F645/4</f>
        <v>572.36670775545304</v>
      </c>
      <c r="E674" s="6" t="s">
        <v>78</v>
      </c>
      <c r="N674" s="25">
        <f>IF(M669&gt;M668,VLOOKUP(D667,M668:N673,2),IF(M670&gt;M669,VLOOKUP(D667,M669:N673,2),IF(M671&gt;M670,VLOOKUP(D667,M670:N673,2),IF(M672&gt;M671,VLOOKUP(D667,M671:N673,2),IF(M673&gt;M672,VLOOKUP(D667,M672:N673,2),N673)))))</f>
        <v>2.04</v>
      </c>
    </row>
    <row r="675" spans="1:20" x14ac:dyDescent="0.2">
      <c r="B675" s="27" t="str">
        <f>IF(D674&gt;=F646,"Ast(Moment)  &gt;  Ast(Shrinkage)","Ast(Moment)  &lt;  Ast(Shrinkage)")</f>
        <v>Ast(Moment)  &gt;  Ast(Shrinkage)</v>
      </c>
      <c r="F675" s="2" t="s">
        <v>114</v>
      </c>
      <c r="G675" s="50"/>
      <c r="H675" s="51">
        <f>IF(OR(F671&lt;1,D674&lt;F646),F34/2,F670)</f>
        <v>2.5504799999999999</v>
      </c>
      <c r="I675" s="2" t="s">
        <v>115</v>
      </c>
    </row>
    <row r="676" spans="1:20" x14ac:dyDescent="0.2">
      <c r="B676" s="27"/>
      <c r="F676" s="2"/>
      <c r="G676" s="50"/>
      <c r="H676" s="51"/>
      <c r="I676" s="2"/>
    </row>
    <row r="678" spans="1:20" x14ac:dyDescent="0.2">
      <c r="A678" s="57" t="s">
        <v>181</v>
      </c>
    </row>
    <row r="680" spans="1:20" x14ac:dyDescent="0.2">
      <c r="A680" s="47" t="s">
        <v>54</v>
      </c>
    </row>
    <row r="681" spans="1:20" x14ac:dyDescent="0.2">
      <c r="B681" s="6" t="s">
        <v>163</v>
      </c>
      <c r="F681" s="21">
        <f>($D$34+$E$34)/2000*$F$34*$H$43+($E$34-$D$34)/2000*$F$34*$H$44</f>
        <v>77.417999999999992</v>
      </c>
      <c r="G681" s="6" t="s">
        <v>57</v>
      </c>
    </row>
    <row r="682" spans="1:20" x14ac:dyDescent="0.2">
      <c r="B682" s="6" t="s">
        <v>164</v>
      </c>
      <c r="F682" s="21">
        <f>2*F681/J34</f>
        <v>36.255592975355924</v>
      </c>
      <c r="G682" s="6" t="s">
        <v>120</v>
      </c>
    </row>
    <row r="683" spans="1:20" x14ac:dyDescent="0.2">
      <c r="B683" s="6" t="s">
        <v>165</v>
      </c>
      <c r="F683" s="21">
        <f>$H$46*I34^3/6*$H$44</f>
        <v>281.27880035253594</v>
      </c>
      <c r="G683" s="6" t="s">
        <v>58</v>
      </c>
    </row>
    <row r="684" spans="1:20" x14ac:dyDescent="0.2">
      <c r="B684" s="6" t="s">
        <v>166</v>
      </c>
      <c r="H684" s="21">
        <f>((E34-D34)*F34/2*(2/3*D34+E34/3)+D34*F34*D34/2)/((D34+E34)/2*F34)/1000</f>
        <v>0.25576923076923075</v>
      </c>
      <c r="I684" s="6" t="s">
        <v>24</v>
      </c>
    </row>
    <row r="685" spans="1:20" x14ac:dyDescent="0.2">
      <c r="B685" s="6" t="s">
        <v>167</v>
      </c>
      <c r="F685" s="21">
        <f>F683-F681*H684+F682*H684^2/2</f>
        <v>262.66354041196837</v>
      </c>
      <c r="G685" s="6" t="s">
        <v>58</v>
      </c>
    </row>
    <row r="686" spans="1:20" x14ac:dyDescent="0.2">
      <c r="B686" s="6" t="s">
        <v>168</v>
      </c>
      <c r="F686" s="21">
        <f>F683-F681*(H34/2+H684)+F682*J34^2/8</f>
        <v>204.94937610039915</v>
      </c>
      <c r="G686" s="6" t="s">
        <v>58</v>
      </c>
    </row>
    <row r="688" spans="1:20" x14ac:dyDescent="0.2">
      <c r="B688" s="6" t="s">
        <v>169</v>
      </c>
      <c r="F688" s="21">
        <f>IF(F686&gt;0,0,-F686)</f>
        <v>0</v>
      </c>
      <c r="G688" s="6" t="s">
        <v>58</v>
      </c>
    </row>
    <row r="689" spans="1:9" x14ac:dyDescent="0.2">
      <c r="B689" s="6" t="s">
        <v>170</v>
      </c>
      <c r="F689" s="21">
        <f>F685</f>
        <v>262.66354041196837</v>
      </c>
      <c r="G689" s="6" t="s">
        <v>57</v>
      </c>
    </row>
    <row r="690" spans="1:9" x14ac:dyDescent="0.2">
      <c r="B690" s="6" t="s">
        <v>171</v>
      </c>
      <c r="F690" s="21">
        <f>F681</f>
        <v>77.417999999999992</v>
      </c>
      <c r="G690" s="6" t="s">
        <v>58</v>
      </c>
    </row>
    <row r="692" spans="1:9" x14ac:dyDescent="0.2">
      <c r="A692" s="47" t="s">
        <v>59</v>
      </c>
    </row>
    <row r="693" spans="1:9" x14ac:dyDescent="0.2">
      <c r="B693" s="6" t="s">
        <v>60</v>
      </c>
      <c r="F693" s="30">
        <f>SQRT(MAX(F688:F689)/$G$69)*1000</f>
        <v>457.85227579704372</v>
      </c>
      <c r="G693" s="6" t="s">
        <v>43</v>
      </c>
    </row>
    <row r="694" spans="1:9" x14ac:dyDescent="0.2">
      <c r="B694" s="6" t="s">
        <v>61</v>
      </c>
      <c r="F694" s="30">
        <f>F690/$H$54*1000</f>
        <v>180.60624550927085</v>
      </c>
      <c r="G694" s="6" t="s">
        <v>43</v>
      </c>
    </row>
    <row r="696" spans="1:9" x14ac:dyDescent="0.2">
      <c r="B696" s="6" t="s">
        <v>138</v>
      </c>
      <c r="F696" s="30">
        <f>MAX(F693:F694)+$H$62</f>
        <v>532.85227579704372</v>
      </c>
      <c r="G696" s="6" t="s">
        <v>43</v>
      </c>
    </row>
    <row r="697" spans="1:9" x14ac:dyDescent="0.2">
      <c r="B697" s="6" t="s">
        <v>139</v>
      </c>
      <c r="F697" s="30">
        <f>$G$34</f>
        <v>727.81569965870312</v>
      </c>
      <c r="G697" s="6" t="s">
        <v>43</v>
      </c>
    </row>
    <row r="698" spans="1:9" x14ac:dyDescent="0.2">
      <c r="B698" s="27" t="str">
        <f>IF(F697&gt;=F696,"ta  &gt;  tr     Design is OK.","ta  &lt;  tr     Design is Not OK.")</f>
        <v>ta  &gt;  tr     Design is OK.</v>
      </c>
      <c r="F698" s="6" t="s">
        <v>64</v>
      </c>
    </row>
    <row r="699" spans="1:9" x14ac:dyDescent="0.2">
      <c r="B699" s="27" t="str">
        <f>IF(F697&gt;1.5*F696,"WARNING:  Actual Member Thickness is considerably larger (&gt;50%) than required.","")</f>
        <v/>
      </c>
    </row>
    <row r="700" spans="1:9" x14ac:dyDescent="0.2">
      <c r="A700" s="47" t="s">
        <v>123</v>
      </c>
    </row>
    <row r="701" spans="1:9" x14ac:dyDescent="0.2">
      <c r="B701" s="6" t="s">
        <v>124</v>
      </c>
      <c r="F701" s="21">
        <f>MAX($C$31:$C$36)</f>
        <v>16.2</v>
      </c>
      <c r="G701" s="6" t="s">
        <v>24</v>
      </c>
    </row>
    <row r="702" spans="1:9" x14ac:dyDescent="0.2">
      <c r="B702" s="6" t="s">
        <v>141</v>
      </c>
      <c r="H702" s="30">
        <f>IF(AND(F701&lt;=9,F697&lt;380),$C$150*F697*1000,IF(F701&lt;=9,$C$150*380000,IF(F697&lt;380,$C$151*F697*1000,$C$151*380000)))</f>
        <v>950</v>
      </c>
      <c r="I702" s="6" t="s">
        <v>78</v>
      </c>
    </row>
    <row r="703" spans="1:9" x14ac:dyDescent="0.2">
      <c r="B703" s="6" t="s">
        <v>79</v>
      </c>
      <c r="C703" s="30">
        <f>IF(D1025=0,O709,D1025)</f>
        <v>16</v>
      </c>
      <c r="D703" s="6" t="s">
        <v>71</v>
      </c>
      <c r="E703" s="30">
        <f>IF(D1025=0,IF(Q709&gt;300,300,Q709),E1025)</f>
        <v>200</v>
      </c>
      <c r="F703" s="6" t="s">
        <v>80</v>
      </c>
      <c r="H703" s="30">
        <f>785.4*C703^2/E703</f>
        <v>1005.312</v>
      </c>
      <c r="I703" s="6" t="s">
        <v>81</v>
      </c>
    </row>
    <row r="704" spans="1:9" x14ac:dyDescent="0.2">
      <c r="B704" s="6" t="s">
        <v>142</v>
      </c>
      <c r="H704" s="30">
        <f>IF(AND(F701&lt;=9,F697&lt;380),$D$150*F697*1000,IF(F701&lt;=9,$D$150*380000,IF(F697&lt;380,$D$151*F697*1000,$D$151*380000)))</f>
        <v>570</v>
      </c>
      <c r="I704" s="6" t="s">
        <v>78</v>
      </c>
    </row>
    <row r="705" spans="1:19" x14ac:dyDescent="0.2">
      <c r="B705" s="6" t="s">
        <v>79</v>
      </c>
      <c r="C705" s="30">
        <v>16</v>
      </c>
      <c r="D705" s="6" t="s">
        <v>71</v>
      </c>
      <c r="E705" s="30">
        <v>250</v>
      </c>
      <c r="F705" s="6" t="s">
        <v>80</v>
      </c>
      <c r="H705" s="30">
        <f>785.4*C705^2/E705</f>
        <v>804.24959999999999</v>
      </c>
      <c r="I705" s="6" t="s">
        <v>81</v>
      </c>
      <c r="M705" s="6" t="s">
        <v>66</v>
      </c>
      <c r="O705" s="30">
        <v>12</v>
      </c>
      <c r="P705" s="30">
        <v>16</v>
      </c>
      <c r="Q705" s="30">
        <v>20</v>
      </c>
      <c r="R705" s="30">
        <v>22</v>
      </c>
      <c r="S705" s="30">
        <v>25</v>
      </c>
    </row>
    <row r="706" spans="1:19" x14ac:dyDescent="0.2">
      <c r="M706" s="6" t="s">
        <v>67</v>
      </c>
      <c r="O706" s="30">
        <f>IF(H702=0,100000000,TRUNC(785.4*O705^2/H702/25)*25)</f>
        <v>100</v>
      </c>
      <c r="P706" s="30">
        <f>IF(H702=0,100000000,TRUNC(785.4*P705^2/H702/25)*25)</f>
        <v>200</v>
      </c>
      <c r="Q706" s="30">
        <f>IF(H702=0,100000000,TRUNC(785.4*Q705^2/H702/25)*25)</f>
        <v>325</v>
      </c>
      <c r="R706" s="30">
        <f>IF(H702=0,100000000,TRUNC(785.4*R705^2/H702/25)*25)</f>
        <v>400</v>
      </c>
      <c r="S706" s="30">
        <f>IF(H702=0,100000000,TRUNC(785.4*S705^2/H702/25)*25)</f>
        <v>500</v>
      </c>
    </row>
    <row r="707" spans="1:19" x14ac:dyDescent="0.2">
      <c r="A707" s="47" t="s">
        <v>125</v>
      </c>
      <c r="M707" s="6" t="s">
        <v>68</v>
      </c>
      <c r="O707" s="30">
        <f>785.4*O705^2/O706</f>
        <v>1130.9759999999999</v>
      </c>
      <c r="P707" s="30">
        <f>785.4*P705^2/P706</f>
        <v>1005.312</v>
      </c>
      <c r="Q707" s="30">
        <f>785.4*Q705^2/Q706</f>
        <v>966.64615384615388</v>
      </c>
      <c r="R707" s="30">
        <f>785.4*R705^2/R706</f>
        <v>950.33399999999995</v>
      </c>
      <c r="S707" s="30">
        <f>785.4*S705^2/S706</f>
        <v>981.75</v>
      </c>
    </row>
    <row r="708" spans="1:19" x14ac:dyDescent="0.2">
      <c r="B708" s="6" t="s">
        <v>161</v>
      </c>
      <c r="F708" s="30">
        <f>F688/$H$51/$G$68/(F697-$H$62)*1000000000</f>
        <v>0</v>
      </c>
      <c r="G708" s="6" t="s">
        <v>78</v>
      </c>
      <c r="M708" s="6" t="s">
        <v>69</v>
      </c>
      <c r="O708" s="30">
        <f>IF(OR(O706&gt;300,O706&lt;100),100000000,O707-H702)</f>
        <v>180.97599999999989</v>
      </c>
      <c r="P708" s="30">
        <f>IF(OR(P706&gt;300,P706&lt;100),100000001,P707-H702)</f>
        <v>55.312000000000012</v>
      </c>
      <c r="Q708" s="30">
        <f>IF(OR(Q706&gt;300,Q706&lt;100),100000001,Q707-H702)</f>
        <v>100000001</v>
      </c>
      <c r="R708" s="30">
        <f>IF(OR(R706&gt;300,R706&lt;100),100000001,R707-H702)</f>
        <v>100000001</v>
      </c>
      <c r="S708" s="30">
        <f>IF(OR(S706&gt;300,S706&lt;100),100000001,S707-H702)</f>
        <v>100000001</v>
      </c>
    </row>
    <row r="709" spans="1:19" x14ac:dyDescent="0.2">
      <c r="B709" s="6" t="s">
        <v>172</v>
      </c>
      <c r="F709" s="21">
        <f>$H$34+$E$34/500</f>
        <v>4.9456790123456793</v>
      </c>
      <c r="G709" s="6" t="s">
        <v>24</v>
      </c>
      <c r="M709" s="6" t="s">
        <v>70</v>
      </c>
      <c r="O709" s="30">
        <f>IF(S706&lt;100,25,IF(MIN(O708:S708)=O708,12,IF(MIN(O708:S708)=P708,16,IF(MIN(O708:S708)=Q708,20,IF(MIN(O708:S708)=R708,22,IF(MIN(O708:S708)=S708,25,0))))))</f>
        <v>16</v>
      </c>
      <c r="P709" s="6" t="s">
        <v>71</v>
      </c>
      <c r="Q709" s="30">
        <f>IF(O709=12,O706,IF(O709=16,P706,IF(O709=20,Q706,IF(O709=22,R706,IF(O709=25,S706,0)))))</f>
        <v>200</v>
      </c>
      <c r="R709" s="6" t="s">
        <v>72</v>
      </c>
    </row>
    <row r="710" spans="1:19" x14ac:dyDescent="0.2">
      <c r="B710" s="6" t="s">
        <v>113</v>
      </c>
      <c r="F710" s="30">
        <f>IF(AND(F709&lt;=9,F697&lt;380),$C$150*F697*1000,IF(F709&lt;=9,$C$150*380000,IF(F697&lt;380,$C$151*F697*1000,$C$151*380000)))</f>
        <v>760</v>
      </c>
      <c r="G710" s="6" t="s">
        <v>78</v>
      </c>
    </row>
    <row r="711" spans="1:19" x14ac:dyDescent="0.2">
      <c r="B711" s="6" t="s">
        <v>88</v>
      </c>
      <c r="H711" s="30">
        <f>MAX(F708,F710)</f>
        <v>760</v>
      </c>
      <c r="I711" s="6" t="s">
        <v>78</v>
      </c>
    </row>
    <row r="712" spans="1:19" x14ac:dyDescent="0.2">
      <c r="B712" s="6" t="s">
        <v>79</v>
      </c>
      <c r="C712" s="30">
        <f>IF(D1045=0,O725,D1045)</f>
        <v>16</v>
      </c>
      <c r="D712" s="6" t="s">
        <v>71</v>
      </c>
      <c r="E712" s="30">
        <v>200</v>
      </c>
      <c r="F712" s="6" t="s">
        <v>80</v>
      </c>
      <c r="H712" s="30">
        <f>785.4*C712^2/E712</f>
        <v>1005.312</v>
      </c>
      <c r="I712" s="6" t="s">
        <v>81</v>
      </c>
    </row>
    <row r="713" spans="1:19" x14ac:dyDescent="0.2">
      <c r="M713" s="6" t="s">
        <v>66</v>
      </c>
      <c r="O713" s="30">
        <v>12</v>
      </c>
      <c r="P713" s="30">
        <v>16</v>
      </c>
      <c r="Q713" s="30">
        <v>20</v>
      </c>
      <c r="R713" s="30">
        <v>22</v>
      </c>
      <c r="S713" s="30">
        <v>25</v>
      </c>
    </row>
    <row r="714" spans="1:19" x14ac:dyDescent="0.2">
      <c r="A714" s="47" t="s">
        <v>126</v>
      </c>
      <c r="M714" s="6" t="s">
        <v>67</v>
      </c>
      <c r="O714" s="30">
        <f>IF(H704=0,100000000,TRUNC(785.4*O713^2/H704/25)*25)</f>
        <v>175</v>
      </c>
      <c r="P714" s="30">
        <f>IF(H704=0,100000000,TRUNC(785.4*P713^2/H704/25)*25)</f>
        <v>350</v>
      </c>
      <c r="Q714" s="30">
        <f>IF(H704=0,100000000,TRUNC(785.4*Q713^2/H704/25)*25)</f>
        <v>550</v>
      </c>
      <c r="R714" s="30">
        <f>IF(H704=0,100000000,TRUNC(785.4*R713^2/H704/25)*25)</f>
        <v>650</v>
      </c>
      <c r="S714" s="30">
        <f>IF(H704=0,100000000,TRUNC(785.4*S713^2/H704/25)*25)</f>
        <v>850</v>
      </c>
    </row>
    <row r="715" spans="1:19" x14ac:dyDescent="0.2">
      <c r="B715" s="6" t="s">
        <v>161</v>
      </c>
      <c r="F715" s="30">
        <f>F689/$H$51/$G$68/(F697-$H$62)*1000000000</f>
        <v>2416.3363053188541</v>
      </c>
      <c r="G715" s="6" t="s">
        <v>78</v>
      </c>
      <c r="M715" s="6" t="s">
        <v>68</v>
      </c>
      <c r="O715" s="30">
        <f>785.4*O713^2/O714</f>
        <v>646.27199999999993</v>
      </c>
      <c r="P715" s="30">
        <f>785.4*P713^2/P714</f>
        <v>574.46399999999994</v>
      </c>
      <c r="Q715" s="30">
        <f>785.4*Q713^2/Q714</f>
        <v>571.20000000000005</v>
      </c>
      <c r="R715" s="30">
        <f>785.4*R713^2/R714</f>
        <v>584.82092307692301</v>
      </c>
      <c r="S715" s="30">
        <f>785.4*S713^2/S714</f>
        <v>577.5</v>
      </c>
    </row>
    <row r="716" spans="1:19" x14ac:dyDescent="0.2">
      <c r="B716" s="6" t="s">
        <v>113</v>
      </c>
      <c r="F716" s="30">
        <f>IF(AND(F709&lt;=9,F697&lt;380),$D$150*F697*1000,IF(F709&lt;=9,$D$150*380000,IF(F697&lt;380,$D$151*F697*1000,$D$151*380000)))</f>
        <v>380</v>
      </c>
      <c r="G716" s="6" t="s">
        <v>78</v>
      </c>
      <c r="M716" s="6" t="s">
        <v>69</v>
      </c>
      <c r="O716" s="30">
        <f>IF(OR(O714&gt;300,O714&lt;100),100000000,O715-H704)</f>
        <v>76.271999999999935</v>
      </c>
      <c r="P716" s="30">
        <f>IF(OR(P714&gt;300,P714&lt;100),100000001,P715-H704)</f>
        <v>100000001</v>
      </c>
      <c r="Q716" s="30">
        <f>IF(OR(Q714&gt;300,Q714&lt;100),100000001,Q715-H704)</f>
        <v>100000001</v>
      </c>
      <c r="R716" s="30">
        <f>IF(OR(R714&gt;300,R714&lt;100),100000001,R715-H704)</f>
        <v>100000001</v>
      </c>
      <c r="S716" s="30">
        <f>IF(OR(S714&gt;300,S714&lt;100),100000001,S715-H704)</f>
        <v>100000001</v>
      </c>
    </row>
    <row r="717" spans="1:19" x14ac:dyDescent="0.2">
      <c r="B717" s="6" t="s">
        <v>88</v>
      </c>
      <c r="H717" s="30">
        <f>MAX(F715:F716)</f>
        <v>2416.3363053188541</v>
      </c>
      <c r="I717" s="6" t="s">
        <v>89</v>
      </c>
      <c r="M717" s="6" t="s">
        <v>70</v>
      </c>
      <c r="O717" s="30">
        <f>IF(S714&lt;100,25,IF(MIN(O716:S716)=O716,12,IF(MIN(O716:S716)=P716,16,IF(MIN(O716:S716)=Q716,20,IF(MIN(O716:S716)=R716,22,IF(MIN(O716:S716)=S716,25,0))))))</f>
        <v>12</v>
      </c>
      <c r="P717" s="6" t="s">
        <v>71</v>
      </c>
      <c r="Q717" s="30">
        <f>IF(O717=12,O714,IF(O717=16,P714,IF(O717=20,Q714,IF(O717=22,R714,IF(O717=25,S714,0)))))</f>
        <v>175</v>
      </c>
      <c r="R717" s="6" t="s">
        <v>72</v>
      </c>
    </row>
    <row r="718" spans="1:19" x14ac:dyDescent="0.2">
      <c r="B718" s="509" t="s">
        <v>79</v>
      </c>
      <c r="C718" s="510">
        <v>20</v>
      </c>
      <c r="D718" s="509" t="s">
        <v>71</v>
      </c>
      <c r="E718" s="510">
        <v>125</v>
      </c>
      <c r="F718" s="509" t="s">
        <v>80</v>
      </c>
      <c r="G718" s="511"/>
      <c r="H718" s="510">
        <f>785.4*C718^2/E718</f>
        <v>2513.2800000000002</v>
      </c>
      <c r="I718" s="509" t="s">
        <v>81</v>
      </c>
      <c r="J718" s="511"/>
      <c r="K718" s="674"/>
    </row>
    <row r="720" spans="1:19" x14ac:dyDescent="0.2">
      <c r="A720" s="47" t="s">
        <v>93</v>
      </c>
    </row>
    <row r="721" spans="2:19" x14ac:dyDescent="0.2">
      <c r="B721" s="47" t="s">
        <v>94</v>
      </c>
      <c r="M721" s="6" t="s">
        <v>66</v>
      </c>
      <c r="O721" s="30">
        <v>12</v>
      </c>
      <c r="P721" s="30">
        <v>16</v>
      </c>
      <c r="Q721" s="30">
        <v>20</v>
      </c>
      <c r="R721" s="30">
        <v>22</v>
      </c>
      <c r="S721" s="30">
        <v>25</v>
      </c>
    </row>
    <row r="722" spans="2:19" x14ac:dyDescent="0.2">
      <c r="B722" s="6" t="s">
        <v>173</v>
      </c>
      <c r="F722" s="43">
        <f>F683/2</f>
        <v>140.63940017626797</v>
      </c>
      <c r="G722" s="6" t="s">
        <v>111</v>
      </c>
      <c r="H722" s="21">
        <f>F681</f>
        <v>77.417999999999992</v>
      </c>
      <c r="I722" s="6" t="s">
        <v>174</v>
      </c>
      <c r="J722" s="43">
        <f>F682/2</f>
        <v>18.127796487677962</v>
      </c>
      <c r="K722" s="6" t="s">
        <v>129</v>
      </c>
      <c r="M722" s="6" t="s">
        <v>67</v>
      </c>
      <c r="O722" s="30">
        <f>IF(H711=0,100000000,TRUNC(785.4*O721^2/H711/25)*25)</f>
        <v>125</v>
      </c>
      <c r="P722" s="30">
        <f>IF(H711=0,100000000,TRUNC(785.4*P721^2/H711/25)*25)</f>
        <v>250</v>
      </c>
      <c r="Q722" s="30">
        <f>IF(H711=0,100000000,TRUNC(785.4*Q721^2/H711/25)*25)</f>
        <v>400</v>
      </c>
      <c r="R722" s="30">
        <f>IF(H711=0,100000000,TRUNC(785.4*R721^2/H711/25)*25)</f>
        <v>500</v>
      </c>
      <c r="S722" s="30">
        <f>IF(H711=0,100000000,TRUNC(785.4*S721^2/H711/25)*25)</f>
        <v>625</v>
      </c>
    </row>
    <row r="723" spans="2:19" x14ac:dyDescent="0.2">
      <c r="B723" s="6" t="s">
        <v>175</v>
      </c>
      <c r="I723" s="27" t="str">
        <f>IF(F724=J34/2,"There is no solution to the quadratic equation.","")</f>
        <v>There is no solution to the quadratic equation.</v>
      </c>
      <c r="M723" s="6" t="s">
        <v>68</v>
      </c>
      <c r="O723" s="30">
        <f>785.4*O721^2/O722</f>
        <v>904.78079999999989</v>
      </c>
      <c r="P723" s="30">
        <f>785.4*P721^2/P722</f>
        <v>804.24959999999999</v>
      </c>
      <c r="Q723" s="30">
        <f>785.4*Q721^2/Q722</f>
        <v>785.4</v>
      </c>
      <c r="R723" s="30">
        <f>785.4*R721^2/R722</f>
        <v>760.2672</v>
      </c>
      <c r="S723" s="30">
        <f>785.4*S721^2/S722</f>
        <v>785.4</v>
      </c>
    </row>
    <row r="724" spans="2:19" x14ac:dyDescent="0.2">
      <c r="C724" s="6" t="s">
        <v>176</v>
      </c>
      <c r="F724" s="21">
        <f>IF(H722^2-4*J722*F722&lt;0,J34/2,(H722-SQRT(H722^2-4*J722*F722))/2/J722)</f>
        <v>2.1353395061728397</v>
      </c>
      <c r="G724" s="6" t="s">
        <v>24</v>
      </c>
      <c r="I724" s="27" t="str">
        <f>IF(F724=J34/2,"No curtailment should be made:   d  =  B'/2","")</f>
        <v>No curtailment should be made:   d  =  B'/2</v>
      </c>
      <c r="M724" s="6" t="s">
        <v>69</v>
      </c>
      <c r="O724" s="30">
        <f>IF(OR(O722&gt;300,O722&lt;100),100000000,O723-H711)</f>
        <v>144.78079999999989</v>
      </c>
      <c r="P724" s="30">
        <f>IF(OR(P722&gt;300,P722&lt;100),100000001,P723-H711)</f>
        <v>44.249599999999987</v>
      </c>
      <c r="Q724" s="30">
        <f>IF(OR(Q722&gt;300,Q722&lt;100),100000001,Q723-H711)</f>
        <v>100000001</v>
      </c>
      <c r="R724" s="30">
        <f>IF(OR(R722&gt;300,R722&lt;100),100000001,R723-H711)</f>
        <v>100000001</v>
      </c>
      <c r="S724" s="30">
        <f>IF(OR(S722&gt;300,S722&lt;100),100000001,S723-H711)</f>
        <v>100000001</v>
      </c>
    </row>
    <row r="725" spans="2:19" x14ac:dyDescent="0.2">
      <c r="C725" s="6" t="s">
        <v>177</v>
      </c>
      <c r="F725" s="21">
        <f>IF(F697-$H$62&gt;12*C718,F724+(-E34/2+F697-$H$62)/1000,F724+(-E34/2+12*C718)/1000)</f>
        <v>2.4506552058315427</v>
      </c>
      <c r="G725" s="6" t="s">
        <v>24</v>
      </c>
      <c r="M725" s="6" t="s">
        <v>70</v>
      </c>
      <c r="O725" s="30">
        <f>IF(S722&lt;100,25,IF(MIN(O724:S724)=O724,12,IF(MIN(O724:S724)=P724,16,IF(MIN(O724:S724)=Q724,20,IF(MIN(O724:S724)=R724,22,IF(MIN(O724:S724)=S724,25,0))))))</f>
        <v>16</v>
      </c>
      <c r="P725" s="6" t="s">
        <v>71</v>
      </c>
      <c r="Q725" s="30">
        <f>IF(O725=12,O722,IF(O725=16,P722,IF(O725=20,Q722,IF(O725=22,R722,IF(O725=25,S722,0)))))</f>
        <v>250</v>
      </c>
      <c r="R725" s="6" t="s">
        <v>72</v>
      </c>
    </row>
    <row r="726" spans="2:19" x14ac:dyDescent="0.2">
      <c r="C726" s="6" t="s">
        <v>133</v>
      </c>
      <c r="F726" s="21">
        <f>H34/2-F725</f>
        <v>-0.65281569965870312</v>
      </c>
      <c r="G726" s="27" t="str">
        <f>IF(F726&gt;=1," m &gt; 1 m  Curtailment should be made."," m &lt; 1 m   Curtailment should not be made:  x = B/2")</f>
        <v xml:space="preserve"> m &lt; 1 m   Curtailment should not be made:  x = B/2</v>
      </c>
    </row>
    <row r="728" spans="2:19" x14ac:dyDescent="0.2">
      <c r="B728" s="47" t="s">
        <v>87</v>
      </c>
    </row>
    <row r="729" spans="2:19" x14ac:dyDescent="0.2">
      <c r="B729" s="6" t="s">
        <v>161</v>
      </c>
      <c r="F729" s="30">
        <f>H717/2</f>
        <v>1208.1681526594271</v>
      </c>
      <c r="G729" s="6" t="s">
        <v>78</v>
      </c>
      <c r="M729" s="6" t="s">
        <v>66</v>
      </c>
      <c r="O729" s="30">
        <v>12</v>
      </c>
      <c r="P729" s="30">
        <v>16</v>
      </c>
      <c r="Q729" s="30">
        <v>20</v>
      </c>
      <c r="R729" s="30">
        <v>22</v>
      </c>
      <c r="S729" s="30">
        <v>25</v>
      </c>
    </row>
    <row r="730" spans="2:19" x14ac:dyDescent="0.2">
      <c r="B730" s="27" t="str">
        <f>IF(F729&gt;=F716,"Ast(Moment)  &gt;  Ast(Shrinkage)","Ast(Moment)  &lt;  Ast(Shrinkage)")</f>
        <v>Ast(Moment)  &gt;  Ast(Shrinkage)</v>
      </c>
      <c r="F730" s="2" t="s">
        <v>114</v>
      </c>
      <c r="G730" s="50"/>
      <c r="H730" s="51">
        <f>IF(OR(F726&lt;1,F729&lt;F716),J34/2,F725)</f>
        <v>2.1353395061728397</v>
      </c>
      <c r="I730" s="2" t="s">
        <v>115</v>
      </c>
      <c r="M730" s="6" t="s">
        <v>67</v>
      </c>
      <c r="O730" s="30">
        <f>IF(H717=0,100000000,TRUNC(785.4*O729^2/H717/25)*25)</f>
        <v>25</v>
      </c>
      <c r="P730" s="30">
        <f>IF(H717=0,100000000,TRUNC(785.4*P729^2/H717/25)*25)</f>
        <v>75</v>
      </c>
      <c r="Q730" s="30">
        <f>IF(H717=0,100000000,TRUNC(785.4*Q729^2/H717/25)*25)</f>
        <v>125</v>
      </c>
      <c r="R730" s="30">
        <f>IF(H717=0,100000000,TRUNC(785.4*R729^2/H717/25)*25)</f>
        <v>150</v>
      </c>
      <c r="S730" s="30">
        <f>IF(H717=0,100000000,TRUNC(785.4*S729^2/H717/25)*25)</f>
        <v>200</v>
      </c>
    </row>
    <row r="731" spans="2:19" x14ac:dyDescent="0.2">
      <c r="M731" s="6" t="s">
        <v>68</v>
      </c>
      <c r="O731" s="30">
        <f>785.4*O729^2/O730</f>
        <v>4523.9039999999995</v>
      </c>
      <c r="P731" s="30">
        <f>785.4*P729^2/P730</f>
        <v>2680.8319999999999</v>
      </c>
      <c r="Q731" s="30">
        <f>785.4*Q729^2/Q730</f>
        <v>2513.2800000000002</v>
      </c>
      <c r="R731" s="30">
        <f>785.4*R729^2/R730</f>
        <v>2534.2239999999997</v>
      </c>
      <c r="S731" s="30">
        <f>785.4*S729^2/S730</f>
        <v>2454.375</v>
      </c>
    </row>
    <row r="732" spans="2:19" x14ac:dyDescent="0.2">
      <c r="B732" s="47" t="s">
        <v>116</v>
      </c>
      <c r="M732" s="6" t="s">
        <v>69</v>
      </c>
      <c r="O732" s="30">
        <f>IF(OR(O730&gt;300,O730&lt;100),100000000,O731-H717)</f>
        <v>100000000</v>
      </c>
      <c r="P732" s="30">
        <f>IF(OR(P730&gt;300,P730&lt;100),100000001,P731-H717)</f>
        <v>100000001</v>
      </c>
      <c r="Q732" s="30">
        <f>IF(OR(Q730&gt;300,Q730&lt;100),100000001,Q731-H717)</f>
        <v>96.943694681146098</v>
      </c>
      <c r="R732" s="30">
        <f>IF(OR(R730&gt;300,R730&lt;100),100000001,R731-H717)</f>
        <v>117.8876946811456</v>
      </c>
      <c r="S732" s="30">
        <f>IF(OR(S730&gt;300,S730&lt;100),100000001,S731-H717)</f>
        <v>38.038694681145898</v>
      </c>
    </row>
    <row r="733" spans="2:19" x14ac:dyDescent="0.2">
      <c r="B733" s="6" t="s">
        <v>173</v>
      </c>
      <c r="F733" s="43">
        <f>3*F683/4</f>
        <v>210.95910026440197</v>
      </c>
      <c r="G733" s="6" t="s">
        <v>111</v>
      </c>
      <c r="H733" s="21">
        <f>F681</f>
        <v>77.417999999999992</v>
      </c>
      <c r="I733" s="6" t="s">
        <v>174</v>
      </c>
      <c r="J733" s="43">
        <f>F682/2</f>
        <v>18.127796487677962</v>
      </c>
      <c r="K733" s="6" t="s">
        <v>129</v>
      </c>
      <c r="M733" s="6" t="s">
        <v>70</v>
      </c>
      <c r="O733" s="30">
        <f>IF(S730&lt;100,25,IF(MIN(O732:S732)=O732,12,IF(MIN(O732:S732)=P732,16,IF(MIN(O732:S732)=Q732,20,IF(MIN(O732:S732)=R732,22,IF(MIN(O732:S732)=S732,25,0))))))</f>
        <v>25</v>
      </c>
      <c r="P733" s="6" t="s">
        <v>71</v>
      </c>
      <c r="Q733" s="30">
        <f>IF(O733=12,O730,IF(O733=16,P730,IF(O733=20,Q730,IF(O733=22,R730,IF(O733=25,S730,0)))))</f>
        <v>200</v>
      </c>
      <c r="R733" s="6" t="s">
        <v>72</v>
      </c>
    </row>
    <row r="734" spans="2:19" x14ac:dyDescent="0.2">
      <c r="B734" s="6" t="s">
        <v>175</v>
      </c>
      <c r="G734" s="27" t="str">
        <f>IF(E735=J34/2,"There is no solution to the quadratic equation.","")</f>
        <v>There is no solution to the quadratic equation.</v>
      </c>
    </row>
    <row r="735" spans="2:19" x14ac:dyDescent="0.2">
      <c r="B735" s="6" t="s">
        <v>176</v>
      </c>
      <c r="E735" s="21">
        <f>IF(H733^2-4*J733*F733&lt;0,J34/2,(H733-SQRT(H733^2-4*J733*F733))/2/J733)</f>
        <v>2.1353395061728397</v>
      </c>
      <c r="F735" s="6" t="s">
        <v>24</v>
      </c>
      <c r="G735" s="27" t="str">
        <f>IF(E735=J34/2,"No curtailment should be made: d = B'/2","")</f>
        <v>No curtailment should be made: d = B'/2</v>
      </c>
    </row>
    <row r="736" spans="2:19" x14ac:dyDescent="0.2">
      <c r="B736" s="6" t="s">
        <v>177</v>
      </c>
      <c r="E736" s="21">
        <f>IF(F697-$H$62&gt;12*C718,E735+(-E34/2+F697-$H$62)/1000,E735+(-E34/2+12*C718)/1000)</f>
        <v>2.4506552058315427</v>
      </c>
      <c r="F736" s="6" t="s">
        <v>24</v>
      </c>
    </row>
    <row r="737" spans="1:9" x14ac:dyDescent="0.2">
      <c r="B737" s="6" t="s">
        <v>133</v>
      </c>
      <c r="E737" s="21">
        <f>J34/2-E736</f>
        <v>-0.31531569965870299</v>
      </c>
      <c r="F737" s="27" t="str">
        <f>IF(E737&gt;=1," m &gt; 1 m   Curtailment should be made."," m &lt; 1 m    Curtailment should not be made:  x = B/2")</f>
        <v xml:space="preserve"> m &lt; 1 m    Curtailment should not be made:  x = B/2</v>
      </c>
    </row>
    <row r="738" spans="1:9" x14ac:dyDescent="0.2">
      <c r="B738" s="6"/>
      <c r="E738" s="21"/>
      <c r="F738" s="27"/>
    </row>
    <row r="739" spans="1:9" x14ac:dyDescent="0.2">
      <c r="B739" s="47" t="s">
        <v>87</v>
      </c>
    </row>
    <row r="740" spans="1:9" x14ac:dyDescent="0.2">
      <c r="B740" s="6" t="s">
        <v>287</v>
      </c>
      <c r="F740" s="30">
        <f>F715/4</f>
        <v>604.08407632971353</v>
      </c>
      <c r="G740" s="6" t="s">
        <v>78</v>
      </c>
    </row>
    <row r="741" spans="1:9" x14ac:dyDescent="0.2">
      <c r="B741" s="27" t="str">
        <f>IF(F740&gt;=F716,"Ast(moment)  &gt;  Ast(shrinkage)","Ast(moment)  &lt;  Ast(shrinkage)")</f>
        <v>Ast(moment)  &gt;  Ast(shrinkage)</v>
      </c>
      <c r="F741" s="2" t="s">
        <v>114</v>
      </c>
      <c r="G741" s="50"/>
      <c r="H741" s="51">
        <f>IF(OR(E737&lt;1,F740&lt;F716),J34/2,E736)</f>
        <v>2.1353395061728397</v>
      </c>
      <c r="I741" s="2" t="s">
        <v>115</v>
      </c>
    </row>
    <row r="742" spans="1:9" x14ac:dyDescent="0.2">
      <c r="B742" s="27"/>
      <c r="F742" s="2"/>
      <c r="G742" s="50"/>
      <c r="H742" s="51"/>
      <c r="I742" s="2"/>
    </row>
    <row r="743" spans="1:9" x14ac:dyDescent="0.2">
      <c r="A743" s="56" t="s">
        <v>182</v>
      </c>
    </row>
    <row r="745" spans="1:9" x14ac:dyDescent="0.2">
      <c r="A745" s="47" t="s">
        <v>54</v>
      </c>
    </row>
    <row r="746" spans="1:9" x14ac:dyDescent="0.2">
      <c r="B746" s="6" t="s">
        <v>135</v>
      </c>
      <c r="E746" s="21">
        <f>$H$46*F35*$H$44</f>
        <v>52.765289938242049</v>
      </c>
      <c r="F746" s="6" t="s">
        <v>35</v>
      </c>
    </row>
    <row r="748" spans="1:9" x14ac:dyDescent="0.2">
      <c r="B748" s="6" t="s">
        <v>136</v>
      </c>
      <c r="E748" s="21">
        <f>E746*F35/2</f>
        <v>134.55148934251721</v>
      </c>
      <c r="F748" s="6" t="s">
        <v>57</v>
      </c>
    </row>
    <row r="749" spans="1:9" x14ac:dyDescent="0.2">
      <c r="B749" s="6" t="s">
        <v>137</v>
      </c>
      <c r="E749" s="21">
        <f>E746*F35^2/6</f>
        <v>228.73753188227928</v>
      </c>
      <c r="F749" s="6" t="s">
        <v>58</v>
      </c>
    </row>
    <row r="751" spans="1:9" x14ac:dyDescent="0.2">
      <c r="A751" s="47" t="s">
        <v>59</v>
      </c>
    </row>
    <row r="752" spans="1:9" x14ac:dyDescent="0.2">
      <c r="B752" s="6" t="s">
        <v>60</v>
      </c>
      <c r="F752" s="30">
        <f>SQRT(E749/$G$69)*1000</f>
        <v>427.26192779639894</v>
      </c>
      <c r="G752" s="6" t="s">
        <v>43</v>
      </c>
    </row>
    <row r="753" spans="1:19" x14ac:dyDescent="0.2">
      <c r="B753" s="6" t="s">
        <v>61</v>
      </c>
      <c r="F753" s="30">
        <f>E748/$H$54*1000</f>
        <v>313.89133428702246</v>
      </c>
      <c r="G753" s="6" t="s">
        <v>43</v>
      </c>
    </row>
    <row r="755" spans="1:19" x14ac:dyDescent="0.2">
      <c r="B755" s="6" t="s">
        <v>138</v>
      </c>
      <c r="F755" s="30">
        <f>MAX(F752:F753)+$H$62</f>
        <v>502.26192779639894</v>
      </c>
      <c r="G755" s="6" t="s">
        <v>43</v>
      </c>
    </row>
    <row r="756" spans="1:19" x14ac:dyDescent="0.2">
      <c r="B756" s="6" t="s">
        <v>139</v>
      </c>
      <c r="F756" s="30">
        <f>$E$35</f>
        <v>650</v>
      </c>
      <c r="G756" s="6" t="s">
        <v>43</v>
      </c>
      <c r="M756" s="6" t="s">
        <v>66</v>
      </c>
      <c r="O756" s="30">
        <v>12</v>
      </c>
      <c r="P756" s="30">
        <v>16</v>
      </c>
      <c r="Q756" s="30">
        <v>20</v>
      </c>
      <c r="R756" s="30">
        <v>22</v>
      </c>
      <c r="S756" s="30">
        <v>25</v>
      </c>
    </row>
    <row r="757" spans="1:19" x14ac:dyDescent="0.2">
      <c r="B757" s="27" t="str">
        <f>IF(F756&gt;=F755,"ta  &gt;  tr     Design is OK.","ta  &lt;  tr     Design is Not OK.")</f>
        <v>ta  &gt;  tr     Design is OK.</v>
      </c>
      <c r="G757" s="6" t="s">
        <v>64</v>
      </c>
      <c r="M757" s="6" t="s">
        <v>67</v>
      </c>
      <c r="O757" s="30">
        <f>IF(H761=0,100000000,TRUNC(785.4*O756^2/H761/25)*25)</f>
        <v>100</v>
      </c>
      <c r="P757" s="30">
        <f>IF(H761=0,100000000,TRUNC(785.4*P756^2/H761/25)*25)</f>
        <v>200</v>
      </c>
      <c r="Q757" s="30">
        <f>IF(H761=0,100000000,TRUNC(785.4*Q756^2/H761/25)*25)</f>
        <v>325</v>
      </c>
      <c r="R757" s="30">
        <f>IF(H761=0,100000000,TRUNC(785.4*R756^2/H761/25)*25)</f>
        <v>400</v>
      </c>
      <c r="S757" s="30">
        <f>IF(H761=0,100000000,TRUNC(785.4*S756^2/H761/25)*25)</f>
        <v>500</v>
      </c>
    </row>
    <row r="758" spans="1:19" x14ac:dyDescent="0.2">
      <c r="M758" s="6" t="s">
        <v>68</v>
      </c>
      <c r="O758" s="30">
        <f>785.4*O756^2/O757</f>
        <v>1130.9759999999999</v>
      </c>
      <c r="P758" s="30">
        <f>785.4*P756^2/P757</f>
        <v>1005.312</v>
      </c>
      <c r="Q758" s="30">
        <f>785.4*Q756^2/Q757</f>
        <v>966.64615384615388</v>
      </c>
      <c r="R758" s="30">
        <f>785.4*R756^2/R757</f>
        <v>950.33399999999995</v>
      </c>
      <c r="S758" s="30">
        <f>785.4*S756^2/S757</f>
        <v>981.75</v>
      </c>
    </row>
    <row r="759" spans="1:19" x14ac:dyDescent="0.2">
      <c r="A759" s="47" t="s">
        <v>123</v>
      </c>
      <c r="M759" s="6" t="s">
        <v>69</v>
      </c>
      <c r="O759" s="30">
        <f>IF(OR(O757&gt;300,O757&lt;100),100000000,O758-H761)</f>
        <v>180.97599999999989</v>
      </c>
      <c r="P759" s="30">
        <f>IF(OR(P757&gt;300,P757&lt;100),100000001,P758-H761)</f>
        <v>55.312000000000012</v>
      </c>
      <c r="Q759" s="30">
        <f>IF(OR(Q757&gt;300,Q757&lt;100),100000001,Q758-H761)</f>
        <v>100000001</v>
      </c>
      <c r="R759" s="30">
        <f>IF(OR(R757&gt;300,R757&lt;100),100000001,R758-H761)</f>
        <v>100000001</v>
      </c>
      <c r="S759" s="30">
        <f>IF(OR(S757&gt;300,S757&lt;100),100000001,S758-H761)</f>
        <v>100000001</v>
      </c>
    </row>
    <row r="760" spans="1:19" x14ac:dyDescent="0.2">
      <c r="B760" s="6" t="s">
        <v>140</v>
      </c>
      <c r="F760" s="21">
        <f>$G$40</f>
        <v>16.294247451171227</v>
      </c>
      <c r="G760" s="6" t="s">
        <v>24</v>
      </c>
      <c r="M760" s="6" t="s">
        <v>70</v>
      </c>
      <c r="O760" s="30">
        <f>IF(S757&lt;100,25,IF(MIN(O759:S759)=O759,12,IF(MIN(O759:S759)=P759,16,IF(MIN(O759:S759)=Q759,20,IF(MIN(O759:S759)=R759,22,IF(MIN(O759:S759)=S759,25,0))))))</f>
        <v>16</v>
      </c>
      <c r="P760" s="6" t="s">
        <v>71</v>
      </c>
      <c r="Q760" s="30">
        <f>IF(O760=12,O757,IF(O760=16,P757,IF(O760=20,Q757,IF(O760=22,R757,IF(O760=25,S757,0)))))</f>
        <v>200</v>
      </c>
      <c r="R760" s="6" t="s">
        <v>72</v>
      </c>
    </row>
    <row r="761" spans="1:19" x14ac:dyDescent="0.2">
      <c r="B761" s="6" t="s">
        <v>141</v>
      </c>
      <c r="H761" s="30">
        <f>IF(AND(F760&lt;=9,F756&lt;380),$C$150*F756*1000,IF(F760&lt;=9,$C$150*380000,IF(F756&lt;380,$C$151*F756*1000,$C$151*380000)))</f>
        <v>950</v>
      </c>
      <c r="I761" s="6" t="s">
        <v>78</v>
      </c>
    </row>
    <row r="762" spans="1:19" x14ac:dyDescent="0.2">
      <c r="B762" s="6" t="s">
        <v>79</v>
      </c>
      <c r="C762" s="30">
        <f>IF(D1019=0,O760,D1019)</f>
        <v>16</v>
      </c>
      <c r="D762" s="6" t="s">
        <v>71</v>
      </c>
      <c r="E762" s="30">
        <f>IF(D1019=0,IF(Q760&gt;300,300,Q760),E1019)</f>
        <v>200</v>
      </c>
      <c r="F762" s="6" t="s">
        <v>80</v>
      </c>
      <c r="H762" s="30">
        <f>785.4*C762^2/E762</f>
        <v>1005.312</v>
      </c>
      <c r="I762" s="6" t="s">
        <v>81</v>
      </c>
    </row>
    <row r="763" spans="1:19" x14ac:dyDescent="0.2">
      <c r="B763" s="6" t="s">
        <v>142</v>
      </c>
      <c r="H763" s="30">
        <f>IF(AND(F760&lt;=9,F756&lt;380),$D$150*F756*1000,IF(F760&lt;=9,$D$150*380000,IF(F756&lt;380,$D$151*F756*1000,$D$151*380000)))</f>
        <v>570</v>
      </c>
      <c r="I763" s="6" t="s">
        <v>78</v>
      </c>
    </row>
    <row r="764" spans="1:19" x14ac:dyDescent="0.2">
      <c r="B764" s="6" t="s">
        <v>79</v>
      </c>
      <c r="C764" s="30">
        <v>16</v>
      </c>
      <c r="D764" s="6" t="s">
        <v>71</v>
      </c>
      <c r="E764" s="30">
        <v>250</v>
      </c>
      <c r="F764" s="6" t="s">
        <v>80</v>
      </c>
      <c r="H764" s="30">
        <f>785.4*C764^2/E764</f>
        <v>804.24959999999999</v>
      </c>
      <c r="I764" s="6" t="s">
        <v>81</v>
      </c>
      <c r="M764" s="6" t="s">
        <v>66</v>
      </c>
      <c r="O764" s="30">
        <v>12</v>
      </c>
      <c r="P764" s="30">
        <v>16</v>
      </c>
      <c r="Q764" s="30">
        <v>20</v>
      </c>
      <c r="R764" s="30">
        <v>22</v>
      </c>
      <c r="S764" s="30">
        <v>25</v>
      </c>
    </row>
    <row r="765" spans="1:19" x14ac:dyDescent="0.2">
      <c r="M765" s="6" t="s">
        <v>67</v>
      </c>
      <c r="O765" s="30">
        <f>IF(H763=0,100000000,TRUNC(785.4*O764^2/H763/25)*25)</f>
        <v>175</v>
      </c>
      <c r="P765" s="30">
        <f>IF(H763=0,100000000,TRUNC(785.4*P764^2/H763/25)*25)</f>
        <v>350</v>
      </c>
      <c r="Q765" s="30">
        <f>IF(H763=0,100000000,TRUNC(785.4*Q764^2/H763/25)*25)</f>
        <v>550</v>
      </c>
      <c r="R765" s="30">
        <f>IF(H763=0,100000000,TRUNC(785.4*R764^2/H763/25)*25)</f>
        <v>650</v>
      </c>
      <c r="S765" s="30">
        <f>IF(H763=0,100000000,TRUNC(785.4*S764^2/H763/25)*25)</f>
        <v>850</v>
      </c>
    </row>
    <row r="766" spans="1:19" x14ac:dyDescent="0.2">
      <c r="A766" s="47" t="s">
        <v>143</v>
      </c>
      <c r="M766" s="6" t="s">
        <v>68</v>
      </c>
      <c r="O766" s="30">
        <f>785.4*O764^2/O765</f>
        <v>646.27199999999993</v>
      </c>
      <c r="P766" s="30">
        <f>785.4*P764^2/P765</f>
        <v>574.46399999999994</v>
      </c>
      <c r="Q766" s="30">
        <f>785.4*Q764^2/Q765</f>
        <v>571.20000000000005</v>
      </c>
      <c r="R766" s="30">
        <f>785.4*R764^2/R765</f>
        <v>584.82092307692301</v>
      </c>
      <c r="S766" s="30">
        <f>785.4*S764^2/S765</f>
        <v>577.5</v>
      </c>
    </row>
    <row r="767" spans="1:19" x14ac:dyDescent="0.2">
      <c r="B767" s="6" t="s">
        <v>144</v>
      </c>
      <c r="F767" s="21">
        <f>F35+G35/1000</f>
        <v>5.8</v>
      </c>
      <c r="G767" s="6" t="s">
        <v>24</v>
      </c>
      <c r="M767" s="6" t="s">
        <v>69</v>
      </c>
      <c r="O767" s="30">
        <f>IF(OR(O765&gt;300,O765&lt;100),100000000,O766-H763)</f>
        <v>76.271999999999935</v>
      </c>
      <c r="P767" s="30">
        <f>IF(OR(P765&gt;300,P765&lt;100),100000001,P766-H763)</f>
        <v>100000001</v>
      </c>
      <c r="Q767" s="30">
        <f>IF(OR(Q765&gt;300,Q765&lt;100),100000001,Q766-H763)</f>
        <v>100000001</v>
      </c>
      <c r="R767" s="30">
        <f>IF(OR(R765&gt;300,R765&lt;100),100000001,R766-H763)</f>
        <v>100000001</v>
      </c>
      <c r="S767" s="30">
        <f>IF(OR(S765&gt;300,S765&lt;100),100000001,S766-H763)</f>
        <v>100000001</v>
      </c>
    </row>
    <row r="768" spans="1:19" x14ac:dyDescent="0.2">
      <c r="B768" s="6" t="s">
        <v>84</v>
      </c>
      <c r="H768" s="30">
        <f>IF(AND(F767&lt;=9,F756&lt;380),$C$150*F756*1000,IF(F767&lt;=9,$C$150*380000,IF(F756&lt;380,$C$151*F756*1000,$C$151*380000)))</f>
        <v>760</v>
      </c>
      <c r="I768" s="6" t="s">
        <v>78</v>
      </c>
      <c r="M768" s="6" t="s">
        <v>70</v>
      </c>
      <c r="O768" s="30">
        <f>IF(S765&lt;100,25,IF(MIN(O767:S767)=O767,12,IF(MIN(O767:S767)=P767,16,IF(MIN(O767:S767)=Q767,20,IF(MIN(O767:S767)=R767,22,IF(MIN(O767:S767)=S767,25,0))))))</f>
        <v>12</v>
      </c>
      <c r="P768" s="6" t="s">
        <v>71</v>
      </c>
      <c r="Q768" s="30">
        <f>IF(O768=12,O765,IF(O768=16,P765,IF(O768=20,Q765,IF(O768=22,R765,IF(O768=25,S765,0)))))</f>
        <v>175</v>
      </c>
      <c r="R768" s="6" t="s">
        <v>72</v>
      </c>
    </row>
    <row r="769" spans="1:19" x14ac:dyDescent="0.2">
      <c r="B769" s="6" t="s">
        <v>79</v>
      </c>
      <c r="C769" s="30">
        <f>IF(D1039=0,O776,D1039)</f>
        <v>16</v>
      </c>
      <c r="D769" s="6" t="s">
        <v>71</v>
      </c>
      <c r="E769" s="30">
        <v>200</v>
      </c>
      <c r="F769" s="6" t="s">
        <v>80</v>
      </c>
      <c r="H769" s="30">
        <f>785.4*C769^2/E769</f>
        <v>1005.312</v>
      </c>
      <c r="I769" s="6" t="s">
        <v>81</v>
      </c>
    </row>
    <row r="771" spans="1:19" x14ac:dyDescent="0.2">
      <c r="A771" s="47" t="s">
        <v>145</v>
      </c>
    </row>
    <row r="772" spans="1:19" x14ac:dyDescent="0.2">
      <c r="B772" s="6" t="s">
        <v>146</v>
      </c>
      <c r="F772" s="30">
        <f>E749/$H$51/$G$68/(F756-$H$62)*1000000000</f>
        <v>2389.0088671531958</v>
      </c>
      <c r="G772" s="6" t="s">
        <v>78</v>
      </c>
      <c r="M772" s="6" t="s">
        <v>66</v>
      </c>
      <c r="O772" s="30">
        <v>12</v>
      </c>
      <c r="P772" s="30">
        <v>16</v>
      </c>
      <c r="Q772" s="30">
        <v>20</v>
      </c>
      <c r="R772" s="30">
        <v>22</v>
      </c>
      <c r="S772" s="30">
        <v>25</v>
      </c>
    </row>
    <row r="773" spans="1:19" x14ac:dyDescent="0.2">
      <c r="B773" s="6" t="s">
        <v>147</v>
      </c>
      <c r="F773" s="30">
        <f>IF(AND(F767&lt;=9,F756&lt;380),$D$150*F756*1000,IF(F767&lt;=9,$D$150*380000,IF(F756&lt;380,$D$151*F756*1000,$D$151*380000)))</f>
        <v>380</v>
      </c>
      <c r="G773" s="6" t="s">
        <v>78</v>
      </c>
      <c r="M773" s="6" t="s">
        <v>67</v>
      </c>
      <c r="O773" s="30">
        <f>IF(H768=0,100000000,TRUNC(785.4*O772^2/H768/25)*25)</f>
        <v>125</v>
      </c>
      <c r="P773" s="30">
        <f>IF(H768=0,100000000,TRUNC(785.4*P772^2/H768/25)*25)</f>
        <v>250</v>
      </c>
      <c r="Q773" s="30">
        <f>IF(H768=0,100000000,TRUNC(785.4*Q772^2/H768/25)*25)</f>
        <v>400</v>
      </c>
      <c r="R773" s="30">
        <f>IF(H768=0,100000000,TRUNC(785.4*R772^2/H768/25)*25)</f>
        <v>500</v>
      </c>
      <c r="S773" s="30">
        <f>IF(H768=0,100000000,TRUNC(785.4*S772^2/H768/25)*25)</f>
        <v>625</v>
      </c>
    </row>
    <row r="774" spans="1:19" x14ac:dyDescent="0.2">
      <c r="B774" s="6" t="s">
        <v>88</v>
      </c>
      <c r="H774" s="30">
        <f>MAX(F772:F773)</f>
        <v>2389.0088671531958</v>
      </c>
      <c r="I774" s="6" t="s">
        <v>89</v>
      </c>
      <c r="M774" s="6" t="s">
        <v>68</v>
      </c>
      <c r="O774" s="30">
        <f>785.4*O772^2/O773</f>
        <v>904.78079999999989</v>
      </c>
      <c r="P774" s="30">
        <f>785.4*P772^2/P773</f>
        <v>804.24959999999999</v>
      </c>
      <c r="Q774" s="30">
        <f>785.4*Q772^2/Q773</f>
        <v>785.4</v>
      </c>
      <c r="R774" s="30">
        <f>785.4*R772^2/R773</f>
        <v>760.2672</v>
      </c>
      <c r="S774" s="30">
        <f>785.4*S772^2/S773</f>
        <v>785.4</v>
      </c>
    </row>
    <row r="775" spans="1:19" x14ac:dyDescent="0.2">
      <c r="B775" s="509" t="s">
        <v>79</v>
      </c>
      <c r="C775" s="510">
        <v>20</v>
      </c>
      <c r="D775" s="509" t="s">
        <v>71</v>
      </c>
      <c r="E775" s="510">
        <v>125</v>
      </c>
      <c r="F775" s="509" t="s">
        <v>80</v>
      </c>
      <c r="G775" s="511"/>
      <c r="H775" s="510">
        <f>785.4*C775^2/E775</f>
        <v>2513.2800000000002</v>
      </c>
      <c r="I775" s="509" t="s">
        <v>81</v>
      </c>
      <c r="J775" s="511"/>
      <c r="K775" s="674"/>
      <c r="M775" s="6" t="s">
        <v>69</v>
      </c>
      <c r="O775" s="30">
        <f>IF(OR(O773&gt;300,O773&lt;100),100000000,O774-H768)</f>
        <v>144.78079999999989</v>
      </c>
      <c r="P775" s="30">
        <f>IF(OR(P773&gt;300,P773&lt;100),100000001,P774-H768)</f>
        <v>44.249599999999987</v>
      </c>
      <c r="Q775" s="30">
        <f>IF(OR(Q773&gt;300,Q773&lt;100),100000001,Q774-H768)</f>
        <v>100000001</v>
      </c>
      <c r="R775" s="30">
        <f>IF(OR(R773&gt;300,R773&lt;100),100000001,R774-H768)</f>
        <v>100000001</v>
      </c>
      <c r="S775" s="30">
        <f>IF(OR(S773&gt;300,S773&lt;100),100000001,S774-H768)</f>
        <v>100000001</v>
      </c>
    </row>
    <row r="776" spans="1:19" x14ac:dyDescent="0.2">
      <c r="M776" s="6" t="s">
        <v>70</v>
      </c>
      <c r="O776" s="30">
        <f>IF(S773&lt;100,25,IF(MIN(O775:S775)=O775,12,IF(MIN(O775:S775)=P775,16,IF(MIN(O775:S775)=Q775,20,IF(MIN(O775:S775)=R775,22,IF(MIN(O775:S775)=S775,25,0))))))</f>
        <v>16</v>
      </c>
      <c r="P776" s="6" t="s">
        <v>71</v>
      </c>
      <c r="Q776" s="30">
        <f>IF(O776=12,O773,IF(O776=16,P773,IF(O776=20,Q773,IF(O776=22,R773,IF(O776=25,S773,0)))))</f>
        <v>250</v>
      </c>
      <c r="R776" s="6" t="s">
        <v>72</v>
      </c>
    </row>
    <row r="777" spans="1:19" x14ac:dyDescent="0.2">
      <c r="B777" s="47" t="s">
        <v>90</v>
      </c>
    </row>
    <row r="778" spans="1:19" x14ac:dyDescent="0.2">
      <c r="B778" s="6" t="s">
        <v>148</v>
      </c>
      <c r="D778" s="21">
        <f>$H$56/C775</f>
        <v>840.99690843664825</v>
      </c>
      <c r="E778" s="6" t="s">
        <v>149</v>
      </c>
      <c r="F778" s="30">
        <f>$H$57</f>
        <v>1103</v>
      </c>
      <c r="G778" s="6" t="s">
        <v>35</v>
      </c>
      <c r="H778" s="6" t="s">
        <v>150</v>
      </c>
      <c r="J778" s="21">
        <f>MIN(D778,F778)</f>
        <v>840.99690843664825</v>
      </c>
      <c r="K778" s="6" t="s">
        <v>35</v>
      </c>
    </row>
    <row r="779" spans="1:19" x14ac:dyDescent="0.2">
      <c r="B779" s="6" t="s">
        <v>151</v>
      </c>
      <c r="D779" s="21">
        <f>E748/(PI()*C775/E775)/$G$68/(F756-$H$62)*1000</f>
        <v>520.84900622411874</v>
      </c>
      <c r="E779" s="6" t="s">
        <v>35</v>
      </c>
      <c r="F779" s="27" t="str">
        <f>IF(J778&gt;=D779,"bs(allow)  &gt;  bs(actual)    Design is OK.  &lt;-----","bs(allow)  &lt;  bs(actual)    Design is not OK.  &lt;-----")</f>
        <v>bs(allow)  &gt;  bs(actual)    Design is OK.  &lt;-----</v>
      </c>
    </row>
    <row r="780" spans="1:19" x14ac:dyDescent="0.2">
      <c r="M780" s="6" t="s">
        <v>66</v>
      </c>
      <c r="O780" s="30">
        <v>12</v>
      </c>
      <c r="P780" s="30">
        <v>16</v>
      </c>
      <c r="Q780" s="30">
        <v>20</v>
      </c>
      <c r="R780" s="30">
        <v>22</v>
      </c>
      <c r="S780" s="30">
        <v>25</v>
      </c>
    </row>
    <row r="781" spans="1:19" x14ac:dyDescent="0.2">
      <c r="A781" s="47" t="s">
        <v>93</v>
      </c>
      <c r="M781" s="6" t="s">
        <v>67</v>
      </c>
      <c r="O781" s="30">
        <f>IF(H774=0,100000000,TRUNC(785.4*O780^2/H774/25)*25)</f>
        <v>25</v>
      </c>
      <c r="P781" s="30">
        <f>IF(H774=0,100000000,TRUNC(785.4*P780^2/H774/25)*25)</f>
        <v>75</v>
      </c>
      <c r="Q781" s="30">
        <f>IF(H774=0,100000000,TRUNC(785.4*Q780^2/H774/25)*25)</f>
        <v>125</v>
      </c>
      <c r="R781" s="30">
        <f>IF(H774=0,100000000,TRUNC(785.4*R780^2/H774/25)*25)</f>
        <v>150</v>
      </c>
      <c r="S781" s="30">
        <f>IF(H774=0,100000000,TRUNC(785.4*S780^2/H774/25)*25)</f>
        <v>200</v>
      </c>
    </row>
    <row r="782" spans="1:19" x14ac:dyDescent="0.2">
      <c r="B782" s="47" t="s">
        <v>94</v>
      </c>
      <c r="M782" s="6" t="s">
        <v>68</v>
      </c>
      <c r="O782" s="30">
        <f>785.4*O780^2/O781</f>
        <v>4523.9039999999995</v>
      </c>
      <c r="P782" s="30">
        <f>785.4*P780^2/P781</f>
        <v>2680.8319999999999</v>
      </c>
      <c r="Q782" s="30">
        <f>785.4*Q780^2/Q781</f>
        <v>2513.2800000000002</v>
      </c>
      <c r="R782" s="30">
        <f>785.4*R780^2/R781</f>
        <v>2534.2239999999997</v>
      </c>
      <c r="S782" s="30">
        <f>785.4*S780^2/S781</f>
        <v>2454.375</v>
      </c>
    </row>
    <row r="783" spans="1:19" x14ac:dyDescent="0.2">
      <c r="B783" s="6" t="s">
        <v>156</v>
      </c>
      <c r="D783" s="21">
        <f>1/2*H775*$H$51*$G$68*($D$35-$H$62)/1000000000</f>
        <v>47.080950491908808</v>
      </c>
      <c r="E783" s="6" t="s">
        <v>99</v>
      </c>
      <c r="F783" s="43">
        <f>1/2*H775*$H$51*$G$68*($E$35-$D$35)/F35/1000000000</f>
        <v>14.360202764416631</v>
      </c>
      <c r="G783" s="6" t="s">
        <v>417</v>
      </c>
      <c r="H783" s="24">
        <f>$H$46*$H$44/6</f>
        <v>1.7243558803347074</v>
      </c>
      <c r="I783" s="6" t="s">
        <v>104</v>
      </c>
      <c r="M783" s="6" t="s">
        <v>69</v>
      </c>
      <c r="O783" s="30">
        <f>IF(OR(O781&gt;300,O781&lt;100),100000000,O782-H774)</f>
        <v>100000000</v>
      </c>
      <c r="P783" s="30">
        <f>IF(OR(P781&gt;300,P781&lt;100),100000001,P782-H774)</f>
        <v>100000001</v>
      </c>
      <c r="Q783" s="30">
        <f>IF(OR(Q781&gt;300,Q781&lt;100),100000001,Q782-H774)</f>
        <v>124.27113284680445</v>
      </c>
      <c r="R783" s="30">
        <f>IF(OR(R781&gt;300,R781&lt;100),100000001,R782-H774)</f>
        <v>145.21513284680395</v>
      </c>
      <c r="S783" s="30">
        <f>IF(OR(S781&gt;300,S781&lt;100),100000001,S782-H774)</f>
        <v>65.366132846804248</v>
      </c>
    </row>
    <row r="784" spans="1:19" x14ac:dyDescent="0.2">
      <c r="B784" s="6" t="s">
        <v>158</v>
      </c>
      <c r="D784" s="24">
        <f>$H$46*$H$44/6</f>
        <v>1.7243558803347074</v>
      </c>
      <c r="E784" s="6" t="s">
        <v>104</v>
      </c>
      <c r="M784" s="6" t="s">
        <v>70</v>
      </c>
      <c r="O784" s="30">
        <f>IF(S781&lt;100,25,IF(MIN(O783:S783)=O783,12,IF(MIN(O783:S783)=P783,16,IF(MIN(O783:S783)=Q783,20,IF(MIN(O783:S783)=R783,22,IF(MIN(O783:S783)=S783,25,0))))))</f>
        <v>25</v>
      </c>
      <c r="P784" s="6" t="s">
        <v>71</v>
      </c>
      <c r="Q784" s="30">
        <f>IF(O784=12,O781,IF(O784=16,P781,IF(O784=20,Q781,IF(O784=22,R781,IF(O784=25,S781,0)))))</f>
        <v>200</v>
      </c>
      <c r="R784" s="6" t="s">
        <v>72</v>
      </c>
    </row>
    <row r="785" spans="2:20" x14ac:dyDescent="0.2">
      <c r="B785" s="6" t="s">
        <v>159</v>
      </c>
      <c r="F785" s="21">
        <f>T797</f>
        <v>3.9086399999999992</v>
      </c>
      <c r="G785" s="6" t="s">
        <v>107</v>
      </c>
    </row>
    <row r="786" spans="2:20" x14ac:dyDescent="0.2">
      <c r="C786" s="6" t="s">
        <v>160</v>
      </c>
      <c r="F786" s="21">
        <f>IF(E35+(E35-D35)*F785/F35-$H$62&gt;12*C775,F35-F785+(D35+(E35-D35)*F785/F35-$H$62)/1000,F35-F785+(12*C775)/1000)</f>
        <v>1.6846000000000005</v>
      </c>
      <c r="G786" s="6" t="s">
        <v>24</v>
      </c>
    </row>
    <row r="787" spans="2:20" x14ac:dyDescent="0.2">
      <c r="C787" s="6" t="s">
        <v>112</v>
      </c>
      <c r="F787" s="21">
        <f>F35-F786</f>
        <v>3.4153999999999991</v>
      </c>
      <c r="G787" s="27" t="str">
        <f>IF(F787&gt;=1,"m &gt; 1 m   Curtailment should be made."," m &lt; 1 m  Curtailment should not be made.")</f>
        <v>m &gt; 1 m   Curtailment should be made.</v>
      </c>
    </row>
    <row r="789" spans="2:20" x14ac:dyDescent="0.2">
      <c r="B789" s="47" t="s">
        <v>87</v>
      </c>
    </row>
    <row r="790" spans="2:20" x14ac:dyDescent="0.2">
      <c r="B790" s="6" t="s">
        <v>287</v>
      </c>
      <c r="F790" s="30">
        <f>F772/2</f>
        <v>1194.5044335765979</v>
      </c>
      <c r="G790" s="6" t="s">
        <v>78</v>
      </c>
      <c r="M790" s="6" t="s">
        <v>152</v>
      </c>
      <c r="O790" s="6" t="s">
        <v>153</v>
      </c>
      <c r="Q790" s="6" t="s">
        <v>154</v>
      </c>
      <c r="S790" s="6" t="s">
        <v>155</v>
      </c>
    </row>
    <row r="791" spans="2:20" x14ac:dyDescent="0.2">
      <c r="B791" s="27" t="str">
        <f>IF(F790&gt;=F773,"Ast(moment) &gt; Ast(shrinkage)","Ast(moment) &lt; Ast(shrinkage)")</f>
        <v>Ast(moment) &gt; Ast(shrinkage)</v>
      </c>
      <c r="F791" s="2" t="s">
        <v>114</v>
      </c>
      <c r="G791" s="50"/>
      <c r="H791" s="51">
        <f>IF(OR(F787&lt;1,F790&lt;F773),F35/2,F786)</f>
        <v>1.6846000000000005</v>
      </c>
      <c r="I791" s="2" t="s">
        <v>115</v>
      </c>
      <c r="M791" s="6" t="s">
        <v>157</v>
      </c>
      <c r="O791" s="6" t="s">
        <v>157</v>
      </c>
      <c r="Q791" s="6" t="s">
        <v>157</v>
      </c>
      <c r="S791" s="6" t="s">
        <v>157</v>
      </c>
    </row>
    <row r="792" spans="2:20" x14ac:dyDescent="0.2">
      <c r="M792" s="27">
        <f>D784*N792^3-F783*N792</f>
        <v>0</v>
      </c>
      <c r="N792" s="25">
        <v>0</v>
      </c>
      <c r="O792" s="44">
        <f>H783*P792^3-F783*P792</f>
        <v>5.4650864274574218</v>
      </c>
      <c r="P792" s="25">
        <f>N798</f>
        <v>3.0599999999999996</v>
      </c>
      <c r="Q792" s="27">
        <f>H783*R792^3-F783*R792</f>
        <v>44.750140880676526</v>
      </c>
      <c r="R792" s="25">
        <f>P797</f>
        <v>3.8759999999999994</v>
      </c>
      <c r="S792" s="27">
        <f>H783*T792^3-F783*T792</f>
        <v>44.750140880676526</v>
      </c>
      <c r="T792" s="25">
        <f>R797</f>
        <v>3.8759999999999994</v>
      </c>
    </row>
    <row r="793" spans="2:20" x14ac:dyDescent="0.2">
      <c r="B793" s="47" t="s">
        <v>116</v>
      </c>
      <c r="G793" s="167"/>
      <c r="M793" s="44">
        <f>H783*N793^3-F783*N793</f>
        <v>-12.817506564646729</v>
      </c>
      <c r="N793" s="25">
        <f>0.2*F35</f>
        <v>1.02</v>
      </c>
      <c r="O793" s="44">
        <f>H783*P793^3-F783*P793</f>
        <v>13.09046973469232</v>
      </c>
      <c r="P793" s="25">
        <f>N798+0.04*F35</f>
        <v>3.2639999999999998</v>
      </c>
      <c r="Q793" s="27">
        <f>H783*R793^3-F783*R793</f>
        <v>47.368590264121828</v>
      </c>
      <c r="R793" s="25">
        <f>P797+0.008*F35</f>
        <v>3.9167999999999994</v>
      </c>
      <c r="S793" s="27">
        <f>H783*T793^3-F783*T793</f>
        <v>45.268467890646903</v>
      </c>
      <c r="T793" s="25">
        <f>R797+0.0016*F35</f>
        <v>3.8841599999999996</v>
      </c>
    </row>
    <row r="794" spans="2:20" x14ac:dyDescent="0.2">
      <c r="B794" s="6" t="s">
        <v>156</v>
      </c>
      <c r="E794" s="21">
        <f>1/4*H775*$H$51*$G$68*(D35-$H$62)/1000000000</f>
        <v>23.540475245954404</v>
      </c>
      <c r="F794" s="6" t="s">
        <v>99</v>
      </c>
      <c r="G794" s="24">
        <f>1/4*H775*$H$51*$G$68*(E35-D35)/F35/1000000000</f>
        <v>7.1801013822083153</v>
      </c>
      <c r="H794" s="6" t="s">
        <v>100</v>
      </c>
      <c r="M794" s="44">
        <f>H783*N794^3-F783*N794</f>
        <v>-14.655611598944054</v>
      </c>
      <c r="N794" s="25">
        <f>0.4*F35</f>
        <v>2.04</v>
      </c>
      <c r="O794" s="44">
        <f>H783*P794^3-F783*P794</f>
        <v>22.121216437811938</v>
      </c>
      <c r="P794" s="25">
        <f>N798+0.08*F35</f>
        <v>3.4679999999999995</v>
      </c>
      <c r="Q794" s="27">
        <f>H783*R794^3-F783*R794</f>
        <v>50.054497090569583</v>
      </c>
      <c r="R794" s="25">
        <f>P797+0.016*F35</f>
        <v>3.9575999999999993</v>
      </c>
      <c r="S794" s="27">
        <f>H783*T794^3-F783*T794</f>
        <v>45.78947071252302</v>
      </c>
      <c r="T794" s="25">
        <f>R797+0.0032*F35</f>
        <v>3.8923199999999993</v>
      </c>
    </row>
    <row r="795" spans="2:20" x14ac:dyDescent="0.2">
      <c r="B795" s="6" t="s">
        <v>158</v>
      </c>
      <c r="E795" s="24">
        <f>$H$46*$H$44/6</f>
        <v>1.7243558803347074</v>
      </c>
      <c r="F795" s="6" t="s">
        <v>104</v>
      </c>
      <c r="M795" s="44">
        <f>H783*N795^3-F783*N795</f>
        <v>5.4650864274574218</v>
      </c>
      <c r="N795" s="25">
        <f>0.6*F35</f>
        <v>3.0599999999999996</v>
      </c>
      <c r="O795" s="44">
        <f>H783*P795^3-F783*P795</f>
        <v>32.645161749059099</v>
      </c>
      <c r="P795" s="25">
        <f>N798+0.12*F35</f>
        <v>3.6719999999999997</v>
      </c>
      <c r="Q795" s="27">
        <f>H783*R795^3-F783*R795</f>
        <v>52.808564041717752</v>
      </c>
      <c r="R795" s="25">
        <f>P797+0.024*F35</f>
        <v>3.9983999999999993</v>
      </c>
      <c r="S795" s="27">
        <f>H783*T795^3-F783*T795</f>
        <v>46.3131549677585</v>
      </c>
      <c r="T795" s="25">
        <f>R797+0.0048*F35</f>
        <v>3.9004799999999995</v>
      </c>
    </row>
    <row r="796" spans="2:20" x14ac:dyDescent="0.2">
      <c r="B796" s="6" t="s">
        <v>159</v>
      </c>
      <c r="F796" s="21">
        <f>T807</f>
        <v>2.9539199999999997</v>
      </c>
      <c r="G796" s="6" t="s">
        <v>107</v>
      </c>
      <c r="M796" s="44">
        <f>H783*N796^3-F783*N796</f>
        <v>58.523989044907132</v>
      </c>
      <c r="N796" s="25">
        <f>0.8*F35</f>
        <v>4.08</v>
      </c>
      <c r="O796" s="44">
        <f>H783*P796^3-F783*P796</f>
        <v>44.750140880676526</v>
      </c>
      <c r="P796" s="25">
        <f>N798+0.16*F35</f>
        <v>3.8759999999999994</v>
      </c>
      <c r="Q796" s="27">
        <f>H783*R796^3-F783*R796</f>
        <v>55.631493799264277</v>
      </c>
      <c r="R796" s="25">
        <f>P797+0.032*F35</f>
        <v>4.0391999999999992</v>
      </c>
      <c r="S796" s="27">
        <f>H783*T796^3-F783*T796</f>
        <v>46.83952627780689</v>
      </c>
      <c r="T796" s="25">
        <f>R797+0.0064*F35</f>
        <v>3.9086399999999992</v>
      </c>
    </row>
    <row r="797" spans="2:20" x14ac:dyDescent="0.2">
      <c r="B797" s="6" t="s">
        <v>160</v>
      </c>
      <c r="E797" s="21">
        <f>IF(D35+(E35-D35)*F796/F35-$H$62&gt;12*C775,F35-F796+(D35+(E35-D35)*F796/F35-$H$62)/1000,F35-F796+(12*C775)/1000)</f>
        <v>2.5737999999999999</v>
      </c>
      <c r="F797" s="6" t="s">
        <v>24</v>
      </c>
      <c r="M797" s="44">
        <f>H783*N797^3-F783*N797</f>
        <v>155.50049778375444</v>
      </c>
      <c r="N797" s="25">
        <f>F35</f>
        <v>5.0999999999999996</v>
      </c>
      <c r="O797" s="127"/>
      <c r="P797" s="25">
        <f>IF(O793&gt;O792,VLOOKUP(D783,O792:P796,2),IF(O794&gt;O793,VLOOKUP(D783,O793:P796,2),IF(O795&gt;O794,VLOOKUP(D783,O794:P796,2),IF(O796&gt;O795,VLOOKUP(D783,O795:P796,2),P796))))</f>
        <v>3.8759999999999994</v>
      </c>
      <c r="R797" s="25">
        <f>IF(Q793&gt;Q792,VLOOKUP(D783,Q792:R796,2),IF(Q794&gt;Q793,VLOOKUP(D783,Q793:R796,2),IF(Q795&gt;Q794,VLOOKUP(D783,Q794:R796,2),IF(Q796&gt;Q795,VLOOKUP(D783,Q795:R796,2),R796))))</f>
        <v>3.8759999999999994</v>
      </c>
      <c r="T797" s="25">
        <f>IF(S793&gt;S792,VLOOKUP(D783,S792:T796,2),IF(S794&gt;S793,VLOOKUP(D783,S793:T796,2),IF(S795&gt;S794,VLOOKUP(D783,S794:T796,2),IF(S796&gt;S795,VLOOKUP(D783,S795:T796,2),T796))))</f>
        <v>3.9086399999999992</v>
      </c>
    </row>
    <row r="798" spans="2:20" x14ac:dyDescent="0.2">
      <c r="B798" s="6" t="s">
        <v>112</v>
      </c>
      <c r="E798" s="21">
        <f>F35-E797</f>
        <v>2.5261999999999998</v>
      </c>
      <c r="F798" s="27" t="str">
        <f>IF(E798&gt;=1,"m &gt; 1 m  Curtailment should be made."," m &lt; 1 m   Curtailment should not be made.")</f>
        <v>m &gt; 1 m  Curtailment should be made.</v>
      </c>
      <c r="M798" s="127"/>
      <c r="N798" s="25">
        <f>IF(M793&gt;M792,VLOOKUP(D783,M792:N797,2),IF(M794&gt;M793,VLOOKUP(D783,M793:N797,2),IF(M795&gt;M794,VLOOKUP(D783,M794:N797,2),IF(M796&gt;M795,VLOOKUP(D783,M795:N797,2),IF(M797&gt;M796,VLOOKUP(D783,M796:N797,2),N797)))))</f>
        <v>3.0599999999999996</v>
      </c>
      <c r="O798" s="127"/>
    </row>
    <row r="799" spans="2:20" x14ac:dyDescent="0.2">
      <c r="O799" s="127"/>
    </row>
    <row r="800" spans="2:20" x14ac:dyDescent="0.2">
      <c r="B800" s="47" t="s">
        <v>87</v>
      </c>
      <c r="M800" s="6" t="s">
        <v>152</v>
      </c>
      <c r="O800" s="128" t="s">
        <v>153</v>
      </c>
      <c r="Q800" s="6" t="s">
        <v>154</v>
      </c>
      <c r="S800" s="6" t="s">
        <v>155</v>
      </c>
    </row>
    <row r="801" spans="1:20" x14ac:dyDescent="0.2">
      <c r="B801" s="6" t="s">
        <v>297</v>
      </c>
      <c r="F801" s="30">
        <f>F772/4</f>
        <v>597.25221678829894</v>
      </c>
      <c r="G801" s="6" t="s">
        <v>78</v>
      </c>
      <c r="M801" s="6" t="s">
        <v>157</v>
      </c>
      <c r="O801" s="128" t="s">
        <v>157</v>
      </c>
      <c r="Q801" s="6" t="s">
        <v>157</v>
      </c>
      <c r="S801" s="6" t="s">
        <v>157</v>
      </c>
    </row>
    <row r="802" spans="1:20" x14ac:dyDescent="0.2">
      <c r="B802" s="27" t="str">
        <f>IF(F801&gt;=F773,"Ast(moment) &gt; Ast(shrinkage)","Ast(moment) &lt; Ast(shrinkage)")</f>
        <v>Ast(moment) &gt; Ast(shrinkage)</v>
      </c>
      <c r="F802" s="2" t="s">
        <v>114</v>
      </c>
      <c r="G802" s="50"/>
      <c r="H802" s="51">
        <f>IF(OR(E798&lt;1,F801&lt;F773),F35/2,E797)</f>
        <v>2.5737999999999999</v>
      </c>
      <c r="I802" s="2" t="s">
        <v>115</v>
      </c>
      <c r="M802" s="27">
        <f>E795*N802^3-G794*N802</f>
        <v>0</v>
      </c>
      <c r="N802" s="25">
        <v>0</v>
      </c>
      <c r="O802" s="44">
        <f>E795*P802^3-G794*P802</f>
        <v>-8.204779239090243E-3</v>
      </c>
      <c r="P802" s="25">
        <f>N808</f>
        <v>2.04</v>
      </c>
      <c r="Q802" s="27">
        <f>E795*R802^3-G794*R802</f>
        <v>19.663600851451402</v>
      </c>
      <c r="R802" s="25">
        <f>P807</f>
        <v>2.8559999999999999</v>
      </c>
      <c r="S802" s="27">
        <f>E795*T802^3-G794*T802</f>
        <v>22.620157245223297</v>
      </c>
      <c r="T802" s="25">
        <f>R807</f>
        <v>2.9375999999999998</v>
      </c>
    </row>
    <row r="803" spans="1:20" x14ac:dyDescent="0.2">
      <c r="B803" s="27"/>
      <c r="F803" s="2"/>
      <c r="G803" s="50"/>
      <c r="H803" s="51"/>
      <c r="I803" s="2"/>
      <c r="M803" s="44">
        <f>E795*N803^3-G794*N803</f>
        <v>-5.4938031547942474</v>
      </c>
      <c r="N803" s="25">
        <f>0.2*F35</f>
        <v>1.02</v>
      </c>
      <c r="O803" s="44">
        <f>E795*P803^3-G794*P803</f>
        <v>3.3726304141846235</v>
      </c>
      <c r="P803" s="25">
        <f>N808+0.04*F35</f>
        <v>2.2440000000000002</v>
      </c>
      <c r="Q803" s="27">
        <f>E795*R803^3-G794*R803</f>
        <v>21.116933848060395</v>
      </c>
      <c r="R803" s="25">
        <f>P807+0.008*F35</f>
        <v>2.8967999999999998</v>
      </c>
      <c r="S803" s="27">
        <f>E795*T803^3-G794*T803</f>
        <v>22.926850608711774</v>
      </c>
      <c r="T803" s="25">
        <f>R807+0.0016*F35</f>
        <v>2.9457599999999999</v>
      </c>
    </row>
    <row r="804" spans="1:20" x14ac:dyDescent="0.2">
      <c r="B804" s="27"/>
      <c r="F804" s="2"/>
      <c r="G804" s="50"/>
      <c r="H804" s="51"/>
      <c r="I804" s="2"/>
      <c r="M804" s="44">
        <f>E795*N804^3-G794*N804</f>
        <v>-8.204779239090243E-3</v>
      </c>
      <c r="N804" s="25">
        <f>0.4*F35</f>
        <v>2.04</v>
      </c>
      <c r="O804" s="44">
        <f>E795*P804^3-G794*P804</f>
        <v>7.7196529422790725</v>
      </c>
      <c r="P804" s="25">
        <f>N808+0.08*F35</f>
        <v>2.448</v>
      </c>
      <c r="Q804" s="27">
        <f>E795*R804^3-G794*R804</f>
        <v>22.620157245223297</v>
      </c>
      <c r="R804" s="25">
        <f>P807+0.016*F35</f>
        <v>2.9375999999999998</v>
      </c>
      <c r="S804" s="27">
        <f>E795*T804^3-G794*T804</f>
        <v>23.235573316943881</v>
      </c>
      <c r="T804" s="25">
        <f>R807+0.0032*F35</f>
        <v>2.9539199999999997</v>
      </c>
    </row>
    <row r="805" spans="1:20" x14ac:dyDescent="0.2">
      <c r="M805" s="44">
        <f>E795*N805^3-G794*N805</f>
        <v>27.436196657014865</v>
      </c>
      <c r="N805" s="25">
        <f>0.6*F35</f>
        <v>3.0599999999999996</v>
      </c>
      <c r="O805" s="44">
        <f>E795*P805^3-G794*P805</f>
        <v>13.120698017287076</v>
      </c>
      <c r="P805" s="25">
        <f>N808+0.12*F35</f>
        <v>2.6520000000000001</v>
      </c>
      <c r="Q805" s="27">
        <f>E795*R805^3-G794*R805</f>
        <v>24.173973724638042</v>
      </c>
      <c r="R805" s="25">
        <f>P807+0.024*F35</f>
        <v>2.9783999999999997</v>
      </c>
      <c r="S805" s="27">
        <f>E795*T805^3-G794*T805</f>
        <v>23.546330991373264</v>
      </c>
      <c r="T805" s="25">
        <f>R807+0.0048*F35</f>
        <v>2.9620799999999998</v>
      </c>
    </row>
    <row r="806" spans="1:20" x14ac:dyDescent="0.2">
      <c r="A806" s="57" t="s">
        <v>183</v>
      </c>
      <c r="M806" s="44">
        <f>E795*N806^3-G794*N806</f>
        <v>87.818802684317063</v>
      </c>
      <c r="N806" s="25">
        <f>0.8*F35</f>
        <v>4.08</v>
      </c>
      <c r="O806" s="44">
        <f>E795*P806^3-G794*P806</f>
        <v>19.663600851451402</v>
      </c>
      <c r="P806" s="25">
        <f>N808+0.16*F35</f>
        <v>2.8559999999999999</v>
      </c>
      <c r="Q806" s="27">
        <f>E795*R806^3-G794*R806</f>
        <v>25.779085968002583</v>
      </c>
      <c r="R806" s="25">
        <f>P807+0.032*F35</f>
        <v>3.0191999999999997</v>
      </c>
      <c r="S806" s="27">
        <f>E795*T806^3-G794*T806</f>
        <v>23.859129253453439</v>
      </c>
      <c r="T806" s="25">
        <f>R807+0.0064*F35</f>
        <v>2.9702399999999995</v>
      </c>
    </row>
    <row r="807" spans="1:20" x14ac:dyDescent="0.2">
      <c r="M807" s="44">
        <f>E795*N807^3-G794*N807</f>
        <v>192.11901483301685</v>
      </c>
      <c r="N807" s="25">
        <f>F35</f>
        <v>5.0999999999999996</v>
      </c>
      <c r="P807" s="25">
        <f>IF(O803&gt;O802,VLOOKUP(E794,O802:P806,2),IF(O804&gt;O803,VLOOKUP(E794,O803:P806,2),IF(O805&gt;O804,VLOOKUP(E794,O804:P806,2),IF(O806&gt;O805,VLOOKUP(E794,O805:P806,2),P806))))</f>
        <v>2.8559999999999999</v>
      </c>
      <c r="R807" s="25">
        <f>IF(Q803&gt;Q802,VLOOKUP(E794,Q802:R806,2),IF(Q804&gt;Q803,VLOOKUP(E794,Q803:R806,2),IF(Q805&gt;Q804,VLOOKUP(E794,Q804:R806,2),IF(Q806&gt;Q805,VLOOKUP(E794,Q805:R806,2),R806))))</f>
        <v>2.9375999999999998</v>
      </c>
      <c r="T807" s="25">
        <f>IF(S803&gt;S802,VLOOKUP(E794,S802:T806,2),IF(S804&gt;S803,VLOOKUP(E794,S803:T806,2),IF(S805&gt;S804,VLOOKUP(E794,S804:T806,2),IF(S806&gt;S805,VLOOKUP(E794,S805:T806,2),T806))))</f>
        <v>2.9539199999999997</v>
      </c>
    </row>
    <row r="808" spans="1:20" x14ac:dyDescent="0.2">
      <c r="A808" s="47" t="s">
        <v>54</v>
      </c>
      <c r="M808" s="127"/>
      <c r="N808" s="25">
        <f>IF(M803&gt;M802,VLOOKUP(E794,M802:N807,2),IF(M804&gt;M803,VLOOKUP(E794,M803:N807,2),IF(M805&gt;M804,VLOOKUP(E794,M804:N807,2),IF(M806&gt;M805,VLOOKUP(E794,M805:N807,2),IF(M807&gt;M806,VLOOKUP(E794,M806:N807,2),N807)))))</f>
        <v>2.04</v>
      </c>
    </row>
    <row r="809" spans="1:20" x14ac:dyDescent="0.2">
      <c r="B809" s="6" t="s">
        <v>163</v>
      </c>
      <c r="F809" s="21">
        <f>(D35+E35)/2000*F35*$H$43+(E35-D35)/2000*F35*$H$44</f>
        <v>74.664000000000001</v>
      </c>
      <c r="G809" s="6" t="s">
        <v>57</v>
      </c>
    </row>
    <row r="810" spans="1:20" x14ac:dyDescent="0.2">
      <c r="B810" s="6" t="s">
        <v>164</v>
      </c>
      <c r="F810" s="21">
        <f>2*F809/J35</f>
        <v>26.429734513274337</v>
      </c>
      <c r="G810" s="6" t="s">
        <v>120</v>
      </c>
    </row>
    <row r="811" spans="1:20" x14ac:dyDescent="0.2">
      <c r="B811" s="6" t="s">
        <v>165</v>
      </c>
      <c r="E811" s="21">
        <f>$H$46*I35^3/6*$H$44</f>
        <v>279.1363589192469</v>
      </c>
      <c r="F811" s="6" t="s">
        <v>58</v>
      </c>
    </row>
    <row r="812" spans="1:20" x14ac:dyDescent="0.2">
      <c r="B812" s="6" t="s">
        <v>166</v>
      </c>
      <c r="H812" s="21">
        <f>((E35-D35)*F35/2*(2/3*D35+E35/3)+D35*F35*D35/2)/((D35+E35)/2*F35)/1000</f>
        <v>0.24824561403508771</v>
      </c>
      <c r="I812" s="6" t="s">
        <v>24</v>
      </c>
    </row>
    <row r="813" spans="1:20" x14ac:dyDescent="0.2">
      <c r="B813" s="6" t="s">
        <v>167</v>
      </c>
      <c r="F813" s="21">
        <f>E811-F809*H812+F810*H812^2/2</f>
        <v>261.41572628129433</v>
      </c>
      <c r="G813" s="6" t="s">
        <v>58</v>
      </c>
    </row>
    <row r="814" spans="1:20" x14ac:dyDescent="0.2">
      <c r="B814" s="6" t="s">
        <v>168</v>
      </c>
      <c r="F814" s="21">
        <f>E811-F809*(H35/2+H812)+F810*J35^2/8</f>
        <v>179.40424839293115</v>
      </c>
      <c r="G814" s="6" t="s">
        <v>58</v>
      </c>
    </row>
    <row r="816" spans="1:20" x14ac:dyDescent="0.2">
      <c r="B816" s="6" t="s">
        <v>169</v>
      </c>
      <c r="E816" s="21">
        <f>IF(F814&gt;0,F814, 0)</f>
        <v>179.40424839293115</v>
      </c>
      <c r="F816" s="6" t="s">
        <v>58</v>
      </c>
      <c r="G816" s="27" t="str">
        <f>IF(F814&gt;0,"(Moment at Midspan produces Bottom Tension)","")</f>
        <v>(Moment at Midspan produces Bottom Tension)</v>
      </c>
    </row>
    <row r="817" spans="1:9" x14ac:dyDescent="0.2">
      <c r="B817" s="6" t="s">
        <v>170</v>
      </c>
      <c r="E817" s="707">
        <f>F813</f>
        <v>261.41572628129433</v>
      </c>
      <c r="F817" s="6" t="s">
        <v>57</v>
      </c>
    </row>
    <row r="818" spans="1:9" x14ac:dyDescent="0.2">
      <c r="B818" s="6" t="s">
        <v>171</v>
      </c>
      <c r="E818" s="21">
        <f>F809</f>
        <v>74.664000000000001</v>
      </c>
      <c r="F818" s="6" t="s">
        <v>58</v>
      </c>
    </row>
    <row r="820" spans="1:9" x14ac:dyDescent="0.2">
      <c r="A820" s="47" t="s">
        <v>59</v>
      </c>
    </row>
    <row r="821" spans="1:9" x14ac:dyDescent="0.2">
      <c r="B821" s="6" t="s">
        <v>60</v>
      </c>
      <c r="E821" s="30">
        <f>SQRT(MAX(E816:E817)/$G$69)*1000</f>
        <v>456.76344047679549</v>
      </c>
      <c r="F821" s="6" t="s">
        <v>43</v>
      </c>
    </row>
    <row r="822" spans="1:9" x14ac:dyDescent="0.2">
      <c r="B822" s="6" t="s">
        <v>61</v>
      </c>
      <c r="E822" s="30">
        <f>E818/$H$54*1000</f>
        <v>174.18151740815054</v>
      </c>
      <c r="F822" s="6" t="s">
        <v>43</v>
      </c>
    </row>
    <row r="824" spans="1:9" x14ac:dyDescent="0.2">
      <c r="B824" s="6" t="s">
        <v>138</v>
      </c>
      <c r="E824" s="30">
        <f>MAX(E821:E822)+$H$62</f>
        <v>531.76344047679549</v>
      </c>
      <c r="F824" s="6" t="s">
        <v>43</v>
      </c>
    </row>
    <row r="825" spans="1:9" x14ac:dyDescent="0.2">
      <c r="B825" s="6" t="s">
        <v>139</v>
      </c>
      <c r="E825" s="30">
        <f>$G$35</f>
        <v>700</v>
      </c>
      <c r="F825" s="6" t="s">
        <v>43</v>
      </c>
    </row>
    <row r="826" spans="1:9" x14ac:dyDescent="0.2">
      <c r="B826" s="27" t="str">
        <f>IF(E825&gt;=E824,"ta  &gt;  tr     Design is OK.","ta  &lt;  tr     Design is Not OK.")</f>
        <v>ta  &gt;  tr     Design is OK.</v>
      </c>
      <c r="G826" s="6" t="s">
        <v>64</v>
      </c>
    </row>
    <row r="827" spans="1:9" x14ac:dyDescent="0.2">
      <c r="B827" s="27" t="str">
        <f>IF(E825&gt;1.5*E824,"WARNING:  Actual Member Thickness is considerably larger (&gt;50%) than required.","")</f>
        <v/>
      </c>
    </row>
    <row r="828" spans="1:9" x14ac:dyDescent="0.2">
      <c r="A828" s="47" t="s">
        <v>123</v>
      </c>
    </row>
    <row r="829" spans="1:9" x14ac:dyDescent="0.2">
      <c r="B829" s="6" t="s">
        <v>124</v>
      </c>
      <c r="F829" s="21">
        <f>MAX($C$31:$C$36)</f>
        <v>16.2</v>
      </c>
      <c r="G829" s="6" t="s">
        <v>24</v>
      </c>
    </row>
    <row r="830" spans="1:9" x14ac:dyDescent="0.2">
      <c r="B830" s="6" t="s">
        <v>141</v>
      </c>
      <c r="H830" s="30">
        <f>IF(AND(F829&lt;=9,E825&lt;380),$C$150*E825*1000,IF(F829&lt;=9,$C$150*380000,IF(E825&lt;380,$C$151*E825*1000,$C$151*380000)))</f>
        <v>950</v>
      </c>
      <c r="I830" s="6" t="s">
        <v>78</v>
      </c>
    </row>
    <row r="831" spans="1:9" x14ac:dyDescent="0.2">
      <c r="B831" s="6" t="s">
        <v>79</v>
      </c>
      <c r="C831" s="30">
        <f>IF(D1026=0,O839,D1026)</f>
        <v>16</v>
      </c>
      <c r="D831" s="6" t="s">
        <v>71</v>
      </c>
      <c r="E831" s="30">
        <f>IF(D1026=0,IF(Q839&gt;300,300,Q839),E1026)</f>
        <v>200</v>
      </c>
      <c r="F831" s="6" t="s">
        <v>80</v>
      </c>
      <c r="H831" s="30">
        <f>785.4*C831^2/E831</f>
        <v>1005.312</v>
      </c>
      <c r="I831" s="6" t="s">
        <v>81</v>
      </c>
    </row>
    <row r="832" spans="1:9" x14ac:dyDescent="0.2">
      <c r="B832" s="6" t="s">
        <v>142</v>
      </c>
      <c r="H832" s="30">
        <f>IF(AND(F829&lt;=9,E825&lt;380),$D$150*E825*1000,IF(F829&lt;=9,$D$150*380000,IF(E825&lt;380,$D$151*E825*1000,$D$151*380000)))</f>
        <v>570</v>
      </c>
      <c r="I832" s="6" t="s">
        <v>78</v>
      </c>
    </row>
    <row r="833" spans="1:19" x14ac:dyDescent="0.2">
      <c r="B833" s="6" t="s">
        <v>79</v>
      </c>
      <c r="C833" s="30">
        <v>16</v>
      </c>
      <c r="D833" s="6" t="s">
        <v>71</v>
      </c>
      <c r="E833" s="30">
        <v>250</v>
      </c>
      <c r="F833" s="6" t="s">
        <v>80</v>
      </c>
      <c r="H833" s="30">
        <f>785.4*C833^2/E833</f>
        <v>804.24959999999999</v>
      </c>
      <c r="I833" s="6" t="s">
        <v>81</v>
      </c>
    </row>
    <row r="835" spans="1:19" x14ac:dyDescent="0.2">
      <c r="A835" s="47" t="s">
        <v>125</v>
      </c>
      <c r="M835" s="6" t="s">
        <v>66</v>
      </c>
      <c r="O835" s="30">
        <v>12</v>
      </c>
      <c r="P835" s="30">
        <v>16</v>
      </c>
      <c r="Q835" s="30">
        <v>20</v>
      </c>
      <c r="R835" s="30">
        <v>22</v>
      </c>
      <c r="S835" s="30">
        <v>25</v>
      </c>
    </row>
    <row r="836" spans="1:19" x14ac:dyDescent="0.2">
      <c r="B836" s="6" t="s">
        <v>161</v>
      </c>
      <c r="F836" s="30">
        <f>E816/$H$51/$G$68/(E825-$H$62)*1000000000</f>
        <v>1723.8555900889369</v>
      </c>
      <c r="G836" s="6" t="s">
        <v>78</v>
      </c>
      <c r="M836" s="6" t="s">
        <v>67</v>
      </c>
      <c r="O836" s="30">
        <f>IF(H830=0,100000000,TRUNC(785.4*O835^2/H830/25)*25)</f>
        <v>100</v>
      </c>
      <c r="P836" s="30">
        <f>IF(H830=0,100000000,TRUNC(785.4*P835^2/H830/25)*25)</f>
        <v>200</v>
      </c>
      <c r="Q836" s="30">
        <f>IF(H830=0,100000000,TRUNC(785.4*Q835^2/H830/25)*25)</f>
        <v>325</v>
      </c>
      <c r="R836" s="30">
        <f>IF(H830=0,100000000,TRUNC(785.4*R835^2/H830/25)*25)</f>
        <v>400</v>
      </c>
      <c r="S836" s="30">
        <f>IF(H830=0,100000000,TRUNC(785.4*S835^2/H830/25)*25)</f>
        <v>500</v>
      </c>
    </row>
    <row r="837" spans="1:19" x14ac:dyDescent="0.2">
      <c r="B837" s="6" t="s">
        <v>172</v>
      </c>
      <c r="F837" s="21">
        <f>H35+E35/500</f>
        <v>6.3</v>
      </c>
      <c r="G837" s="6" t="s">
        <v>24</v>
      </c>
      <c r="M837" s="6" t="s">
        <v>68</v>
      </c>
      <c r="O837" s="30">
        <f>785.4*O835^2/O836</f>
        <v>1130.9759999999999</v>
      </c>
      <c r="P837" s="30">
        <f>785.4*P835^2/P836</f>
        <v>1005.312</v>
      </c>
      <c r="Q837" s="30">
        <f>785.4*Q835^2/Q836</f>
        <v>966.64615384615388</v>
      </c>
      <c r="R837" s="30">
        <f>785.4*R835^2/R836</f>
        <v>950.33399999999995</v>
      </c>
      <c r="S837" s="30">
        <f>785.4*S835^2/S836</f>
        <v>981.75</v>
      </c>
    </row>
    <row r="838" spans="1:19" x14ac:dyDescent="0.2">
      <c r="B838" s="6" t="s">
        <v>113</v>
      </c>
      <c r="F838" s="30">
        <f>IF(AND(F837&lt;=9,E825&lt;380),$C$150*E825*1000,IF(F837&lt;=9,$C$150*380000,IF(E825&lt;380,$C$151*E825*1000,$C$151*380000)))</f>
        <v>760</v>
      </c>
      <c r="G838" s="6" t="s">
        <v>78</v>
      </c>
      <c r="M838" s="6" t="s">
        <v>69</v>
      </c>
      <c r="O838" s="30">
        <f>IF(OR(O836&gt;300,O836&lt;100),100000000,O837-H830)</f>
        <v>180.97599999999989</v>
      </c>
      <c r="P838" s="30">
        <f>IF(OR(P836&gt;300,P836&lt;100),100000001,P837-H830)</f>
        <v>55.312000000000012</v>
      </c>
      <c r="Q838" s="30">
        <f>IF(OR(Q836&gt;300,Q836&lt;100),100000001,Q837-H830)</f>
        <v>100000001</v>
      </c>
      <c r="R838" s="30">
        <f>IF(OR(R836&gt;300,R836&lt;100),100000001,R837-H830)</f>
        <v>100000001</v>
      </c>
      <c r="S838" s="30">
        <f>IF(OR(S836&gt;300,S836&lt;100),100000001,S837-H830)</f>
        <v>100000001</v>
      </c>
    </row>
    <row r="839" spans="1:19" x14ac:dyDescent="0.2">
      <c r="B839" s="6" t="s">
        <v>88</v>
      </c>
      <c r="H839" s="30">
        <f>MAX(F836,F838)</f>
        <v>1723.8555900889369</v>
      </c>
      <c r="I839" s="6" t="s">
        <v>78</v>
      </c>
      <c r="M839" s="6" t="s">
        <v>70</v>
      </c>
      <c r="O839" s="30">
        <f>IF(S836&lt;100,25,IF(MIN(O838:S838)=O838,12,IF(MIN(O838:S838)=P838,16,IF(MIN(O838:S838)=Q838,20,IF(MIN(O838:S838)=R838,22,IF(MIN(O838:S838)=S838,25,0))))))</f>
        <v>16</v>
      </c>
      <c r="P839" s="6" t="s">
        <v>71</v>
      </c>
      <c r="Q839" s="30">
        <f>IF(O839=12,O836,IF(O839=16,P836,IF(O839=20,Q836,IF(O839=22,R836,IF(O839=25,S836,0)))))</f>
        <v>200</v>
      </c>
      <c r="R839" s="6" t="s">
        <v>72</v>
      </c>
    </row>
    <row r="840" spans="1:19" x14ac:dyDescent="0.2">
      <c r="B840" s="697" t="s">
        <v>79</v>
      </c>
      <c r="C840" s="343">
        <v>16</v>
      </c>
      <c r="D840" s="697" t="s">
        <v>71</v>
      </c>
      <c r="E840" s="343">
        <v>200</v>
      </c>
      <c r="F840" s="697" t="s">
        <v>80</v>
      </c>
      <c r="G840" s="357"/>
      <c r="H840" s="343">
        <f>785.4*C840^2/E840</f>
        <v>1005.312</v>
      </c>
      <c r="I840" s="697" t="s">
        <v>81</v>
      </c>
      <c r="J840" s="357"/>
      <c r="K840" s="357"/>
    </row>
    <row r="842" spans="1:19" x14ac:dyDescent="0.2">
      <c r="A842" s="47" t="s">
        <v>126</v>
      </c>
    </row>
    <row r="843" spans="1:19" x14ac:dyDescent="0.2">
      <c r="B843" s="6" t="s">
        <v>161</v>
      </c>
      <c r="F843" s="30">
        <f>E817/$H$51/$G$68/(E825-$H$62)*1000000000</f>
        <v>2511.8856722956225</v>
      </c>
      <c r="G843" s="6" t="s">
        <v>78</v>
      </c>
      <c r="M843" s="6" t="s">
        <v>66</v>
      </c>
      <c r="O843" s="30">
        <v>12</v>
      </c>
      <c r="P843" s="30">
        <v>16</v>
      </c>
      <c r="Q843" s="30">
        <v>20</v>
      </c>
      <c r="R843" s="30">
        <v>22</v>
      </c>
      <c r="S843" s="30">
        <v>25</v>
      </c>
    </row>
    <row r="844" spans="1:19" x14ac:dyDescent="0.2">
      <c r="B844" s="6" t="s">
        <v>113</v>
      </c>
      <c r="F844" s="30">
        <f>IF(AND(F837&lt;=9,E825&lt;380),$D$150*E825*1000,IF(F837&lt;=9,$D$150*380000,IF(E825&lt;380,$D$151*E825*1000,$D$151*380000)))</f>
        <v>380</v>
      </c>
      <c r="G844" s="6" t="s">
        <v>78</v>
      </c>
      <c r="M844" s="697" t="s">
        <v>2450</v>
      </c>
      <c r="O844" s="30">
        <f>IF(H832=0,100000000,TRUNC(785.4*O843^2/H832/25)*25)</f>
        <v>175</v>
      </c>
      <c r="P844" s="30">
        <f>IF(H832=0,100000000,TRUNC(785.4*P843^2/H832/25)*25)</f>
        <v>350</v>
      </c>
      <c r="Q844" s="30">
        <f>IF(H832=0,100000000,TRUNC(785.4*Q843^2/H832/25)*25)</f>
        <v>550</v>
      </c>
      <c r="R844" s="30">
        <f>IF(H832=0,100000000,TRUNC(785.4*R843^2/H832/25)*25)</f>
        <v>650</v>
      </c>
      <c r="S844" s="30">
        <f>IF(H832=0,100000000,TRUNC(785.4*S843^2/H832/25)*25)</f>
        <v>850</v>
      </c>
    </row>
    <row r="845" spans="1:19" x14ac:dyDescent="0.2">
      <c r="B845" s="6" t="s">
        <v>88</v>
      </c>
      <c r="H845" s="30">
        <f>MAX(F843:F844)</f>
        <v>2511.8856722956225</v>
      </c>
      <c r="I845" s="6" t="s">
        <v>89</v>
      </c>
      <c r="M845" s="697" t="s">
        <v>68</v>
      </c>
      <c r="O845" s="30">
        <f>785.4*O843^2/O844</f>
        <v>646.27199999999993</v>
      </c>
      <c r="P845" s="30">
        <f>785.4*P843^2/P844</f>
        <v>574.46399999999994</v>
      </c>
      <c r="Q845" s="30">
        <f>785.4*Q843^2/Q844</f>
        <v>571.20000000000005</v>
      </c>
      <c r="R845" s="30">
        <f>785.4*R843^2/R844</f>
        <v>584.82092307692301</v>
      </c>
      <c r="S845" s="30">
        <f>785.4*S843^2/S844</f>
        <v>577.5</v>
      </c>
    </row>
    <row r="846" spans="1:19" x14ac:dyDescent="0.2">
      <c r="B846" s="509" t="s">
        <v>79</v>
      </c>
      <c r="C846" s="510">
        <v>20</v>
      </c>
      <c r="D846" s="509" t="s">
        <v>71</v>
      </c>
      <c r="E846" s="510">
        <v>125</v>
      </c>
      <c r="F846" s="509" t="s">
        <v>80</v>
      </c>
      <c r="G846" s="511"/>
      <c r="H846" s="510">
        <f>785.4*C846^2/E846</f>
        <v>2513.2800000000002</v>
      </c>
      <c r="I846" s="509" t="s">
        <v>81</v>
      </c>
      <c r="J846" s="511"/>
      <c r="K846" s="674"/>
      <c r="M846" s="6" t="s">
        <v>69</v>
      </c>
      <c r="O846" s="30">
        <f>IF(OR(O844&gt;300,O844&lt;100),100000000,O845-H832)</f>
        <v>76.271999999999935</v>
      </c>
      <c r="P846" s="30">
        <f>IF(OR(P844&gt;300,P844&lt;100),100000001,P845-H832)</f>
        <v>100000001</v>
      </c>
      <c r="Q846" s="30">
        <f>IF(OR(Q844&gt;300,Q844&lt;100),100000001,Q845-H832)</f>
        <v>100000001</v>
      </c>
      <c r="R846" s="30">
        <f>IF(OR(R844&gt;300,R844&lt;100),100000001,R845-H832)</f>
        <v>100000001</v>
      </c>
      <c r="S846" s="30">
        <f>IF(OR(S844&gt;300,S844&lt;100),100000001,S845-H832)</f>
        <v>100000001</v>
      </c>
    </row>
    <row r="847" spans="1:19" x14ac:dyDescent="0.2">
      <c r="M847" s="6" t="s">
        <v>70</v>
      </c>
      <c r="O847" s="30">
        <f>IF(S844&lt;100,25,IF(MIN(O846:S846)=O846,12,IF(MIN(O846:S846)=P846,16,IF(MIN(O846:S846)=Q846,20,IF(MIN(O846:S846)=R846,22,IF(MIN(O846:S846)=S846,25,0))))))</f>
        <v>12</v>
      </c>
      <c r="P847" s="6" t="s">
        <v>71</v>
      </c>
      <c r="Q847" s="30">
        <f>IF(O847=12,O844,IF(O847=16,P844,IF(O847=20,Q844,IF(O847=22,R844,IF(O847=25,S844,0)))))</f>
        <v>175</v>
      </c>
      <c r="R847" s="6" t="s">
        <v>72</v>
      </c>
    </row>
    <row r="848" spans="1:19" x14ac:dyDescent="0.2">
      <c r="A848" s="47" t="s">
        <v>93</v>
      </c>
    </row>
    <row r="849" spans="2:19" x14ac:dyDescent="0.2">
      <c r="B849" s="47" t="s">
        <v>94</v>
      </c>
    </row>
    <row r="850" spans="2:19" x14ac:dyDescent="0.2">
      <c r="B850" s="6" t="s">
        <v>173</v>
      </c>
      <c r="F850" s="43">
        <f>E811/2</f>
        <v>139.56817945962345</v>
      </c>
      <c r="G850" s="6" t="s">
        <v>111</v>
      </c>
      <c r="H850" s="27">
        <f>F809</f>
        <v>74.664000000000001</v>
      </c>
      <c r="I850" s="6" t="s">
        <v>174</v>
      </c>
      <c r="J850" s="27">
        <f>F810/2</f>
        <v>13.214867256637168</v>
      </c>
      <c r="K850" s="6" t="s">
        <v>129</v>
      </c>
    </row>
    <row r="851" spans="2:19" x14ac:dyDescent="0.2">
      <c r="B851" s="6" t="s">
        <v>175</v>
      </c>
      <c r="H851" s="58" t="str">
        <f>IF(F852=J35/2,"There is no solution to the quadratic equation.","")</f>
        <v>There is no solution to the quadratic equation.</v>
      </c>
      <c r="M851" s="6" t="s">
        <v>66</v>
      </c>
      <c r="O851" s="30">
        <v>12</v>
      </c>
      <c r="P851" s="30">
        <v>16</v>
      </c>
      <c r="Q851" s="30">
        <v>20</v>
      </c>
      <c r="R851" s="30">
        <v>22</v>
      </c>
      <c r="S851" s="30">
        <v>25</v>
      </c>
    </row>
    <row r="852" spans="2:19" x14ac:dyDescent="0.2">
      <c r="B852" s="6" t="s">
        <v>176</v>
      </c>
      <c r="F852" s="21">
        <f>IF(H850^2-4*J850*F850&lt;0,J35/2,(H850-SQRT(H850^2-4*J850*F850))/2/J850)</f>
        <v>2.8250000000000002</v>
      </c>
      <c r="G852" s="6" t="s">
        <v>24</v>
      </c>
      <c r="H852" s="58" t="str">
        <f>IF(F852=J35/2,"No curtailment should be made:   d  =  B'/2","")</f>
        <v>No curtailment should be made:   d  =  B'/2</v>
      </c>
      <c r="M852" s="6" t="s">
        <v>67</v>
      </c>
      <c r="O852" s="30">
        <f>IF(H839=0,100000000,TRUNC(785.4*O851^2/H839/25)*25)</f>
        <v>50</v>
      </c>
      <c r="P852" s="30">
        <f>IF(H839=0,100000000,TRUNC(785.4*P851^2/H839/25)*25)</f>
        <v>100</v>
      </c>
      <c r="Q852" s="30">
        <f>IF(H839=0,100000000,TRUNC(785.4*Q851^2/H839/25)*25)</f>
        <v>175</v>
      </c>
      <c r="R852" s="30">
        <f>IF(H839=0,100000000,TRUNC(785.4*R851^2/H839/25)*25)</f>
        <v>200</v>
      </c>
      <c r="S852" s="30">
        <f>IF(H839=0,100000000,TRUNC(785.4*S851^2/H839/25)*25)</f>
        <v>275</v>
      </c>
    </row>
    <row r="853" spans="2:19" x14ac:dyDescent="0.2">
      <c r="M853" s="6" t="s">
        <v>68</v>
      </c>
      <c r="O853" s="30">
        <f>785.4*O851^2/O852</f>
        <v>2261.9519999999998</v>
      </c>
      <c r="P853" s="30">
        <f>785.4*P851^2/P852</f>
        <v>2010.624</v>
      </c>
      <c r="Q853" s="30">
        <f>785.4*Q851^2/Q852</f>
        <v>1795.2</v>
      </c>
      <c r="R853" s="30">
        <f>785.4*R851^2/R852</f>
        <v>1900.6679999999999</v>
      </c>
      <c r="S853" s="30">
        <f>785.4*S851^2/S852</f>
        <v>1785</v>
      </c>
    </row>
    <row r="854" spans="2:19" x14ac:dyDescent="0.2">
      <c r="B854" s="6" t="s">
        <v>177</v>
      </c>
      <c r="F854" s="21">
        <f>IF(E825-$H$62&gt;12*C846,F852+(-E35/2+E825-$H$62)/1000,F852+(-E35/2+12*C846)/1000)</f>
        <v>3.125</v>
      </c>
      <c r="G854" s="6" t="s">
        <v>24</v>
      </c>
      <c r="M854" s="6" t="s">
        <v>69</v>
      </c>
      <c r="O854" s="30">
        <f>IF(OR(O852&gt;300,O852&lt;100),100000000,O853-H839)</f>
        <v>100000000</v>
      </c>
      <c r="P854" s="30">
        <f>IF(OR(P852&gt;300,P852&lt;100),100000001,P853-H839)</f>
        <v>286.76840991106315</v>
      </c>
      <c r="Q854" s="30">
        <f>IF(OR(Q852&gt;300,Q852&lt;100),100000001,Q853-H839)</f>
        <v>71.344409911063167</v>
      </c>
      <c r="R854" s="30">
        <f>IF(OR(R852&gt;300,R852&lt;100),100000001,R853-H839)</f>
        <v>176.81240991106301</v>
      </c>
      <c r="S854" s="30">
        <f>IF(OR(S852&gt;300,S852&lt;100),100000001,S853-H839)</f>
        <v>61.144409911063121</v>
      </c>
    </row>
    <row r="855" spans="2:19" x14ac:dyDescent="0.2">
      <c r="B855" s="6" t="s">
        <v>133</v>
      </c>
      <c r="F855" s="21">
        <f>H35/2-F854</f>
        <v>-0.625</v>
      </c>
      <c r="G855" s="27" t="str">
        <f>IF(F855&gt;=1,"m &gt; 1 m    Curtailment should be made."," m &lt; 1 m   Curtailment should not be made: x = B/2")</f>
        <v xml:space="preserve"> m &lt; 1 m   Curtailment should not be made: x = B/2</v>
      </c>
      <c r="M855" s="6" t="s">
        <v>70</v>
      </c>
      <c r="O855" s="30">
        <f>IF(S852&lt;100,25,IF(MIN(O854:S854)=O854,12,IF(MIN(O854:S854)=P854,16,IF(MIN(O854:S854)=Q854,20,IF(MIN(O854:S854)=R854,22,IF(MIN(O854:S854)=S854,25,0))))))</f>
        <v>25</v>
      </c>
      <c r="P855" s="6" t="s">
        <v>71</v>
      </c>
      <c r="Q855" s="30">
        <f>IF(O855=12,O852,IF(O855=16,P852,IF(O855=20,Q852,IF(O855=22,R852,IF(O855=25,S852,0)))))</f>
        <v>275</v>
      </c>
      <c r="R855" s="6" t="s">
        <v>72</v>
      </c>
    </row>
    <row r="857" spans="2:19" x14ac:dyDescent="0.2">
      <c r="B857" s="47" t="s">
        <v>87</v>
      </c>
    </row>
    <row r="858" spans="2:19" x14ac:dyDescent="0.2">
      <c r="B858" s="6" t="s">
        <v>161</v>
      </c>
      <c r="F858" s="30">
        <f>F843/2</f>
        <v>1255.9428361478112</v>
      </c>
      <c r="G858" s="6" t="s">
        <v>78</v>
      </c>
    </row>
    <row r="859" spans="2:19" x14ac:dyDescent="0.2">
      <c r="B859" s="27" t="str">
        <f>IF(F858&gt;=F844,"Ast(Moment)  &gt;  Ast(Shrinkage)","Ast(Moment)  &lt;  Ast(Shrinkage)")</f>
        <v>Ast(Moment)  &gt;  Ast(Shrinkage)</v>
      </c>
      <c r="F859" s="2" t="s">
        <v>278</v>
      </c>
      <c r="G859" s="50"/>
      <c r="H859" s="51">
        <f>IF(OR(F855&lt;1,F858&lt;F844),J35/2,F854)</f>
        <v>2.8250000000000002</v>
      </c>
      <c r="I859" s="2" t="s">
        <v>115</v>
      </c>
      <c r="M859" s="6" t="s">
        <v>66</v>
      </c>
      <c r="O859" s="30">
        <v>12</v>
      </c>
      <c r="P859" s="30">
        <v>16</v>
      </c>
      <c r="Q859" s="30">
        <v>20</v>
      </c>
      <c r="R859" s="30">
        <v>22</v>
      </c>
      <c r="S859" s="30">
        <v>25</v>
      </c>
    </row>
    <row r="860" spans="2:19" x14ac:dyDescent="0.2">
      <c r="M860" s="6" t="s">
        <v>67</v>
      </c>
      <c r="O860" s="30">
        <f>IF(H845=0,100000000,TRUNC(785.4*O859^2/H845/25)*25)</f>
        <v>25</v>
      </c>
      <c r="P860" s="30">
        <f>IF(H845=0,100000000,TRUNC(785.4*P859^2/H845/25)*25)</f>
        <v>75</v>
      </c>
      <c r="Q860" s="30">
        <f>IF(H845=0,100000000,TRUNC(785.4*Q859^2/H845/25)*25)</f>
        <v>125</v>
      </c>
      <c r="R860" s="30">
        <f>IF(H845=0,100000000,TRUNC(785.4*R859^2/H845/25)*25)</f>
        <v>150</v>
      </c>
      <c r="S860" s="30">
        <f>IF(H845=0,100000000,TRUNC(785.4*S859^2/H845/25)*25)</f>
        <v>175</v>
      </c>
    </row>
    <row r="861" spans="2:19" x14ac:dyDescent="0.2">
      <c r="B861" s="47" t="s">
        <v>116</v>
      </c>
      <c r="M861" s="6" t="s">
        <v>68</v>
      </c>
      <c r="O861" s="30">
        <f>785.4*O859^2/O860</f>
        <v>4523.9039999999995</v>
      </c>
      <c r="P861" s="30">
        <f>785.4*P859^2/P860</f>
        <v>2680.8319999999999</v>
      </c>
      <c r="Q861" s="30">
        <f>785.4*Q859^2/Q860</f>
        <v>2513.2800000000002</v>
      </c>
      <c r="R861" s="30">
        <f>785.4*R859^2/R860</f>
        <v>2534.2239999999997</v>
      </c>
      <c r="S861" s="30">
        <f>785.4*S859^2/S860</f>
        <v>2805</v>
      </c>
    </row>
    <row r="862" spans="2:19" x14ac:dyDescent="0.2">
      <c r="B862" s="6" t="s">
        <v>173</v>
      </c>
      <c r="F862" s="43">
        <f>3*E811/4</f>
        <v>209.35226918943516</v>
      </c>
      <c r="G862" s="6" t="s">
        <v>111</v>
      </c>
      <c r="H862" s="21">
        <f>F809</f>
        <v>74.664000000000001</v>
      </c>
      <c r="I862" s="45" t="s">
        <v>174</v>
      </c>
      <c r="J862" s="27">
        <f>F810/2</f>
        <v>13.214867256637168</v>
      </c>
      <c r="K862" s="6" t="s">
        <v>129</v>
      </c>
      <c r="M862" s="6" t="s">
        <v>69</v>
      </c>
      <c r="O862" s="30">
        <f>IF(OR(O860&gt;300,O860&lt;100),100000000,O861-H845)</f>
        <v>100000000</v>
      </c>
      <c r="P862" s="30">
        <f>IF(OR(P860&gt;300,P860&lt;100),100000001,P861-H845)</f>
        <v>100000001</v>
      </c>
      <c r="Q862" s="30">
        <f>IF(OR(Q860&gt;300,Q860&lt;100),100000001,Q861-H845)</f>
        <v>1.3943277043777016</v>
      </c>
      <c r="R862" s="30">
        <f>IF(OR(R860&gt;300,R860&lt;100),100000001,R861-H845)</f>
        <v>22.338327704377207</v>
      </c>
      <c r="S862" s="30">
        <f>IF(OR(S860&gt;300,S860&lt;100),100000001,S861-H845)</f>
        <v>293.1143277043775</v>
      </c>
    </row>
    <row r="863" spans="2:19" x14ac:dyDescent="0.2">
      <c r="B863" s="6" t="s">
        <v>175</v>
      </c>
      <c r="H863" s="58" t="str">
        <f>IF(F864=J35/2,"There is no solution to the quadratic equation.","")</f>
        <v>There is no solution to the quadratic equation.</v>
      </c>
      <c r="M863" s="6" t="s">
        <v>70</v>
      </c>
      <c r="O863" s="30">
        <f>IF(S860&lt;100,25,IF(MIN(O862:S862)=O862,12,IF(MIN(O862:S862)=P862,16,IF(MIN(O862:S862)=Q862,20,IF(MIN(O862:S862)=R862,22,IF(MIN(O862:S862)=S862,25,0))))))</f>
        <v>20</v>
      </c>
      <c r="P863" s="6" t="s">
        <v>71</v>
      </c>
      <c r="Q863" s="30">
        <f>IF(O863=12,O860,IF(O863=16,P860,IF(O863=20,Q860,IF(O863=22,R860,IF(O863=25,S860,0)))))</f>
        <v>125</v>
      </c>
      <c r="R863" s="6" t="s">
        <v>72</v>
      </c>
    </row>
    <row r="864" spans="2:19" x14ac:dyDescent="0.2">
      <c r="C864" s="6" t="s">
        <v>176</v>
      </c>
      <c r="F864" s="21">
        <f>IF(H862^2-4*J862*F862&lt;0,J35/2,(H862-SQRT(H862^2-4*J862*F862))/2/J862)</f>
        <v>2.8250000000000002</v>
      </c>
      <c r="G864" s="6" t="s">
        <v>24</v>
      </c>
      <c r="H864" s="58" t="str">
        <f>IF(F864=J35/2,"No curtailment should be made:   d  =  B'/2","")</f>
        <v>No curtailment should be made:   d  =  B'/2</v>
      </c>
    </row>
    <row r="865" spans="2:9" x14ac:dyDescent="0.2">
      <c r="C865" s="6" t="s">
        <v>177</v>
      </c>
      <c r="F865" s="21">
        <f>IF(E825-$H$62&gt;12*C846,F864+(-E35/2+E825-$H$62)/1000,F864+(-E35/2+12*C846)/1000)</f>
        <v>3.125</v>
      </c>
      <c r="G865" s="6" t="s">
        <v>24</v>
      </c>
    </row>
    <row r="866" spans="2:9" x14ac:dyDescent="0.2">
      <c r="C866" s="6" t="s">
        <v>133</v>
      </c>
      <c r="F866" s="21">
        <f>J35/2-F865</f>
        <v>-0.29999999999999982</v>
      </c>
      <c r="G866" s="27" t="str">
        <f>IF(F866&gt;=1,"m &gt; 1 m  Curtailment should be made."," m &lt; 1 m  Curtailment should not be made: x = B/2")</f>
        <v xml:space="preserve"> m &lt; 1 m  Curtailment should not be made: x = B/2</v>
      </c>
    </row>
    <row r="868" spans="2:9" x14ac:dyDescent="0.2">
      <c r="B868" s="6" t="s">
        <v>87</v>
      </c>
    </row>
    <row r="869" spans="2:9" x14ac:dyDescent="0.2">
      <c r="B869" s="6" t="s">
        <v>287</v>
      </c>
      <c r="F869" s="30">
        <f>F843/4</f>
        <v>627.97141807390562</v>
      </c>
      <c r="G869" s="6" t="s">
        <v>78</v>
      </c>
    </row>
    <row r="870" spans="2:9" x14ac:dyDescent="0.2">
      <c r="B870" s="27" t="str">
        <f>IF(F869&gt;=F844,"Ast(moment) &gt; Ast(shrinkage)","Ast(moment) &lt; Ast(shrinkage)")</f>
        <v>Ast(moment) &gt; Ast(shrinkage)</v>
      </c>
      <c r="F870" s="2" t="s">
        <v>278</v>
      </c>
      <c r="G870" s="50"/>
      <c r="H870" s="51">
        <f>IF(OR(F866&lt;1,F869&lt;F844),J35/2,F865)</f>
        <v>2.8250000000000002</v>
      </c>
      <c r="I870" s="2" t="s">
        <v>115</v>
      </c>
    </row>
    <row r="871" spans="2:9" x14ac:dyDescent="0.2">
      <c r="B871" s="27"/>
      <c r="F871" s="2"/>
      <c r="G871" s="50"/>
      <c r="H871" s="51"/>
      <c r="I871" s="2"/>
    </row>
    <row r="872" spans="2:9" x14ac:dyDescent="0.2">
      <c r="B872" s="27"/>
      <c r="F872" s="2"/>
      <c r="G872" s="50"/>
      <c r="H872" s="51"/>
      <c r="I872" s="2"/>
    </row>
    <row r="873" spans="2:9" x14ac:dyDescent="0.2">
      <c r="B873" s="27"/>
      <c r="F873" s="2"/>
      <c r="G873" s="50"/>
      <c r="H873" s="51"/>
      <c r="I873" s="2"/>
    </row>
    <row r="874" spans="2:9" x14ac:dyDescent="0.2">
      <c r="B874" s="27"/>
      <c r="F874" s="2"/>
      <c r="G874" s="50"/>
      <c r="H874" s="51"/>
      <c r="I874" s="2"/>
    </row>
    <row r="875" spans="2:9" x14ac:dyDescent="0.2">
      <c r="B875" s="27"/>
      <c r="F875" s="2"/>
      <c r="G875" s="50"/>
      <c r="H875" s="51"/>
      <c r="I875" s="2"/>
    </row>
    <row r="876" spans="2:9" x14ac:dyDescent="0.2">
      <c r="B876" s="27"/>
      <c r="F876" s="2"/>
      <c r="G876" s="50"/>
      <c r="H876" s="51"/>
      <c r="I876" s="2"/>
    </row>
    <row r="877" spans="2:9" x14ac:dyDescent="0.2">
      <c r="B877" s="27"/>
      <c r="F877" s="2"/>
      <c r="G877" s="50"/>
      <c r="H877" s="51"/>
      <c r="I877" s="2"/>
    </row>
    <row r="878" spans="2:9" x14ac:dyDescent="0.2">
      <c r="B878" s="27"/>
      <c r="F878" s="2"/>
      <c r="G878" s="50"/>
      <c r="H878" s="51"/>
      <c r="I878" s="2"/>
    </row>
    <row r="879" spans="2:9" x14ac:dyDescent="0.2">
      <c r="B879" s="27"/>
      <c r="F879" s="2"/>
      <c r="G879" s="50"/>
      <c r="H879" s="51"/>
      <c r="I879" s="2"/>
    </row>
    <row r="880" spans="2:9" x14ac:dyDescent="0.2">
      <c r="B880" s="27"/>
      <c r="F880" s="2"/>
      <c r="G880" s="50"/>
      <c r="H880" s="51"/>
      <c r="I880" s="2"/>
    </row>
    <row r="881" spans="2:10" x14ac:dyDescent="0.2">
      <c r="B881" s="27"/>
      <c r="F881" s="2"/>
      <c r="G881" s="50"/>
      <c r="H881" s="51"/>
      <c r="I881" s="2"/>
    </row>
    <row r="882" spans="2:10" x14ac:dyDescent="0.2">
      <c r="B882" s="27"/>
      <c r="F882" s="2"/>
      <c r="G882" s="50"/>
      <c r="H882" s="51"/>
      <c r="I882" s="2"/>
    </row>
    <row r="883" spans="2:10" x14ac:dyDescent="0.2">
      <c r="B883" s="27"/>
      <c r="F883" s="2"/>
      <c r="G883" s="50"/>
      <c r="H883" s="51"/>
      <c r="I883" s="2"/>
    </row>
    <row r="884" spans="2:10" x14ac:dyDescent="0.2">
      <c r="B884" s="27"/>
      <c r="F884" s="2"/>
      <c r="G884" s="50"/>
      <c r="H884" s="51"/>
      <c r="I884" s="2"/>
    </row>
    <row r="885" spans="2:10" x14ac:dyDescent="0.2">
      <c r="B885" s="27"/>
      <c r="F885" s="2"/>
      <c r="G885" s="50"/>
      <c r="H885" s="51"/>
      <c r="I885" s="2"/>
    </row>
    <row r="886" spans="2:10" x14ac:dyDescent="0.2">
      <c r="B886" s="27"/>
      <c r="F886" s="2"/>
      <c r="G886" s="50"/>
      <c r="H886" s="51"/>
      <c r="I886" s="2"/>
    </row>
    <row r="887" spans="2:10" x14ac:dyDescent="0.2">
      <c r="B887" s="27"/>
      <c r="F887" s="2"/>
      <c r="G887" s="50"/>
      <c r="H887" s="51"/>
      <c r="I887" s="2"/>
    </row>
    <row r="888" spans="2:10" x14ac:dyDescent="0.2">
      <c r="B888" s="27"/>
      <c r="F888" s="2"/>
      <c r="G888" s="50"/>
      <c r="H888" s="51"/>
      <c r="I888" s="2"/>
    </row>
    <row r="889" spans="2:10" x14ac:dyDescent="0.2">
      <c r="B889" s="27"/>
      <c r="F889" s="2"/>
      <c r="G889" s="50"/>
      <c r="H889" s="51"/>
      <c r="I889" s="2"/>
    </row>
    <row r="890" spans="2:10" x14ac:dyDescent="0.2">
      <c r="B890" s="27"/>
      <c r="F890" s="2"/>
      <c r="G890" s="50"/>
      <c r="H890" s="51"/>
      <c r="I890" s="2"/>
    </row>
    <row r="891" spans="2:10" x14ac:dyDescent="0.2">
      <c r="B891" s="27"/>
      <c r="F891" s="2"/>
      <c r="G891" s="50"/>
      <c r="H891" s="51"/>
      <c r="I891" s="2"/>
    </row>
    <row r="892" spans="2:10" ht="14.25" x14ac:dyDescent="0.2">
      <c r="B892" s="358" t="s">
        <v>2004</v>
      </c>
      <c r="C892" s="332"/>
      <c r="D892" s="387" t="s">
        <v>1999</v>
      </c>
      <c r="E892" s="358" t="s">
        <v>2005</v>
      </c>
      <c r="F892" s="387" t="s">
        <v>2007</v>
      </c>
      <c r="G892" s="332"/>
      <c r="H892" s="387" t="s">
        <v>2008</v>
      </c>
      <c r="J892" s="387" t="s">
        <v>2012</v>
      </c>
    </row>
    <row r="893" spans="2:10" x14ac:dyDescent="0.2">
      <c r="B893" s="358" t="s">
        <v>2006</v>
      </c>
      <c r="F893" s="357" t="s">
        <v>2009</v>
      </c>
      <c r="G893" s="357" t="s">
        <v>2010</v>
      </c>
    </row>
    <row r="894" spans="2:10" x14ac:dyDescent="0.2">
      <c r="B894" s="389" t="s">
        <v>283</v>
      </c>
      <c r="C894" s="333">
        <f>D1054-D1053</f>
        <v>0</v>
      </c>
      <c r="D894" s="333"/>
      <c r="E894" s="332">
        <f>(G1053+G1054)/2</f>
        <v>5.4</v>
      </c>
      <c r="F894" s="388">
        <f>F1067</f>
        <v>700</v>
      </c>
      <c r="G894" s="332">
        <v>300</v>
      </c>
      <c r="J894" s="131">
        <f>C894*E894*(F894+G894)/2000</f>
        <v>0</v>
      </c>
    </row>
    <row r="895" spans="2:10" x14ac:dyDescent="0.2">
      <c r="B895" s="391" t="s">
        <v>284</v>
      </c>
      <c r="C895" s="29">
        <f>D1055-D1054</f>
        <v>1.55</v>
      </c>
      <c r="D895" s="29"/>
      <c r="E895" s="29">
        <f>(G1054+G1055)/2</f>
        <v>5.4625000000000004</v>
      </c>
      <c r="F895" s="388">
        <f>F1068</f>
        <v>700</v>
      </c>
      <c r="G895" s="332">
        <v>300</v>
      </c>
      <c r="J895" s="131">
        <f t="shared" ref="J895:J898" si="0">C895*E895*(F895+G895)/2000</f>
        <v>4.2334375</v>
      </c>
    </row>
    <row r="896" spans="2:10" x14ac:dyDescent="0.2">
      <c r="B896" s="391" t="s">
        <v>285</v>
      </c>
      <c r="C896" s="29">
        <f>D1056-D1055</f>
        <v>1.6500000000000001</v>
      </c>
      <c r="D896" s="29"/>
      <c r="E896" s="29">
        <f>(G1055+G1056)/2</f>
        <v>5.3125</v>
      </c>
      <c r="F896" s="388">
        <f>F1069</f>
        <v>675</v>
      </c>
      <c r="G896" s="332">
        <v>300</v>
      </c>
      <c r="J896" s="131">
        <f t="shared" si="0"/>
        <v>4.2732421875000002</v>
      </c>
    </row>
    <row r="897" spans="2:10" x14ac:dyDescent="0.2">
      <c r="B897" s="390" t="s">
        <v>286</v>
      </c>
      <c r="C897" s="29">
        <f>D1057-D1056</f>
        <v>6.4999999999999991</v>
      </c>
      <c r="D897" s="29"/>
      <c r="E897" s="29">
        <f>(G1056+G1057)/2</f>
        <v>5.0999999999999996</v>
      </c>
      <c r="F897" s="388">
        <f>F1070</f>
        <v>675</v>
      </c>
      <c r="G897" s="332">
        <v>300</v>
      </c>
      <c r="J897" s="131">
        <f t="shared" si="0"/>
        <v>16.160624999999996</v>
      </c>
    </row>
    <row r="898" spans="2:10" x14ac:dyDescent="0.2">
      <c r="B898" s="390" t="s">
        <v>295</v>
      </c>
      <c r="C898" s="29">
        <f>D1058-D1057</f>
        <v>6.5</v>
      </c>
      <c r="D898" s="29"/>
      <c r="E898" s="29">
        <f>(G1057+G1058)/2</f>
        <v>5.0999999999999996</v>
      </c>
      <c r="F898" s="388">
        <f>F1071</f>
        <v>650</v>
      </c>
      <c r="G898" s="332">
        <v>300</v>
      </c>
      <c r="J898" s="131">
        <f t="shared" si="0"/>
        <v>15.74625</v>
      </c>
    </row>
    <row r="899" spans="2:10" x14ac:dyDescent="0.2">
      <c r="C899" s="29"/>
      <c r="J899" s="131">
        <f>SUM(J894:J898)</f>
        <v>40.413554687499996</v>
      </c>
    </row>
    <row r="900" spans="2:10" x14ac:dyDescent="0.2">
      <c r="B900" s="357" t="s">
        <v>403</v>
      </c>
    </row>
    <row r="901" spans="2:10" x14ac:dyDescent="0.2">
      <c r="B901" s="389" t="s">
        <v>283</v>
      </c>
      <c r="C901" s="29">
        <f>D1054-D1053</f>
        <v>0</v>
      </c>
      <c r="D901" s="29">
        <f>(E1053+E1054)/2</f>
        <v>1.5</v>
      </c>
      <c r="H901" s="388">
        <f>I1067</f>
        <v>750</v>
      </c>
      <c r="J901" s="29">
        <f>C901*D901*H901/1000</f>
        <v>0</v>
      </c>
    </row>
    <row r="902" spans="2:10" x14ac:dyDescent="0.2">
      <c r="B902" s="391" t="s">
        <v>284</v>
      </c>
      <c r="C902" s="29">
        <f>D1055-D1054</f>
        <v>1.55</v>
      </c>
      <c r="D902" s="29">
        <f>(E1054+E1055)/2</f>
        <v>1.647567876437511</v>
      </c>
      <c r="H902" s="388">
        <f>I1068</f>
        <v>750</v>
      </c>
      <c r="J902" s="29">
        <f t="shared" ref="J902:J905" si="1">C902*D902*H902/1000</f>
        <v>1.9152976563586066</v>
      </c>
    </row>
    <row r="903" spans="2:10" x14ac:dyDescent="0.2">
      <c r="B903" s="391" t="s">
        <v>285</v>
      </c>
      <c r="C903" s="29">
        <f>D1056-D1055</f>
        <v>1.6500000000000001</v>
      </c>
      <c r="D903" s="29">
        <f>(E1055+E1056)/2</f>
        <v>2.0270281301339681</v>
      </c>
      <c r="H903" s="388">
        <f>I1069</f>
        <v>744.36860068259386</v>
      </c>
      <c r="J903" s="29">
        <f t="shared" si="1"/>
        <v>2.4896125530739268</v>
      </c>
    </row>
    <row r="904" spans="2:10" x14ac:dyDescent="0.2">
      <c r="B904" s="390" t="s">
        <v>286</v>
      </c>
      <c r="C904" s="29">
        <f>D1057-D1056</f>
        <v>6.4999999999999991</v>
      </c>
      <c r="D904" s="29">
        <f>(E1056+E1057)/2</f>
        <v>3.1724359329584586</v>
      </c>
      <c r="H904" s="388">
        <f>I1070</f>
        <v>727.81569965870312</v>
      </c>
      <c r="J904" s="29">
        <f t="shared" si="1"/>
        <v>15.008166408095711</v>
      </c>
    </row>
    <row r="905" spans="2:10" x14ac:dyDescent="0.2">
      <c r="B905" s="390" t="s">
        <v>295</v>
      </c>
      <c r="C905" s="29">
        <f>D1058-D1057</f>
        <v>6.5</v>
      </c>
      <c r="D905" s="29">
        <f>(E1057+E1058)/2</f>
        <v>4.5429756792620015</v>
      </c>
      <c r="H905" s="388">
        <f>I1071</f>
        <v>700</v>
      </c>
      <c r="J905" s="29">
        <f t="shared" si="1"/>
        <v>20.670539340642105</v>
      </c>
    </row>
    <row r="906" spans="2:10" x14ac:dyDescent="0.2">
      <c r="J906" s="29">
        <f>SUM(J901:J905)</f>
        <v>40.083615958170348</v>
      </c>
    </row>
    <row r="908" spans="2:10" x14ac:dyDescent="0.2">
      <c r="D908" s="357" t="s">
        <v>2011</v>
      </c>
      <c r="J908" s="131">
        <f>J899+J906</f>
        <v>80.497170645670337</v>
      </c>
    </row>
    <row r="909" spans="2:10" x14ac:dyDescent="0.2">
      <c r="B909" s="27"/>
      <c r="F909" s="2"/>
      <c r="G909" s="50"/>
      <c r="H909" s="51"/>
      <c r="I909" s="2"/>
    </row>
    <row r="910" spans="2:10" x14ac:dyDescent="0.2">
      <c r="B910" s="27"/>
      <c r="F910" s="2"/>
      <c r="G910" s="50"/>
      <c r="H910" s="51"/>
      <c r="I910" s="2"/>
    </row>
    <row r="911" spans="2:10" x14ac:dyDescent="0.2">
      <c r="B911" s="27"/>
      <c r="F911" s="2"/>
      <c r="G911" s="50"/>
      <c r="H911" s="51"/>
      <c r="I911" s="2"/>
    </row>
    <row r="912" spans="2:10" x14ac:dyDescent="0.2">
      <c r="B912" s="27"/>
      <c r="F912" s="2"/>
      <c r="G912" s="50"/>
      <c r="H912" s="51"/>
      <c r="I912" s="2"/>
    </row>
    <row r="913" spans="1:18" x14ac:dyDescent="0.2">
      <c r="B913" s="27"/>
      <c r="F913" s="2"/>
      <c r="G913" s="50"/>
      <c r="H913" s="51"/>
      <c r="I913" s="2"/>
    </row>
    <row r="914" spans="1:18" x14ac:dyDescent="0.2">
      <c r="B914" s="27"/>
      <c r="F914" s="2"/>
      <c r="G914" s="50"/>
      <c r="H914" s="51"/>
      <c r="I914" s="2"/>
    </row>
    <row r="915" spans="1:18" x14ac:dyDescent="0.2">
      <c r="B915" s="27"/>
      <c r="F915" s="2"/>
      <c r="G915" s="50"/>
      <c r="H915" s="51"/>
      <c r="I915" s="2"/>
    </row>
    <row r="916" spans="1:18" x14ac:dyDescent="0.2">
      <c r="B916" s="27"/>
      <c r="F916" s="2"/>
      <c r="G916" s="50"/>
      <c r="H916" s="51"/>
      <c r="I916" s="2"/>
    </row>
    <row r="917" spans="1:18" x14ac:dyDescent="0.2">
      <c r="B917" s="27"/>
      <c r="F917" s="2"/>
      <c r="G917" s="50"/>
      <c r="H917" s="51"/>
      <c r="I917" s="2"/>
    </row>
    <row r="918" spans="1:18" x14ac:dyDescent="0.2">
      <c r="B918" s="27"/>
      <c r="F918" s="2"/>
      <c r="G918" s="50"/>
      <c r="H918" s="51"/>
      <c r="I918" s="2"/>
    </row>
    <row r="919" spans="1:18" x14ac:dyDescent="0.2">
      <c r="B919" s="27"/>
      <c r="F919" s="2"/>
      <c r="G919" s="50"/>
      <c r="H919" s="51"/>
      <c r="I919" s="2"/>
    </row>
    <row r="920" spans="1:18" x14ac:dyDescent="0.2">
      <c r="B920" s="27"/>
      <c r="F920" s="2"/>
      <c r="G920" s="50"/>
      <c r="H920" s="51"/>
      <c r="I920" s="2"/>
    </row>
    <row r="921" spans="1:18" x14ac:dyDescent="0.2">
      <c r="B921" s="27"/>
      <c r="F921" s="2"/>
      <c r="G921" s="50"/>
      <c r="H921" s="51"/>
      <c r="I921" s="2"/>
    </row>
    <row r="922" spans="1:18" x14ac:dyDescent="0.2">
      <c r="B922" s="27"/>
      <c r="F922" s="2"/>
      <c r="G922" s="50"/>
      <c r="H922" s="51"/>
      <c r="I922" s="2"/>
    </row>
    <row r="923" spans="1:18" ht="13.5" thickBot="1" x14ac:dyDescent="0.25">
      <c r="B923" s="27"/>
      <c r="F923" s="2"/>
      <c r="G923" s="50"/>
      <c r="H923" s="51"/>
      <c r="I923" s="2"/>
    </row>
    <row r="924" spans="1:18" x14ac:dyDescent="0.2">
      <c r="A924" s="616" t="s">
        <v>184</v>
      </c>
      <c r="B924" s="532"/>
      <c r="C924" s="532"/>
      <c r="D924" s="532"/>
      <c r="E924" s="532"/>
      <c r="F924" s="637"/>
      <c r="G924" s="638"/>
      <c r="H924" s="639" t="str">
        <f>D2</f>
        <v>DR-5</v>
      </c>
      <c r="I924" s="637"/>
      <c r="J924" s="532"/>
      <c r="K924" s="533"/>
    </row>
    <row r="925" spans="1:18" x14ac:dyDescent="0.2">
      <c r="A925" s="536"/>
      <c r="B925" s="92" t="str">
        <f>A3</f>
        <v>WINGWALL AND APRON (C/S)</v>
      </c>
      <c r="C925" s="92"/>
      <c r="D925" s="92"/>
      <c r="E925" s="92"/>
      <c r="F925" s="640"/>
      <c r="G925" s="641"/>
      <c r="H925" s="539" t="s">
        <v>1966</v>
      </c>
      <c r="I925" s="92" t="str">
        <f>I3</f>
        <v>1.50m x 1.80m</v>
      </c>
      <c r="J925" s="92"/>
      <c r="K925" s="535"/>
    </row>
    <row r="926" spans="1:18" x14ac:dyDescent="0.2">
      <c r="A926" s="534"/>
      <c r="B926" s="92"/>
      <c r="C926" s="92"/>
      <c r="D926" s="92"/>
      <c r="E926" s="92"/>
      <c r="F926" s="92"/>
      <c r="G926" s="92"/>
      <c r="H926" s="92"/>
      <c r="I926" s="92"/>
      <c r="J926" s="92"/>
      <c r="K926" s="535"/>
    </row>
    <row r="927" spans="1:18" x14ac:dyDescent="0.2">
      <c r="A927" s="534"/>
      <c r="B927" s="146" t="s">
        <v>185</v>
      </c>
      <c r="C927" s="92"/>
      <c r="D927" s="92"/>
      <c r="E927" s="92"/>
      <c r="F927" s="92"/>
      <c r="G927" s="92"/>
      <c r="H927" s="92"/>
      <c r="I927" s="92"/>
      <c r="J927" s="92"/>
      <c r="K927" s="535"/>
    </row>
    <row r="928" spans="1:18" x14ac:dyDescent="0.2">
      <c r="A928" s="534"/>
      <c r="B928" s="92"/>
      <c r="C928" s="92"/>
      <c r="D928" s="92"/>
      <c r="E928" s="92"/>
      <c r="F928" s="146"/>
      <c r="G928" s="92"/>
      <c r="H928" s="92"/>
      <c r="I928" s="92"/>
      <c r="J928" s="92"/>
      <c r="K928" s="617"/>
      <c r="L928" s="40"/>
      <c r="M928" s="40"/>
      <c r="N928" s="67"/>
      <c r="O928" s="40"/>
      <c r="P928" s="40"/>
      <c r="Q928" s="40"/>
      <c r="R928" s="40"/>
    </row>
    <row r="929" spans="1:18" x14ac:dyDescent="0.2">
      <c r="A929" s="534"/>
      <c r="B929" s="146" t="s">
        <v>186</v>
      </c>
      <c r="C929" s="92"/>
      <c r="D929" s="146"/>
      <c r="E929" s="92"/>
      <c r="F929" s="1465" t="s">
        <v>123</v>
      </c>
      <c r="G929" s="1466"/>
      <c r="H929" s="1467"/>
      <c r="I929" s="72"/>
      <c r="J929" s="72"/>
      <c r="K929" s="617"/>
      <c r="L929" s="67"/>
      <c r="M929" s="40"/>
      <c r="N929" s="1447"/>
      <c r="O929" s="1447"/>
      <c r="P929" s="1447"/>
      <c r="Q929" s="40"/>
      <c r="R929" s="40"/>
    </row>
    <row r="930" spans="1:18" x14ac:dyDescent="0.2">
      <c r="A930" s="534"/>
      <c r="B930" s="92"/>
      <c r="C930" s="77"/>
      <c r="D930" s="1471" t="s">
        <v>303</v>
      </c>
      <c r="E930" s="1471"/>
      <c r="F930" s="78"/>
      <c r="G930" s="68"/>
      <c r="H930" s="1472" t="s">
        <v>304</v>
      </c>
      <c r="I930" s="1472"/>
      <c r="J930" s="69"/>
      <c r="K930" s="617"/>
      <c r="L930" s="1447"/>
      <c r="M930" s="1447"/>
      <c r="N930" s="72"/>
      <c r="O930" s="159"/>
      <c r="P930" s="157"/>
      <c r="Q930" s="157"/>
      <c r="R930" s="72"/>
    </row>
    <row r="931" spans="1:18" x14ac:dyDescent="0.2">
      <c r="A931" s="534"/>
      <c r="B931" s="72"/>
      <c r="C931" s="70" t="s">
        <v>299</v>
      </c>
      <c r="D931" s="71" t="s">
        <v>300</v>
      </c>
      <c r="E931" s="72" t="s">
        <v>301</v>
      </c>
      <c r="F931" s="73" t="s">
        <v>302</v>
      </c>
      <c r="G931" s="70" t="s">
        <v>299</v>
      </c>
      <c r="H931" s="71" t="s">
        <v>300</v>
      </c>
      <c r="I931" s="72" t="s">
        <v>301</v>
      </c>
      <c r="J931" s="73" t="s">
        <v>302</v>
      </c>
      <c r="K931" s="617"/>
      <c r="L931" s="71"/>
      <c r="M931" s="72"/>
      <c r="N931" s="72"/>
      <c r="O931" s="159"/>
      <c r="P931" s="71"/>
      <c r="Q931" s="72"/>
      <c r="R931" s="72"/>
    </row>
    <row r="932" spans="1:18" ht="14.25" x14ac:dyDescent="0.2">
      <c r="A932" s="534"/>
      <c r="B932" s="560"/>
      <c r="C932" s="79" t="s">
        <v>298</v>
      </c>
      <c r="D932" s="80" t="s">
        <v>215</v>
      </c>
      <c r="E932" s="80" t="s">
        <v>215</v>
      </c>
      <c r="F932" s="81" t="s">
        <v>298</v>
      </c>
      <c r="G932" s="79" t="s">
        <v>298</v>
      </c>
      <c r="H932" s="80" t="s">
        <v>215</v>
      </c>
      <c r="I932" s="80" t="s">
        <v>215</v>
      </c>
      <c r="J932" s="81" t="s">
        <v>298</v>
      </c>
      <c r="K932" s="618"/>
      <c r="L932" s="117"/>
      <c r="M932" s="117"/>
      <c r="N932" s="117"/>
      <c r="O932" s="117"/>
      <c r="P932" s="117"/>
      <c r="Q932" s="117"/>
      <c r="R932" s="117"/>
    </row>
    <row r="933" spans="1:18" x14ac:dyDescent="0.2">
      <c r="A933" s="534"/>
      <c r="B933" s="146" t="s">
        <v>187</v>
      </c>
      <c r="C933" s="86"/>
      <c r="D933" s="86"/>
      <c r="E933" s="86"/>
      <c r="F933" s="86"/>
      <c r="G933" s="86"/>
      <c r="H933" s="86"/>
      <c r="I933" s="86"/>
      <c r="J933" s="87"/>
      <c r="K933" s="619"/>
      <c r="L933" s="86"/>
      <c r="M933" s="86"/>
      <c r="N933" s="86"/>
      <c r="O933" s="86"/>
      <c r="P933" s="86"/>
      <c r="Q933" s="86"/>
      <c r="R933" s="86"/>
    </row>
    <row r="934" spans="1:18" x14ac:dyDescent="0.2">
      <c r="A934" s="534"/>
      <c r="B934" s="112" t="s">
        <v>188</v>
      </c>
      <c r="C934" s="82">
        <f>H153</f>
        <v>950.00000000000011</v>
      </c>
      <c r="D934" s="83">
        <f>C154</f>
        <v>16</v>
      </c>
      <c r="E934" s="83">
        <f>E154</f>
        <v>200</v>
      </c>
      <c r="F934" s="84">
        <f>H154</f>
        <v>1005.312</v>
      </c>
      <c r="G934" s="82">
        <f>H155</f>
        <v>570.00000000000011</v>
      </c>
      <c r="H934" s="83">
        <f>C156</f>
        <v>16</v>
      </c>
      <c r="I934" s="83">
        <f>E156</f>
        <v>250</v>
      </c>
      <c r="J934" s="84">
        <f>H156</f>
        <v>804.24959999999999</v>
      </c>
      <c r="K934" s="619"/>
      <c r="L934" s="86"/>
      <c r="M934" s="86"/>
      <c r="N934" s="86"/>
      <c r="O934" s="86"/>
      <c r="P934" s="86"/>
      <c r="Q934" s="86"/>
      <c r="R934" s="86"/>
    </row>
    <row r="935" spans="1:18" x14ac:dyDescent="0.2">
      <c r="A935" s="534"/>
      <c r="B935" s="110" t="s">
        <v>189</v>
      </c>
      <c r="C935" s="85">
        <f>H379</f>
        <v>950.00000000000011</v>
      </c>
      <c r="D935" s="86">
        <f>C380</f>
        <v>16</v>
      </c>
      <c r="E935" s="86">
        <f>E380</f>
        <v>200</v>
      </c>
      <c r="F935" s="87">
        <f>H380</f>
        <v>1005.312</v>
      </c>
      <c r="G935" s="85">
        <f>H381</f>
        <v>570.00000000000011</v>
      </c>
      <c r="H935" s="86">
        <f>C382</f>
        <v>16</v>
      </c>
      <c r="I935" s="86">
        <f>E382</f>
        <v>250</v>
      </c>
      <c r="J935" s="87">
        <f>H382</f>
        <v>804.24959999999999</v>
      </c>
      <c r="K935" s="619"/>
      <c r="L935" s="86"/>
      <c r="M935" s="86"/>
      <c r="N935" s="86"/>
      <c r="O935" s="86"/>
      <c r="P935" s="86"/>
      <c r="Q935" s="86"/>
      <c r="R935" s="86"/>
    </row>
    <row r="936" spans="1:18" x14ac:dyDescent="0.2">
      <c r="A936" s="534"/>
      <c r="B936" s="110" t="s">
        <v>190</v>
      </c>
      <c r="C936" s="85">
        <f>H505</f>
        <v>950</v>
      </c>
      <c r="D936" s="86">
        <f>C506</f>
        <v>16</v>
      </c>
      <c r="E936" s="86">
        <f>E506</f>
        <v>200</v>
      </c>
      <c r="F936" s="87">
        <f>H506</f>
        <v>1005.312</v>
      </c>
      <c r="G936" s="85">
        <f>H507</f>
        <v>570</v>
      </c>
      <c r="H936" s="86">
        <f>C508</f>
        <v>16</v>
      </c>
      <c r="I936" s="86">
        <f>E508</f>
        <v>250</v>
      </c>
      <c r="J936" s="87">
        <f>H508</f>
        <v>804.24959999999999</v>
      </c>
      <c r="K936" s="619"/>
      <c r="L936" s="86"/>
      <c r="M936" s="86"/>
      <c r="N936" s="86"/>
      <c r="O936" s="86"/>
      <c r="P936" s="86"/>
      <c r="Q936" s="86"/>
      <c r="R936" s="86"/>
    </row>
    <row r="937" spans="1:18" x14ac:dyDescent="0.2">
      <c r="A937" s="534"/>
      <c r="B937" s="110" t="s">
        <v>191</v>
      </c>
      <c r="C937" s="85">
        <f>H634</f>
        <v>950</v>
      </c>
      <c r="D937" s="86">
        <f>C635</f>
        <v>16</v>
      </c>
      <c r="E937" s="86">
        <f>E635</f>
        <v>200</v>
      </c>
      <c r="F937" s="87">
        <f>H635</f>
        <v>1005.312</v>
      </c>
      <c r="G937" s="85">
        <f>H636</f>
        <v>570</v>
      </c>
      <c r="H937" s="86">
        <f>C637</f>
        <v>16</v>
      </c>
      <c r="I937" s="86">
        <f>E637</f>
        <v>250</v>
      </c>
      <c r="J937" s="87">
        <f>H637</f>
        <v>804.24959999999999</v>
      </c>
      <c r="K937" s="619"/>
      <c r="L937" s="86"/>
      <c r="M937" s="86"/>
      <c r="N937" s="86"/>
      <c r="O937" s="86"/>
      <c r="P937" s="86"/>
      <c r="Q937" s="86"/>
      <c r="R937" s="86"/>
    </row>
    <row r="938" spans="1:18" x14ac:dyDescent="0.2">
      <c r="A938" s="534"/>
      <c r="B938" s="99" t="s">
        <v>192</v>
      </c>
      <c r="C938" s="74">
        <f>H761</f>
        <v>950</v>
      </c>
      <c r="D938" s="75">
        <f>C762</f>
        <v>16</v>
      </c>
      <c r="E938" s="75">
        <f>E762</f>
        <v>200</v>
      </c>
      <c r="F938" s="76">
        <f>H762</f>
        <v>1005.312</v>
      </c>
      <c r="G938" s="75">
        <f>H763</f>
        <v>570</v>
      </c>
      <c r="H938" s="75">
        <f>C764</f>
        <v>16</v>
      </c>
      <c r="I938" s="75">
        <f>E764</f>
        <v>250</v>
      </c>
      <c r="J938" s="76">
        <f>H764</f>
        <v>804.24959999999999</v>
      </c>
      <c r="K938" s="619"/>
      <c r="L938" s="86"/>
      <c r="M938" s="86"/>
      <c r="N938" s="86"/>
      <c r="O938" s="86"/>
      <c r="P938" s="86"/>
      <c r="Q938" s="86"/>
      <c r="R938" s="86"/>
    </row>
    <row r="939" spans="1:18" x14ac:dyDescent="0.2">
      <c r="A939" s="534"/>
      <c r="B939" s="146"/>
      <c r="C939" s="86"/>
      <c r="D939" s="86"/>
      <c r="E939" s="86"/>
      <c r="F939" s="86"/>
      <c r="G939" s="86"/>
      <c r="H939" s="86"/>
      <c r="I939" s="86"/>
      <c r="J939" s="86"/>
      <c r="K939" s="619"/>
      <c r="L939" s="86"/>
      <c r="M939" s="86"/>
      <c r="N939" s="86"/>
      <c r="O939" s="86"/>
      <c r="P939" s="86"/>
      <c r="Q939" s="86"/>
      <c r="R939" s="86"/>
    </row>
    <row r="940" spans="1:18" x14ac:dyDescent="0.2">
      <c r="A940" s="534"/>
      <c r="B940" s="146" t="s">
        <v>193</v>
      </c>
      <c r="C940" s="92"/>
      <c r="D940" s="92"/>
      <c r="E940" s="92"/>
      <c r="F940" s="92"/>
      <c r="G940" s="92"/>
      <c r="H940" s="92"/>
      <c r="I940" s="92"/>
      <c r="J940" s="93"/>
      <c r="K940" s="535"/>
      <c r="L940" s="92"/>
      <c r="M940" s="92"/>
      <c r="N940" s="92"/>
      <c r="O940" s="92"/>
      <c r="P940" s="92"/>
      <c r="Q940" s="92"/>
      <c r="R940" s="92"/>
    </row>
    <row r="941" spans="1:18" x14ac:dyDescent="0.2">
      <c r="A941" s="534"/>
      <c r="B941" s="112" t="s">
        <v>188</v>
      </c>
      <c r="C941" s="82">
        <f>H277</f>
        <v>950.00000000000011</v>
      </c>
      <c r="D941" s="83">
        <f>C278</f>
        <v>16</v>
      </c>
      <c r="E941" s="83">
        <f>E278</f>
        <v>200</v>
      </c>
      <c r="F941" s="84">
        <f>H278</f>
        <v>1005.312</v>
      </c>
      <c r="G941" s="82">
        <f>H279</f>
        <v>570.00000000000011</v>
      </c>
      <c r="H941" s="83">
        <f>C280</f>
        <v>16</v>
      </c>
      <c r="I941" s="83">
        <f>E280</f>
        <v>250</v>
      </c>
      <c r="J941" s="84">
        <f>H280</f>
        <v>804.24959999999999</v>
      </c>
      <c r="K941" s="619"/>
      <c r="L941" s="86"/>
      <c r="M941" s="86"/>
      <c r="N941" s="86"/>
      <c r="O941" s="86"/>
      <c r="P941" s="86"/>
      <c r="Q941" s="86"/>
      <c r="R941" s="86"/>
    </row>
    <row r="942" spans="1:18" x14ac:dyDescent="0.2">
      <c r="A942" s="534"/>
      <c r="B942" s="110" t="s">
        <v>189</v>
      </c>
      <c r="C942" s="85">
        <f>H446</f>
        <v>950</v>
      </c>
      <c r="D942" s="86">
        <f>C447</f>
        <v>16</v>
      </c>
      <c r="E942" s="86">
        <f>E447</f>
        <v>200</v>
      </c>
      <c r="F942" s="87">
        <f>H447</f>
        <v>1005.312</v>
      </c>
      <c r="G942" s="85">
        <f>H448</f>
        <v>570</v>
      </c>
      <c r="H942" s="86">
        <f>C449</f>
        <v>16</v>
      </c>
      <c r="I942" s="86">
        <f>E449</f>
        <v>250</v>
      </c>
      <c r="J942" s="87">
        <f>H449</f>
        <v>804.24959999999999</v>
      </c>
      <c r="K942" s="619"/>
      <c r="L942" s="86"/>
      <c r="M942" s="86"/>
      <c r="N942" s="86"/>
      <c r="O942" s="86"/>
      <c r="P942" s="86"/>
      <c r="Q942" s="86"/>
      <c r="R942" s="86"/>
    </row>
    <row r="943" spans="1:18" x14ac:dyDescent="0.2">
      <c r="A943" s="534"/>
      <c r="B943" s="110" t="s">
        <v>190</v>
      </c>
      <c r="C943" s="85">
        <f>H574</f>
        <v>950</v>
      </c>
      <c r="D943" s="86">
        <f>C575</f>
        <v>16</v>
      </c>
      <c r="E943" s="86">
        <f>E575</f>
        <v>200</v>
      </c>
      <c r="F943" s="87">
        <f>H575</f>
        <v>1005.312</v>
      </c>
      <c r="G943" s="85">
        <f>H576</f>
        <v>570</v>
      </c>
      <c r="H943" s="86">
        <f>C577</f>
        <v>16</v>
      </c>
      <c r="I943" s="86">
        <f>E577</f>
        <v>250</v>
      </c>
      <c r="J943" s="87">
        <f>H577</f>
        <v>804.24959999999999</v>
      </c>
      <c r="K943" s="619"/>
      <c r="L943" s="86"/>
      <c r="M943" s="86"/>
      <c r="N943" s="86"/>
      <c r="O943" s="86"/>
      <c r="P943" s="86"/>
      <c r="Q943" s="86"/>
      <c r="R943" s="86"/>
    </row>
    <row r="944" spans="1:18" x14ac:dyDescent="0.2">
      <c r="A944" s="534"/>
      <c r="B944" s="110" t="s">
        <v>191</v>
      </c>
      <c r="C944" s="85">
        <f>H702</f>
        <v>950</v>
      </c>
      <c r="D944" s="86">
        <f>+C703</f>
        <v>16</v>
      </c>
      <c r="E944" s="86">
        <f>E703</f>
        <v>200</v>
      </c>
      <c r="F944" s="87">
        <f>H703</f>
        <v>1005.312</v>
      </c>
      <c r="G944" s="85">
        <f>H704</f>
        <v>570</v>
      </c>
      <c r="H944" s="86">
        <f>C705</f>
        <v>16</v>
      </c>
      <c r="I944" s="86">
        <f>E705</f>
        <v>250</v>
      </c>
      <c r="J944" s="87">
        <f>H705</f>
        <v>804.24959999999999</v>
      </c>
      <c r="K944" s="619"/>
      <c r="L944" s="86"/>
      <c r="M944" s="86"/>
      <c r="N944" s="86"/>
      <c r="O944" s="86"/>
      <c r="P944" s="86"/>
      <c r="Q944" s="86"/>
      <c r="R944" s="86"/>
    </row>
    <row r="945" spans="1:18" x14ac:dyDescent="0.2">
      <c r="A945" s="534"/>
      <c r="B945" s="111" t="s">
        <v>192</v>
      </c>
      <c r="C945" s="74">
        <f>H830</f>
        <v>950</v>
      </c>
      <c r="D945" s="75">
        <f>C831</f>
        <v>16</v>
      </c>
      <c r="E945" s="75">
        <f>E831</f>
        <v>200</v>
      </c>
      <c r="F945" s="76">
        <f>H831</f>
        <v>1005.312</v>
      </c>
      <c r="G945" s="74">
        <f>H832</f>
        <v>570</v>
      </c>
      <c r="H945" s="75">
        <f>C833</f>
        <v>16</v>
      </c>
      <c r="I945" s="75">
        <f>E833</f>
        <v>250</v>
      </c>
      <c r="J945" s="76">
        <f>H833</f>
        <v>804.24959999999999</v>
      </c>
      <c r="K945" s="619"/>
      <c r="L945" s="86"/>
      <c r="M945" s="86"/>
      <c r="N945" s="86"/>
      <c r="O945" s="86"/>
      <c r="P945" s="86"/>
      <c r="Q945" s="86"/>
      <c r="R945" s="86"/>
    </row>
    <row r="946" spans="1:18" x14ac:dyDescent="0.2">
      <c r="A946" s="534"/>
      <c r="B946" s="146"/>
      <c r="C946" s="86"/>
      <c r="D946" s="86"/>
      <c r="E946" s="86"/>
      <c r="F946" s="86"/>
      <c r="G946" s="86"/>
      <c r="H946" s="86"/>
      <c r="I946" s="86"/>
      <c r="J946" s="86"/>
      <c r="K946" s="619"/>
      <c r="L946" s="86"/>
      <c r="M946" s="86"/>
      <c r="N946" s="86"/>
      <c r="O946" s="86"/>
      <c r="P946" s="86"/>
      <c r="Q946" s="86"/>
      <c r="R946" s="86"/>
    </row>
    <row r="947" spans="1:18" x14ac:dyDescent="0.2">
      <c r="A947" s="534"/>
      <c r="B947" s="560"/>
      <c r="C947" s="560"/>
      <c r="D947" s="560"/>
      <c r="E947" s="560"/>
      <c r="F947" s="560"/>
      <c r="G947" s="560"/>
      <c r="H947" s="560"/>
      <c r="I947" s="560"/>
      <c r="J947" s="560"/>
      <c r="K947" s="620"/>
      <c r="L947" s="28"/>
      <c r="M947" s="28"/>
      <c r="N947" s="28"/>
      <c r="O947" s="28"/>
      <c r="P947" s="28"/>
      <c r="Q947" s="28"/>
      <c r="R947" s="28"/>
    </row>
    <row r="948" spans="1:18" x14ac:dyDescent="0.2">
      <c r="A948" s="534"/>
      <c r="B948" s="92"/>
      <c r="C948" s="560"/>
      <c r="D948" s="560"/>
      <c r="E948" s="1473" t="s">
        <v>399</v>
      </c>
      <c r="F948" s="1474"/>
      <c r="G948" s="1474"/>
      <c r="H948" s="1475"/>
      <c r="I948" s="560"/>
      <c r="J948" s="560"/>
      <c r="K948" s="620"/>
      <c r="L948" s="28"/>
      <c r="M948" s="28"/>
      <c r="N948" s="28"/>
      <c r="O948" s="28"/>
      <c r="P948" s="28"/>
      <c r="Q948" s="28"/>
      <c r="R948" s="28"/>
    </row>
    <row r="949" spans="1:18" x14ac:dyDescent="0.2">
      <c r="A949" s="534"/>
      <c r="B949" s="92"/>
      <c r="C949" s="1473" t="s">
        <v>400</v>
      </c>
      <c r="D949" s="1474"/>
      <c r="E949" s="1474"/>
      <c r="F949" s="1475"/>
      <c r="G949" s="1473" t="s">
        <v>401</v>
      </c>
      <c r="H949" s="1474"/>
      <c r="I949" s="1474"/>
      <c r="J949" s="1475"/>
      <c r="K949" s="620"/>
      <c r="L949" s="28"/>
      <c r="M949" s="28"/>
      <c r="N949" s="28"/>
      <c r="O949" s="28"/>
      <c r="P949" s="28"/>
      <c r="Q949" s="28"/>
      <c r="R949" s="28"/>
    </row>
    <row r="950" spans="1:18" x14ac:dyDescent="0.2">
      <c r="A950" s="534"/>
      <c r="B950" s="92"/>
      <c r="C950" s="139" t="s">
        <v>299</v>
      </c>
      <c r="D950" s="140" t="s">
        <v>300</v>
      </c>
      <c r="E950" s="141" t="s">
        <v>301</v>
      </c>
      <c r="F950" s="141" t="s">
        <v>302</v>
      </c>
      <c r="G950" s="139" t="s">
        <v>299</v>
      </c>
      <c r="H950" s="140" t="s">
        <v>300</v>
      </c>
      <c r="I950" s="141" t="s">
        <v>301</v>
      </c>
      <c r="J950" s="141" t="s">
        <v>302</v>
      </c>
      <c r="K950" s="620"/>
      <c r="L950" s="28"/>
      <c r="M950" s="28"/>
      <c r="N950" s="28"/>
      <c r="O950" s="28"/>
      <c r="P950" s="28"/>
      <c r="Q950" s="28"/>
      <c r="R950" s="28"/>
    </row>
    <row r="951" spans="1:18" ht="14.25" x14ac:dyDescent="0.2">
      <c r="A951" s="534"/>
      <c r="B951" s="92"/>
      <c r="C951" s="95" t="s">
        <v>298</v>
      </c>
      <c r="D951" s="95" t="s">
        <v>215</v>
      </c>
      <c r="E951" s="95" t="s">
        <v>215</v>
      </c>
      <c r="F951" s="95" t="s">
        <v>298</v>
      </c>
      <c r="G951" s="95" t="s">
        <v>298</v>
      </c>
      <c r="H951" s="95" t="s">
        <v>215</v>
      </c>
      <c r="I951" s="95" t="s">
        <v>215</v>
      </c>
      <c r="J951" s="95" t="s">
        <v>298</v>
      </c>
      <c r="K951" s="620"/>
      <c r="L951" s="28"/>
      <c r="M951" s="28"/>
      <c r="N951" s="28"/>
      <c r="O951" s="28"/>
      <c r="P951" s="28"/>
      <c r="Q951" s="28"/>
      <c r="R951" s="28"/>
    </row>
    <row r="952" spans="1:18" x14ac:dyDescent="0.2">
      <c r="A952" s="534"/>
      <c r="B952" s="92" t="s">
        <v>402</v>
      </c>
      <c r="C952" s="621"/>
      <c r="D952" s="622"/>
      <c r="E952" s="622"/>
      <c r="F952" s="622"/>
      <c r="G952" s="622"/>
      <c r="H952" s="622"/>
      <c r="I952" s="622"/>
      <c r="J952" s="560"/>
      <c r="K952" s="620"/>
      <c r="L952" s="28"/>
      <c r="M952" s="28"/>
      <c r="N952" s="28"/>
      <c r="O952" s="28"/>
      <c r="P952" s="28"/>
      <c r="Q952" s="28"/>
      <c r="R952" s="28"/>
    </row>
    <row r="953" spans="1:18" x14ac:dyDescent="0.2">
      <c r="A953" s="534"/>
      <c r="B953" s="143" t="s">
        <v>283</v>
      </c>
      <c r="C953" s="82">
        <f>$H$161</f>
        <v>760</v>
      </c>
      <c r="D953" s="83">
        <f>$C$162</f>
        <v>16</v>
      </c>
      <c r="E953" s="83">
        <f>$E$162</f>
        <v>250</v>
      </c>
      <c r="F953" s="84">
        <f>$H$162</f>
        <v>804.24959999999999</v>
      </c>
      <c r="G953" s="1115">
        <f>$H$172</f>
        <v>2263.1677606911121</v>
      </c>
      <c r="H953" s="1116">
        <f>$C$173</f>
        <v>20</v>
      </c>
      <c r="I953" s="1116">
        <f>$E$173</f>
        <v>125</v>
      </c>
      <c r="J953" s="1116">
        <f>$H$173</f>
        <v>2513.2800000000002</v>
      </c>
      <c r="K953" s="789"/>
      <c r="L953" s="28"/>
      <c r="M953" s="28"/>
      <c r="N953" s="28"/>
      <c r="O953" s="28"/>
      <c r="P953" s="28"/>
      <c r="Q953" s="28"/>
      <c r="R953" s="28"/>
    </row>
    <row r="954" spans="1:18" x14ac:dyDescent="0.2">
      <c r="A954" s="534"/>
      <c r="B954" s="144" t="s">
        <v>284</v>
      </c>
      <c r="C954" s="85">
        <f>$H$386</f>
        <v>760</v>
      </c>
      <c r="D954" s="86">
        <f>$C$387</f>
        <v>16</v>
      </c>
      <c r="E954" s="86">
        <f>$E$387</f>
        <v>200</v>
      </c>
      <c r="F954" s="87">
        <f>$H$387</f>
        <v>1005.312</v>
      </c>
      <c r="G954" s="1117">
        <f>$H$392</f>
        <v>1639.1936838736781</v>
      </c>
      <c r="H954" s="1112">
        <f>$C$393</f>
        <v>20</v>
      </c>
      <c r="I954" s="1112">
        <f>$E$393</f>
        <v>125</v>
      </c>
      <c r="J954" s="1112">
        <f>$H$393</f>
        <v>2513.2800000000002</v>
      </c>
      <c r="K954" s="790"/>
      <c r="L954" s="28"/>
      <c r="M954" s="28"/>
      <c r="N954" s="28"/>
      <c r="O954" s="28"/>
      <c r="P954" s="28"/>
      <c r="Q954" s="28"/>
      <c r="R954" s="28"/>
    </row>
    <row r="955" spans="1:18" x14ac:dyDescent="0.2">
      <c r="A955" s="534"/>
      <c r="B955" s="144" t="s">
        <v>285</v>
      </c>
      <c r="C955" s="85">
        <f>$H$512</f>
        <v>760</v>
      </c>
      <c r="D955" s="86">
        <f>$C$513</f>
        <v>16</v>
      </c>
      <c r="E955" s="86">
        <f>$E$513</f>
        <v>200</v>
      </c>
      <c r="F955" s="87">
        <f>$H$513</f>
        <v>1005.312</v>
      </c>
      <c r="G955" s="1117">
        <f>$H$518</f>
        <v>2289.4668310218121</v>
      </c>
      <c r="H955" s="1112">
        <f>$C$519</f>
        <v>20</v>
      </c>
      <c r="I955" s="1112">
        <f>$E$519</f>
        <v>125</v>
      </c>
      <c r="J955" s="1112">
        <f>$H$519</f>
        <v>2513.2800000000002</v>
      </c>
      <c r="K955" s="790"/>
      <c r="L955" s="28"/>
      <c r="M955" s="28"/>
      <c r="N955" s="28"/>
      <c r="O955" s="28"/>
      <c r="P955" s="28"/>
      <c r="Q955" s="28"/>
      <c r="R955" s="28"/>
    </row>
    <row r="956" spans="1:18" x14ac:dyDescent="0.2">
      <c r="A956" s="534"/>
      <c r="B956" s="144" t="s">
        <v>286</v>
      </c>
      <c r="C956" s="85">
        <f>$H$641</f>
        <v>760</v>
      </c>
      <c r="D956" s="86">
        <f>$C$642</f>
        <v>16</v>
      </c>
      <c r="E956" s="86">
        <f>$E$642</f>
        <v>200</v>
      </c>
      <c r="F956" s="87">
        <f>$H$642</f>
        <v>1005.312</v>
      </c>
      <c r="G956" s="1117">
        <f>$H$647</f>
        <v>2289.4668310218121</v>
      </c>
      <c r="H956" s="1112">
        <f>$C$648</f>
        <v>20</v>
      </c>
      <c r="I956" s="1112">
        <f>$E$648</f>
        <v>125</v>
      </c>
      <c r="J956" s="1112">
        <f>$H$648</f>
        <v>2513.2800000000002</v>
      </c>
      <c r="K956" s="790"/>
      <c r="L956" s="28"/>
      <c r="M956" s="28"/>
      <c r="N956" s="28"/>
      <c r="O956" s="28"/>
      <c r="P956" s="28"/>
      <c r="Q956" s="28"/>
      <c r="R956" s="28"/>
    </row>
    <row r="957" spans="1:18" x14ac:dyDescent="0.2">
      <c r="A957" s="534"/>
      <c r="B957" s="145" t="s">
        <v>295</v>
      </c>
      <c r="C957" s="74">
        <f>$H$768</f>
        <v>760</v>
      </c>
      <c r="D957" s="75">
        <f>$C$769</f>
        <v>16</v>
      </c>
      <c r="E957" s="75">
        <f>$E$769</f>
        <v>200</v>
      </c>
      <c r="F957" s="76">
        <f>$H$769</f>
        <v>1005.312</v>
      </c>
      <c r="G957" s="1118">
        <f>$H$774</f>
        <v>2389.0088671531958</v>
      </c>
      <c r="H957" s="1119">
        <f>$C$775</f>
        <v>20</v>
      </c>
      <c r="I957" s="1119">
        <f>$E$775</f>
        <v>125</v>
      </c>
      <c r="J957" s="1119">
        <f>$H$775</f>
        <v>2513.2800000000002</v>
      </c>
      <c r="K957" s="790"/>
      <c r="L957" s="28"/>
      <c r="M957" s="28"/>
      <c r="N957" s="28"/>
      <c r="O957" s="28"/>
      <c r="P957" s="28"/>
      <c r="Q957" s="28"/>
      <c r="R957" s="28"/>
    </row>
    <row r="958" spans="1:18" x14ac:dyDescent="0.2">
      <c r="A958" s="534"/>
      <c r="B958" s="72"/>
      <c r="C958" s="86"/>
      <c r="D958" s="86"/>
      <c r="E958" s="86"/>
      <c r="F958" s="86"/>
      <c r="G958" s="1112"/>
      <c r="H958" s="1112"/>
      <c r="I958" s="1112"/>
      <c r="J958" s="1112"/>
      <c r="K958" s="620"/>
      <c r="L958" s="28"/>
      <c r="M958" s="28"/>
      <c r="N958" s="28"/>
      <c r="O958" s="28"/>
      <c r="P958" s="28"/>
      <c r="Q958" s="28"/>
      <c r="R958" s="28"/>
    </row>
    <row r="959" spans="1:18" x14ac:dyDescent="0.2">
      <c r="A959" s="534"/>
      <c r="B959" s="623" t="s">
        <v>403</v>
      </c>
      <c r="C959" s="622"/>
      <c r="D959" s="622"/>
      <c r="E959" s="622"/>
      <c r="F959" s="622"/>
      <c r="G959" s="1113"/>
      <c r="H959" s="1113"/>
      <c r="I959" s="1113"/>
      <c r="J959" s="1114"/>
      <c r="K959" s="620"/>
      <c r="L959" s="28"/>
      <c r="M959" s="28"/>
      <c r="N959" s="28"/>
      <c r="O959" s="28"/>
      <c r="P959" s="28"/>
      <c r="Q959" s="28"/>
      <c r="R959" s="28"/>
    </row>
    <row r="960" spans="1:18" x14ac:dyDescent="0.2">
      <c r="A960" s="534"/>
      <c r="B960" s="143" t="s">
        <v>283</v>
      </c>
      <c r="C960" s="82">
        <f>$H$293</f>
        <v>760</v>
      </c>
      <c r="D960" s="83">
        <f>$C$294</f>
        <v>16</v>
      </c>
      <c r="E960" s="83">
        <f>$E$294</f>
        <v>250</v>
      </c>
      <c r="F960" s="84">
        <f>$H$294</f>
        <v>804.24959999999999</v>
      </c>
      <c r="G960" s="1115">
        <f>$H$303</f>
        <v>2420.4558321154868</v>
      </c>
      <c r="H960" s="1116">
        <f>$C$304</f>
        <v>20</v>
      </c>
      <c r="I960" s="1116">
        <f>$E$304</f>
        <v>125</v>
      </c>
      <c r="J960" s="1120">
        <f>$H$304</f>
        <v>2513.2800000000002</v>
      </c>
      <c r="K960" s="620"/>
      <c r="L960" s="28"/>
      <c r="M960" s="28"/>
      <c r="N960" s="28"/>
      <c r="O960" s="28"/>
      <c r="P960" s="28"/>
      <c r="Q960" s="28"/>
      <c r="R960" s="28"/>
    </row>
    <row r="961" spans="1:18" x14ac:dyDescent="0.2">
      <c r="A961" s="534"/>
      <c r="B961" s="144" t="s">
        <v>284</v>
      </c>
      <c r="C961" s="85">
        <f>$H$455</f>
        <v>760</v>
      </c>
      <c r="D961" s="86">
        <f>$C$456</f>
        <v>16</v>
      </c>
      <c r="E961" s="86">
        <f>$E$456</f>
        <v>200</v>
      </c>
      <c r="F961" s="87">
        <f>$H$456</f>
        <v>1005.312</v>
      </c>
      <c r="G961" s="1117">
        <f>$H$460</f>
        <v>1765.0592323102896</v>
      </c>
      <c r="H961" s="1112">
        <f>$C$461</f>
        <v>20</v>
      </c>
      <c r="I961" s="1112">
        <f>$E$461</f>
        <v>125</v>
      </c>
      <c r="J961" s="1121">
        <f>$H$461</f>
        <v>2513.2800000000002</v>
      </c>
      <c r="K961" s="620"/>
      <c r="L961" s="28"/>
      <c r="M961" s="28"/>
      <c r="N961" s="28"/>
      <c r="O961" s="28"/>
      <c r="P961" s="28"/>
      <c r="Q961" s="28"/>
      <c r="R961" s="28"/>
    </row>
    <row r="962" spans="1:18" x14ac:dyDescent="0.2">
      <c r="A962" s="534"/>
      <c r="B962" s="144" t="s">
        <v>285</v>
      </c>
      <c r="C962" s="85">
        <f>$H$583</f>
        <v>760</v>
      </c>
      <c r="D962" s="86">
        <f>$C$584</f>
        <v>16</v>
      </c>
      <c r="E962" s="86">
        <f>$E$584</f>
        <v>200</v>
      </c>
      <c r="F962" s="87">
        <f>$H$584</f>
        <v>1005.312</v>
      </c>
      <c r="G962" s="1117">
        <f>$H$589</f>
        <v>2373.2803160669469</v>
      </c>
      <c r="H962" s="1112">
        <f>$C$590</f>
        <v>20</v>
      </c>
      <c r="I962" s="1112">
        <f>$E$590</f>
        <v>125</v>
      </c>
      <c r="J962" s="1121">
        <f>$H$590</f>
        <v>2513.2800000000002</v>
      </c>
      <c r="K962" s="620"/>
      <c r="L962" s="28"/>
      <c r="M962" s="28"/>
      <c r="N962" s="28"/>
      <c r="O962" s="28"/>
      <c r="P962" s="28"/>
      <c r="Q962" s="28"/>
      <c r="R962" s="28"/>
    </row>
    <row r="963" spans="1:18" x14ac:dyDescent="0.2">
      <c r="A963" s="534"/>
      <c r="B963" s="144" t="s">
        <v>286</v>
      </c>
      <c r="C963" s="85">
        <f>$H$711</f>
        <v>760</v>
      </c>
      <c r="D963" s="86">
        <f>$C$712</f>
        <v>16</v>
      </c>
      <c r="E963" s="86">
        <f>$E$712</f>
        <v>200</v>
      </c>
      <c r="F963" s="87">
        <f>$H$712</f>
        <v>1005.312</v>
      </c>
      <c r="G963" s="1117">
        <f>$H$717</f>
        <v>2416.3363053188541</v>
      </c>
      <c r="H963" s="1112">
        <f>$C$718</f>
        <v>20</v>
      </c>
      <c r="I963" s="1112">
        <f>$E$718</f>
        <v>125</v>
      </c>
      <c r="J963" s="1121">
        <f>$H$718</f>
        <v>2513.2800000000002</v>
      </c>
      <c r="K963" s="624"/>
      <c r="L963" s="28"/>
      <c r="M963" s="28"/>
      <c r="N963" s="28"/>
      <c r="O963" s="28"/>
      <c r="P963" s="28"/>
      <c r="Q963" s="28"/>
      <c r="R963" s="28"/>
    </row>
    <row r="964" spans="1:18" x14ac:dyDescent="0.2">
      <c r="A964" s="534"/>
      <c r="B964" s="145" t="s">
        <v>295</v>
      </c>
      <c r="C964" s="74">
        <f>$H$839</f>
        <v>1723.8555900889369</v>
      </c>
      <c r="D964" s="75">
        <f>$C$840</f>
        <v>16</v>
      </c>
      <c r="E964" s="75">
        <f>$E$840</f>
        <v>200</v>
      </c>
      <c r="F964" s="76">
        <f>$H$840</f>
        <v>1005.312</v>
      </c>
      <c r="G964" s="1118">
        <f>$H$845</f>
        <v>2511.8856722956225</v>
      </c>
      <c r="H964" s="1119">
        <f>$C$846</f>
        <v>20</v>
      </c>
      <c r="I964" s="1119">
        <f>$E$846</f>
        <v>125</v>
      </c>
      <c r="J964" s="1122">
        <f>$H$846</f>
        <v>2513.2800000000002</v>
      </c>
      <c r="K964" s="620"/>
      <c r="L964" s="28"/>
      <c r="M964" s="28"/>
      <c r="N964" s="28"/>
      <c r="O964" s="28"/>
      <c r="P964" s="28"/>
      <c r="Q964" s="28"/>
      <c r="R964" s="28"/>
    </row>
    <row r="965" spans="1:18" ht="13.5" thickBot="1" x14ac:dyDescent="0.25">
      <c r="A965" s="546"/>
      <c r="B965" s="627"/>
      <c r="C965" s="628"/>
      <c r="D965" s="628"/>
      <c r="E965" s="628"/>
      <c r="F965" s="628"/>
      <c r="G965" s="628"/>
      <c r="H965" s="628"/>
      <c r="I965" s="628"/>
      <c r="J965" s="642"/>
      <c r="K965" s="629" t="s">
        <v>2422</v>
      </c>
      <c r="L965" s="28"/>
      <c r="M965" s="28"/>
      <c r="N965" s="28"/>
      <c r="O965" s="28"/>
      <c r="P965" s="28"/>
      <c r="Q965" s="28"/>
      <c r="R965" s="28"/>
    </row>
    <row r="966" spans="1:18" ht="13.5" thickBot="1" x14ac:dyDescent="0.25">
      <c r="B966" s="72"/>
      <c r="C966" s="86"/>
      <c r="D966" s="86"/>
      <c r="E966" s="86"/>
      <c r="F966" s="86"/>
      <c r="G966" s="86"/>
      <c r="H966" s="86"/>
      <c r="I966" s="86"/>
      <c r="J966" s="86"/>
      <c r="K966" s="28"/>
      <c r="L966" s="28"/>
      <c r="M966" s="28"/>
      <c r="N966" s="28"/>
      <c r="O966" s="28"/>
      <c r="P966" s="28"/>
      <c r="Q966" s="28"/>
      <c r="R966" s="28"/>
    </row>
    <row r="967" spans="1:18" x14ac:dyDescent="0.2">
      <c r="A967" s="530"/>
      <c r="B967" s="630" t="s">
        <v>194</v>
      </c>
      <c r="C967" s="532"/>
      <c r="D967" s="532"/>
      <c r="E967" s="532"/>
      <c r="F967" s="532"/>
      <c r="G967" s="532"/>
      <c r="H967" s="532"/>
      <c r="I967" s="532"/>
      <c r="J967" s="532"/>
      <c r="K967" s="533"/>
    </row>
    <row r="968" spans="1:18" x14ac:dyDescent="0.2">
      <c r="A968" s="534"/>
      <c r="B968" s="146"/>
      <c r="C968" s="92"/>
      <c r="D968" s="92"/>
      <c r="E968" s="92"/>
      <c r="F968" s="92"/>
      <c r="G968" s="92"/>
      <c r="H968" s="92"/>
      <c r="I968" s="92"/>
      <c r="J968" s="92"/>
      <c r="K968" s="535"/>
    </row>
    <row r="969" spans="1:18" x14ac:dyDescent="0.2">
      <c r="A969" s="534"/>
      <c r="B969" s="112"/>
      <c r="C969" s="1465" t="s">
        <v>316</v>
      </c>
      <c r="D969" s="1466"/>
      <c r="E969" s="577"/>
      <c r="F969" s="107"/>
      <c r="G969" s="1465" t="s">
        <v>317</v>
      </c>
      <c r="H969" s="1466"/>
      <c r="I969" s="578"/>
      <c r="J969" s="92"/>
      <c r="K969" s="535"/>
      <c r="L969" s="1450"/>
      <c r="M969" s="1450"/>
      <c r="N969" s="92"/>
      <c r="O969" s="92"/>
    </row>
    <row r="970" spans="1:18" x14ac:dyDescent="0.2">
      <c r="A970" s="534"/>
      <c r="B970" s="110" t="s">
        <v>196</v>
      </c>
      <c r="C970" s="52" t="s">
        <v>314</v>
      </c>
      <c r="D970" s="52" t="s">
        <v>312</v>
      </c>
      <c r="E970" s="104"/>
      <c r="F970" s="108"/>
      <c r="G970" s="102" t="s">
        <v>313</v>
      </c>
      <c r="H970" s="102" t="s">
        <v>315</v>
      </c>
      <c r="I970" s="102"/>
      <c r="J970" s="92"/>
      <c r="K970" s="535"/>
      <c r="L970" s="157"/>
      <c r="M970" s="92"/>
      <c r="N970" s="92"/>
      <c r="O970" s="92"/>
    </row>
    <row r="971" spans="1:18" ht="14.25" x14ac:dyDescent="0.2">
      <c r="A971" s="534"/>
      <c r="B971" s="113"/>
      <c r="C971" s="59" t="s">
        <v>308</v>
      </c>
      <c r="D971" s="59" t="s">
        <v>309</v>
      </c>
      <c r="E971" s="526" t="s">
        <v>306</v>
      </c>
      <c r="F971" s="109"/>
      <c r="G971" s="59" t="s">
        <v>311</v>
      </c>
      <c r="H971" s="59" t="s">
        <v>311</v>
      </c>
      <c r="I971" s="671" t="s">
        <v>307</v>
      </c>
      <c r="J971" s="117"/>
      <c r="K971" s="618"/>
      <c r="L971" s="117"/>
      <c r="M971" s="117"/>
      <c r="N971" s="117"/>
      <c r="O971" s="92"/>
    </row>
    <row r="972" spans="1:18" x14ac:dyDescent="0.2">
      <c r="A972" s="534"/>
      <c r="B972" s="114" t="s">
        <v>187</v>
      </c>
      <c r="C972" s="105"/>
      <c r="D972" s="105"/>
      <c r="E972" s="106"/>
      <c r="F972" s="110"/>
      <c r="G972" s="96"/>
      <c r="H972" s="97"/>
      <c r="I972" s="78"/>
      <c r="J972" s="146"/>
      <c r="K972" s="535"/>
      <c r="L972" s="92"/>
      <c r="M972" s="92"/>
      <c r="N972" s="92"/>
      <c r="O972" s="92"/>
    </row>
    <row r="973" spans="1:18" x14ac:dyDescent="0.2">
      <c r="A973" s="534"/>
      <c r="B973" s="112" t="s">
        <v>188</v>
      </c>
      <c r="C973" s="82">
        <f>G141</f>
        <v>508.56056652486302</v>
      </c>
      <c r="D973" s="83">
        <f>G142</f>
        <v>700</v>
      </c>
      <c r="E973" s="520" t="str">
        <f>IF(D973&gt;=C973,IF(D973&gt;1.5*C973," &gt;50% Exc","    OK"),"  Not OK")</f>
        <v xml:space="preserve">    OK</v>
      </c>
      <c r="F973" s="521"/>
      <c r="G973" s="85">
        <f>F179</f>
        <v>840.99690843664825</v>
      </c>
      <c r="H973" s="86">
        <f>H182</f>
        <v>488.62285067946402</v>
      </c>
      <c r="I973" s="90" t="str">
        <f>IF(G973&gt;=H973,"    OK","  Not OK")</f>
        <v xml:space="preserve">    OK</v>
      </c>
      <c r="J973" s="146"/>
      <c r="K973" s="625"/>
      <c r="L973" s="123"/>
      <c r="M973" s="20"/>
      <c r="N973" s="123"/>
      <c r="O973" s="20"/>
    </row>
    <row r="974" spans="1:18" x14ac:dyDescent="0.2">
      <c r="A974" s="534"/>
      <c r="B974" s="110" t="s">
        <v>189</v>
      </c>
      <c r="C974" s="85">
        <f>G373</f>
        <v>443.98315259030858</v>
      </c>
      <c r="D974" s="86">
        <f>G374</f>
        <v>700</v>
      </c>
      <c r="E974" s="522" t="str">
        <f>IF(D974&gt;=C974,IF(D974&gt;1.5*C974," &gt;50% Exc","    OK"),"  Not OK")</f>
        <v xml:space="preserve"> &gt;50% Exc</v>
      </c>
      <c r="F974" s="521"/>
      <c r="G974" s="85">
        <f>J395</f>
        <v>840.99690843664825</v>
      </c>
      <c r="H974" s="86">
        <f>D396</f>
        <v>394.07854332417412</v>
      </c>
      <c r="I974" s="90" t="str">
        <f>IF(G974&gt;=H974,"    OK","  Not OK")</f>
        <v xml:space="preserve">    OK</v>
      </c>
      <c r="J974" s="146"/>
      <c r="K974" s="625"/>
      <c r="L974" s="123"/>
      <c r="M974" s="20"/>
      <c r="N974" s="123"/>
      <c r="O974" s="20"/>
    </row>
    <row r="975" spans="1:18" x14ac:dyDescent="0.2">
      <c r="A975" s="534"/>
      <c r="B975" s="110" t="s">
        <v>190</v>
      </c>
      <c r="C975" s="85">
        <f>F499</f>
        <v>502.26192779639894</v>
      </c>
      <c r="D975" s="86">
        <f>F500</f>
        <v>675</v>
      </c>
      <c r="E975" s="522" t="str">
        <f>IF(D975&gt;=C975,IF(D975&gt;1.5*C975," &gt;50% Exc","    OK"),"  Not OK")</f>
        <v xml:space="preserve">    OK</v>
      </c>
      <c r="F975" s="521"/>
      <c r="G975" s="85">
        <f>J522</f>
        <v>840.99690843664825</v>
      </c>
      <c r="H975" s="86">
        <f>D523</f>
        <v>499.14696429811386</v>
      </c>
      <c r="I975" s="90" t="str">
        <f>IF(G975&gt;=H975,"    OK","  Not OK")</f>
        <v xml:space="preserve">    OK</v>
      </c>
      <c r="J975" s="146"/>
      <c r="K975" s="625"/>
      <c r="L975" s="123"/>
      <c r="M975" s="20"/>
      <c r="N975" s="123"/>
      <c r="O975" s="20"/>
    </row>
    <row r="976" spans="1:18" x14ac:dyDescent="0.2">
      <c r="A976" s="534"/>
      <c r="B976" s="110" t="s">
        <v>191</v>
      </c>
      <c r="C976" s="85">
        <f>F628</f>
        <v>502.26192779639894</v>
      </c>
      <c r="D976" s="86">
        <f>F629</f>
        <v>675</v>
      </c>
      <c r="E976" s="522" t="str">
        <f>IF(D976&gt;=C976,IF(D976&gt;1.5*C976," &gt;50% Exc","    OK"),"  Not OK")</f>
        <v xml:space="preserve">    OK</v>
      </c>
      <c r="F976" s="521"/>
      <c r="G976" s="85">
        <f>J651</f>
        <v>840.99690843664825</v>
      </c>
      <c r="H976" s="86">
        <f>D652</f>
        <v>499.14696429811386</v>
      </c>
      <c r="I976" s="90" t="str">
        <f>IF(G976&gt;=H976,"    OK","  Not OK")</f>
        <v xml:space="preserve">    OK</v>
      </c>
      <c r="J976" s="146"/>
      <c r="K976" s="625"/>
      <c r="L976" s="123"/>
      <c r="M976" s="20"/>
      <c r="N976" s="123"/>
      <c r="O976" s="20"/>
    </row>
    <row r="977" spans="1:15" x14ac:dyDescent="0.2">
      <c r="A977" s="534"/>
      <c r="B977" s="110" t="s">
        <v>192</v>
      </c>
      <c r="C977" s="85">
        <f>F755</f>
        <v>502.26192779639894</v>
      </c>
      <c r="D977" s="86">
        <f>F756</f>
        <v>650</v>
      </c>
      <c r="E977" s="522" t="str">
        <f>IF(D977&gt;=C977,IF(D977&gt;1.5*C977," &gt;50% Exc","    OK"),"  Not OK")</f>
        <v xml:space="preserve">    OK</v>
      </c>
      <c r="F977" s="521"/>
      <c r="G977" s="85">
        <f>J778</f>
        <v>840.99690843664825</v>
      </c>
      <c r="H977" s="86">
        <f>D779</f>
        <v>520.84900622411874</v>
      </c>
      <c r="I977" s="90" t="str">
        <f>IF(G977&gt;=H977,"    OK","  Not OK")</f>
        <v xml:space="preserve">    OK</v>
      </c>
      <c r="J977" s="146"/>
      <c r="K977" s="625"/>
      <c r="L977" s="123"/>
      <c r="M977" s="20"/>
      <c r="N977" s="123"/>
      <c r="O977" s="20"/>
    </row>
    <row r="978" spans="1:15" x14ac:dyDescent="0.2">
      <c r="A978" s="534"/>
      <c r="B978" s="107"/>
      <c r="C978" s="91"/>
      <c r="D978" s="92"/>
      <c r="E978" s="523"/>
      <c r="F978" s="521"/>
      <c r="G978" s="91"/>
      <c r="H978" s="92"/>
      <c r="I978" s="93"/>
      <c r="J978" s="146"/>
      <c r="K978" s="535"/>
      <c r="L978" s="92"/>
      <c r="M978" s="92"/>
      <c r="N978" s="124"/>
      <c r="O978" s="92"/>
    </row>
    <row r="979" spans="1:15" x14ac:dyDescent="0.2">
      <c r="A979" s="534"/>
      <c r="B979" s="111" t="s">
        <v>193</v>
      </c>
      <c r="C979" s="91"/>
      <c r="D979" s="92"/>
      <c r="E979" s="523"/>
      <c r="F979" s="521"/>
      <c r="G979" s="91"/>
      <c r="H979" s="92"/>
      <c r="I979" s="93"/>
      <c r="J979" s="146"/>
      <c r="K979" s="535"/>
      <c r="L979" s="92"/>
      <c r="M979" s="92"/>
      <c r="N979" s="92"/>
      <c r="O979" s="92"/>
    </row>
    <row r="980" spans="1:15" x14ac:dyDescent="0.2">
      <c r="A980" s="534"/>
      <c r="B980" s="112" t="s">
        <v>188</v>
      </c>
      <c r="C980" s="85">
        <f>G270</f>
        <v>540.96345842528103</v>
      </c>
      <c r="D980" s="86">
        <f>G271</f>
        <v>750</v>
      </c>
      <c r="E980" s="522" t="str">
        <f>IF(D980&gt;=C980,IF(D980&gt;1.5*C980," &gt;50% Exc","    OK"),"  Not OK")</f>
        <v xml:space="preserve">    OK</v>
      </c>
      <c r="F980" s="521"/>
      <c r="G980" s="98" t="s">
        <v>195</v>
      </c>
      <c r="H980" s="92"/>
      <c r="I980" s="93"/>
      <c r="J980" s="146"/>
      <c r="K980" s="625"/>
      <c r="L980" s="123"/>
      <c r="M980" s="20"/>
      <c r="N980" s="123"/>
      <c r="O980" s="20"/>
    </row>
    <row r="981" spans="1:15" x14ac:dyDescent="0.2">
      <c r="A981" s="534"/>
      <c r="B981" s="110" t="s">
        <v>189</v>
      </c>
      <c r="C981" s="85">
        <f>E440</f>
        <v>472.90822922189381</v>
      </c>
      <c r="D981" s="86">
        <f>E441</f>
        <v>750</v>
      </c>
      <c r="E981" s="522" t="str">
        <f>IF(D981&gt;=C981,IF(D981&gt;1.5*C981," &gt;50% Exc","    OK"),"  Not OK")</f>
        <v xml:space="preserve"> &gt;50% Exc</v>
      </c>
      <c r="F981" s="521"/>
      <c r="G981" s="98" t="s">
        <v>195</v>
      </c>
      <c r="H981" s="92"/>
      <c r="I981" s="93"/>
      <c r="J981" s="146"/>
      <c r="K981" s="625"/>
      <c r="L981" s="123"/>
      <c r="M981" s="20"/>
      <c r="N981" s="123"/>
      <c r="O981" s="20"/>
    </row>
    <row r="982" spans="1:15" x14ac:dyDescent="0.2">
      <c r="A982" s="534"/>
      <c r="B982" s="110" t="s">
        <v>190</v>
      </c>
      <c r="C982" s="85">
        <f>F568</f>
        <v>534.47150104526031</v>
      </c>
      <c r="D982" s="86">
        <f>F569</f>
        <v>744.36860068259386</v>
      </c>
      <c r="E982" s="522" t="str">
        <f>IF(D982&gt;=C982,IF(D982&gt;1.5*C982," &gt;50% Exc","    OK"),"  Not OK")</f>
        <v xml:space="preserve">    OK</v>
      </c>
      <c r="F982" s="521"/>
      <c r="G982" s="98" t="s">
        <v>195</v>
      </c>
      <c r="H982" s="92"/>
      <c r="I982" s="93"/>
      <c r="J982" s="146"/>
      <c r="K982" s="625"/>
      <c r="L982" s="123"/>
      <c r="M982" s="20"/>
      <c r="N982" s="123"/>
      <c r="O982" s="20"/>
    </row>
    <row r="983" spans="1:15" x14ac:dyDescent="0.2">
      <c r="A983" s="534"/>
      <c r="B983" s="110" t="s">
        <v>191</v>
      </c>
      <c r="C983" s="85">
        <f>F696</f>
        <v>532.85227579704372</v>
      </c>
      <c r="D983" s="86">
        <f>F697</f>
        <v>727.81569965870312</v>
      </c>
      <c r="E983" s="522" t="str">
        <f>IF(D983&gt;=C983,IF(D983&gt;1.5*C983," &gt;50% Exc","    OK"),"  Not OK")</f>
        <v xml:space="preserve">    OK</v>
      </c>
      <c r="F983" s="521"/>
      <c r="G983" s="98" t="s">
        <v>195</v>
      </c>
      <c r="H983" s="92"/>
      <c r="I983" s="93"/>
      <c r="J983" s="146"/>
      <c r="K983" s="625"/>
      <c r="L983" s="123"/>
      <c r="M983" s="20"/>
      <c r="N983" s="123"/>
      <c r="O983" s="20"/>
    </row>
    <row r="984" spans="1:15" x14ac:dyDescent="0.2">
      <c r="A984" s="534"/>
      <c r="B984" s="111" t="s">
        <v>192</v>
      </c>
      <c r="C984" s="74">
        <f>E824</f>
        <v>531.76344047679549</v>
      </c>
      <c r="D984" s="75">
        <f>E825</f>
        <v>700</v>
      </c>
      <c r="E984" s="524" t="str">
        <f>IF(D984&gt;=C984,IF(D984&gt;1.5*C984," &gt;50% Exc","    OK"),"  Not OK")</f>
        <v xml:space="preserve">    OK</v>
      </c>
      <c r="F984" s="525"/>
      <c r="G984" s="99" t="s">
        <v>195</v>
      </c>
      <c r="H984" s="100"/>
      <c r="I984" s="101"/>
      <c r="J984" s="146"/>
      <c r="K984" s="625"/>
      <c r="L984" s="123"/>
      <c r="M984" s="20"/>
      <c r="N984" s="123"/>
      <c r="O984" s="20"/>
    </row>
    <row r="985" spans="1:15" x14ac:dyDescent="0.2">
      <c r="A985" s="534"/>
      <c r="B985" s="146"/>
      <c r="C985" s="86"/>
      <c r="D985" s="86"/>
      <c r="E985" s="20"/>
      <c r="F985" s="146"/>
      <c r="G985" s="146"/>
      <c r="H985" s="92"/>
      <c r="I985" s="92"/>
      <c r="J985" s="146"/>
      <c r="K985" s="625"/>
      <c r="L985" s="123"/>
      <c r="M985" s="20"/>
      <c r="N985" s="123"/>
      <c r="O985" s="20"/>
    </row>
    <row r="986" spans="1:15" x14ac:dyDescent="0.2">
      <c r="A986" s="534"/>
      <c r="B986" s="146"/>
      <c r="C986" s="86"/>
      <c r="D986" s="86"/>
      <c r="E986" s="20"/>
      <c r="F986" s="146"/>
      <c r="G986" s="146"/>
      <c r="H986" s="92"/>
      <c r="I986" s="92"/>
      <c r="J986" s="146"/>
      <c r="K986" s="625"/>
      <c r="L986" s="123"/>
      <c r="M986" s="20"/>
      <c r="N986" s="123"/>
      <c r="O986" s="20"/>
    </row>
    <row r="987" spans="1:15" x14ac:dyDescent="0.2">
      <c r="A987" s="534"/>
      <c r="B987" s="643" t="str">
        <f>B925</f>
        <v>WINGWALL AND APRON (C/S)</v>
      </c>
      <c r="C987" s="86"/>
      <c r="D987" s="86"/>
      <c r="E987" s="20"/>
      <c r="F987" s="146"/>
      <c r="G987" s="146"/>
      <c r="H987" s="539"/>
      <c r="I987" s="92"/>
      <c r="J987" s="92"/>
      <c r="K987" s="625"/>
      <c r="L987" s="123"/>
      <c r="M987" s="20"/>
      <c r="N987" s="123"/>
      <c r="O987" s="20"/>
    </row>
    <row r="988" spans="1:15" x14ac:dyDescent="0.2">
      <c r="A988" s="534"/>
      <c r="B988" s="146"/>
      <c r="C988" s="86"/>
      <c r="D988" s="86"/>
      <c r="E988" s="20"/>
      <c r="F988" s="146"/>
      <c r="G988" s="146"/>
      <c r="H988" s="92"/>
      <c r="I988" s="92"/>
      <c r="J988" s="146"/>
      <c r="K988" s="625"/>
      <c r="L988" s="123"/>
      <c r="M988" s="20"/>
      <c r="N988" s="123"/>
      <c r="O988" s="20"/>
    </row>
    <row r="989" spans="1:15" x14ac:dyDescent="0.2">
      <c r="A989" s="534"/>
      <c r="B989" s="92"/>
      <c r="C989" s="146"/>
      <c r="D989" s="1468" t="s">
        <v>318</v>
      </c>
      <c r="E989" s="1469"/>
      <c r="F989" s="1469"/>
      <c r="G989" s="1470"/>
      <c r="H989" s="146"/>
      <c r="I989" s="92"/>
      <c r="J989" s="146"/>
      <c r="K989" s="625"/>
      <c r="L989" s="123"/>
      <c r="M989" s="20"/>
      <c r="N989" s="123"/>
      <c r="O989" s="20"/>
    </row>
    <row r="990" spans="1:15" x14ac:dyDescent="0.2">
      <c r="A990" s="534"/>
      <c r="B990" s="92"/>
      <c r="C990" s="77" t="s">
        <v>404</v>
      </c>
      <c r="D990" s="84"/>
      <c r="E990" s="581" t="s">
        <v>405</v>
      </c>
      <c r="F990" s="582"/>
      <c r="G990" s="585" t="s">
        <v>406</v>
      </c>
      <c r="H990" s="586"/>
      <c r="I990" s="92"/>
      <c r="J990" s="146"/>
      <c r="K990" s="625"/>
      <c r="L990" s="123"/>
      <c r="M990" s="20"/>
      <c r="N990" s="123"/>
      <c r="O990" s="20"/>
    </row>
    <row r="991" spans="1:15" x14ac:dyDescent="0.2">
      <c r="A991" s="534"/>
      <c r="B991" s="92"/>
      <c r="C991" s="99"/>
      <c r="D991" s="76" t="s">
        <v>214</v>
      </c>
      <c r="E991" s="147" t="s">
        <v>407</v>
      </c>
      <c r="F991" s="148" t="s">
        <v>310</v>
      </c>
      <c r="G991" s="149" t="s">
        <v>407</v>
      </c>
      <c r="H991" s="149" t="s">
        <v>310</v>
      </c>
      <c r="I991" s="92"/>
      <c r="J991" s="146"/>
      <c r="K991" s="625"/>
      <c r="L991" s="123"/>
      <c r="M991" s="20"/>
      <c r="N991" s="123"/>
      <c r="O991" s="20"/>
    </row>
    <row r="992" spans="1:15" x14ac:dyDescent="0.2">
      <c r="A992" s="534"/>
      <c r="B992" s="146" t="s">
        <v>410</v>
      </c>
      <c r="C992" s="86"/>
      <c r="D992" s="86"/>
      <c r="E992" s="20"/>
      <c r="F992" s="146"/>
      <c r="G992" s="146"/>
      <c r="H992" s="78"/>
      <c r="I992" s="92"/>
      <c r="J992" s="146"/>
      <c r="K992" s="625"/>
      <c r="L992" s="123"/>
      <c r="M992" s="20"/>
      <c r="N992" s="123"/>
      <c r="O992" s="20"/>
    </row>
    <row r="993" spans="1:18" x14ac:dyDescent="0.2">
      <c r="A993" s="534"/>
      <c r="B993" s="112" t="s">
        <v>188</v>
      </c>
      <c r="C993" s="86"/>
      <c r="D993" s="123">
        <f>$F$31</f>
        <v>5.15</v>
      </c>
      <c r="E993" s="123">
        <f>$I$211</f>
        <v>1.6661999999999997</v>
      </c>
      <c r="F993" s="20" t="str">
        <f>IF(D993=E993,"  No","  Yes")</f>
        <v xml:space="preserve">  Yes</v>
      </c>
      <c r="G993" s="123">
        <f>$H$236</f>
        <v>2.5781999999999998</v>
      </c>
      <c r="H993" s="90" t="str">
        <f>IF(D993=G993,"   No","   Yes")</f>
        <v xml:space="preserve">   Yes</v>
      </c>
      <c r="I993" s="92"/>
      <c r="J993" s="146"/>
      <c r="K993" s="625"/>
      <c r="L993" s="123"/>
      <c r="M993" s="20"/>
      <c r="N993" s="123"/>
      <c r="O993" s="20"/>
    </row>
    <row r="994" spans="1:18" x14ac:dyDescent="0.2">
      <c r="A994" s="534"/>
      <c r="B994" s="110" t="s">
        <v>189</v>
      </c>
      <c r="C994" s="86"/>
      <c r="D994" s="123">
        <f>$F$32</f>
        <v>4.625</v>
      </c>
      <c r="E994" s="123">
        <f>$H$409</f>
        <v>0.55740000000000012</v>
      </c>
      <c r="F994" s="20" t="str">
        <f>IF(D994=E994,"  No","  Yes")</f>
        <v xml:space="preserve">  Yes</v>
      </c>
      <c r="G994" s="123">
        <f>$H$420</f>
        <v>1.6390000000000002</v>
      </c>
      <c r="H994" s="90" t="str">
        <f>IF(D994=G994,"   No","   Yes")</f>
        <v xml:space="preserve">   Yes</v>
      </c>
      <c r="I994" s="92"/>
      <c r="J994" s="146"/>
      <c r="K994" s="625"/>
      <c r="L994" s="123"/>
      <c r="M994" s="20"/>
      <c r="N994" s="123"/>
      <c r="O994" s="20"/>
    </row>
    <row r="995" spans="1:18" x14ac:dyDescent="0.2">
      <c r="A995" s="534"/>
      <c r="B995" s="110" t="s">
        <v>190</v>
      </c>
      <c r="C995" s="86"/>
      <c r="D995" s="123">
        <f>$F$33</f>
        <v>5.0999999999999996</v>
      </c>
      <c r="E995" s="123">
        <f>$H$535</f>
        <v>1.6432800000000003</v>
      </c>
      <c r="F995" s="20" t="str">
        <f>IF(D995=E995,"  No","  Yes")</f>
        <v xml:space="preserve">  Yes</v>
      </c>
      <c r="G995" s="123">
        <f>$H$546</f>
        <v>2.5504799999999999</v>
      </c>
      <c r="H995" s="90" t="str">
        <f>IF(D995=G995,"   No","   Yes")</f>
        <v xml:space="preserve">   Yes</v>
      </c>
      <c r="I995" s="92"/>
      <c r="J995" s="146"/>
      <c r="K995" s="625"/>
      <c r="L995" s="123"/>
      <c r="M995" s="20"/>
      <c r="N995" s="123"/>
      <c r="O995" s="20"/>
    </row>
    <row r="996" spans="1:18" x14ac:dyDescent="0.2">
      <c r="A996" s="534"/>
      <c r="B996" s="110" t="s">
        <v>191</v>
      </c>
      <c r="C996" s="86"/>
      <c r="D996" s="123">
        <f>$F$34</f>
        <v>5.0999999999999996</v>
      </c>
      <c r="E996" s="123">
        <f>$H$664</f>
        <v>1.6432800000000003</v>
      </c>
      <c r="F996" s="20" t="str">
        <f>IF(D996=E996,"  No","  Yes")</f>
        <v xml:space="preserve">  Yes</v>
      </c>
      <c r="G996" s="123">
        <f>$H$675</f>
        <v>2.5504799999999999</v>
      </c>
      <c r="H996" s="90" t="str">
        <f>IF(D996=G996,"   No","   Yes")</f>
        <v xml:space="preserve">   Yes</v>
      </c>
      <c r="I996" s="92"/>
      <c r="J996" s="146"/>
      <c r="K996" s="625"/>
      <c r="L996" s="123"/>
      <c r="M996" s="20"/>
      <c r="N996" s="123"/>
      <c r="O996" s="20"/>
    </row>
    <row r="997" spans="1:18" x14ac:dyDescent="0.2">
      <c r="A997" s="534"/>
      <c r="B997" s="110" t="s">
        <v>192</v>
      </c>
      <c r="C997" s="86"/>
      <c r="D997" s="123">
        <f>$F$35</f>
        <v>5.0999999999999996</v>
      </c>
      <c r="E997" s="123">
        <f>$H$791</f>
        <v>1.6846000000000005</v>
      </c>
      <c r="F997" s="20" t="str">
        <f>IF(D997=E997,"  No","  Yes")</f>
        <v xml:space="preserve">  Yes</v>
      </c>
      <c r="G997" s="123">
        <f>$H$802</f>
        <v>2.5737999999999999</v>
      </c>
      <c r="H997" s="90" t="str">
        <f>IF(D997=G997,"   No","   Yes")</f>
        <v xml:space="preserve">   Yes</v>
      </c>
      <c r="I997" s="92"/>
      <c r="J997" s="146"/>
      <c r="K997" s="625"/>
      <c r="L997" s="123"/>
      <c r="M997" s="20"/>
      <c r="N997" s="123"/>
      <c r="O997" s="20"/>
    </row>
    <row r="998" spans="1:18" x14ac:dyDescent="0.2">
      <c r="A998" s="534"/>
      <c r="B998" s="107"/>
      <c r="C998" s="86"/>
      <c r="D998" s="86"/>
      <c r="E998" s="20"/>
      <c r="F998" s="146"/>
      <c r="G998" s="146"/>
      <c r="H998" s="93"/>
      <c r="I998" s="92"/>
      <c r="J998" s="146"/>
      <c r="K998" s="625"/>
      <c r="L998" s="123"/>
      <c r="M998" s="20"/>
      <c r="N998" s="123"/>
      <c r="O998" s="20"/>
    </row>
    <row r="999" spans="1:18" x14ac:dyDescent="0.2">
      <c r="A999" s="534"/>
      <c r="B999" s="111" t="s">
        <v>193</v>
      </c>
      <c r="C999" s="86"/>
      <c r="D999" s="86"/>
      <c r="E999" s="20"/>
      <c r="F999" s="146"/>
      <c r="G999" s="146"/>
      <c r="H999" s="93"/>
      <c r="I999" s="92"/>
      <c r="J999" s="146"/>
      <c r="K999" s="625"/>
      <c r="L999" s="123"/>
      <c r="M999" s="20"/>
      <c r="N999" s="123"/>
      <c r="O999" s="20"/>
    </row>
    <row r="1000" spans="1:18" x14ac:dyDescent="0.2">
      <c r="A1000" s="534"/>
      <c r="B1000" s="112" t="s">
        <v>188</v>
      </c>
      <c r="C1000" s="86"/>
      <c r="D1000" s="123">
        <f>$H$31/2</f>
        <v>0.75</v>
      </c>
      <c r="E1000" s="123">
        <f>$H$335</f>
        <v>0.75</v>
      </c>
      <c r="F1000" s="20" t="str">
        <f>IF(D1000=E1000,"   No","   Yes")</f>
        <v xml:space="preserve">   No</v>
      </c>
      <c r="G1000" s="123">
        <f>$H$361</f>
        <v>0.75</v>
      </c>
      <c r="H1000" s="90" t="str">
        <f>IF(D1000=G1000,"   No","   Yes")</f>
        <v xml:space="preserve">   No</v>
      </c>
      <c r="I1000" s="92"/>
      <c r="J1000" s="146"/>
      <c r="K1000" s="625"/>
      <c r="L1000" s="123"/>
      <c r="M1000" s="20"/>
      <c r="N1000" s="123"/>
      <c r="O1000" s="20"/>
    </row>
    <row r="1001" spans="1:18" x14ac:dyDescent="0.2">
      <c r="A1001" s="534"/>
      <c r="B1001" s="110" t="s">
        <v>189</v>
      </c>
      <c r="C1001" s="560"/>
      <c r="D1001" s="123">
        <f>$H$32/2</f>
        <v>0.91743827160493829</v>
      </c>
      <c r="E1001" s="123">
        <f>$H$474</f>
        <v>0.91743827160493829</v>
      </c>
      <c r="F1001" s="20" t="str">
        <f>IF(D1001=E1001,"   No","   Yes")</f>
        <v xml:space="preserve">   No</v>
      </c>
      <c r="G1001" s="123">
        <f>$H$485</f>
        <v>0.91743827160493829</v>
      </c>
      <c r="H1001" s="90" t="str">
        <f>IF(D1001=G1001,"   No","   Yes")</f>
        <v xml:space="preserve">   No</v>
      </c>
      <c r="I1001" s="560"/>
      <c r="J1001" s="560"/>
      <c r="K1001" s="620"/>
      <c r="L1001" s="28"/>
      <c r="M1001" s="28"/>
      <c r="N1001" s="28"/>
      <c r="O1001" s="28"/>
    </row>
    <row r="1002" spans="1:18" x14ac:dyDescent="0.2">
      <c r="A1002" s="536"/>
      <c r="B1002" s="110" t="s">
        <v>190</v>
      </c>
      <c r="C1002" s="92"/>
      <c r="D1002" s="123">
        <f>$H$33/2</f>
        <v>1.095679012345679</v>
      </c>
      <c r="E1002" s="123">
        <f>$H$602</f>
        <v>1.095679012345679</v>
      </c>
      <c r="F1002" s="20" t="str">
        <f>IF(D1002=E1002,"   No","   Yes")</f>
        <v xml:space="preserve">   No</v>
      </c>
      <c r="G1002" s="123">
        <f>$H$614</f>
        <v>1.095679012345679</v>
      </c>
      <c r="H1002" s="90" t="str">
        <f>IF(D1002=G1002,"   No","   Yes")</f>
        <v xml:space="preserve">   No</v>
      </c>
      <c r="I1002" s="92"/>
      <c r="J1002" s="92"/>
      <c r="K1002" s="535"/>
    </row>
    <row r="1003" spans="1:18" x14ac:dyDescent="0.2">
      <c r="A1003" s="534"/>
      <c r="B1003" s="110" t="s">
        <v>191</v>
      </c>
      <c r="C1003" s="92"/>
      <c r="D1003" s="123">
        <f>$H$34/2</f>
        <v>1.7978395061728396</v>
      </c>
      <c r="E1003" s="123">
        <f>$H$730</f>
        <v>2.1353395061728397</v>
      </c>
      <c r="F1003" s="20" t="str">
        <f>IF(D1003=E1003,"   No","   Yes")</f>
        <v xml:space="preserve">   Yes</v>
      </c>
      <c r="G1003" s="123">
        <f>$H$741</f>
        <v>2.1353395061728397</v>
      </c>
      <c r="H1003" s="90" t="str">
        <f>IF(D1003=G1003,"   No","   Yes")</f>
        <v xml:space="preserve">   Yes</v>
      </c>
      <c r="I1003" s="92"/>
      <c r="J1003" s="92"/>
      <c r="K1003" s="535"/>
    </row>
    <row r="1004" spans="1:18" x14ac:dyDescent="0.2">
      <c r="A1004" s="534"/>
      <c r="B1004" s="111" t="s">
        <v>192</v>
      </c>
      <c r="C1004" s="100"/>
      <c r="D1004" s="125">
        <f>$H$35/2</f>
        <v>2.5</v>
      </c>
      <c r="E1004" s="125">
        <f>$H$859</f>
        <v>2.8250000000000002</v>
      </c>
      <c r="F1004" s="103" t="str">
        <f>IF(D1004=E1004,"   No","   Yes")</f>
        <v xml:space="preserve">   Yes</v>
      </c>
      <c r="G1004" s="125">
        <f>$H$870</f>
        <v>2.8250000000000002</v>
      </c>
      <c r="H1004" s="94" t="str">
        <f>IF(D1004=G1004,"   No","   Yes")</f>
        <v xml:space="preserve">   Yes</v>
      </c>
      <c r="I1004" s="92"/>
      <c r="J1004" s="92"/>
      <c r="K1004" s="535"/>
    </row>
    <row r="1005" spans="1:18" x14ac:dyDescent="0.2">
      <c r="A1005" s="534"/>
      <c r="B1005" s="92"/>
      <c r="C1005" s="92"/>
      <c r="D1005" s="92"/>
      <c r="E1005" s="92"/>
      <c r="F1005" s="92"/>
      <c r="G1005" s="92"/>
      <c r="H1005" s="92"/>
      <c r="I1005" s="92"/>
      <c r="J1005" s="92"/>
      <c r="K1005" s="535"/>
    </row>
    <row r="1006" spans="1:18" ht="13.5" thickBot="1" x14ac:dyDescent="0.25">
      <c r="A1006" s="546"/>
      <c r="B1006" s="512"/>
      <c r="C1006" s="512"/>
      <c r="D1006" s="512"/>
      <c r="E1006" s="512"/>
      <c r="F1006" s="512"/>
      <c r="G1006" s="512"/>
      <c r="H1006" s="512"/>
      <c r="I1006" s="512"/>
      <c r="J1006" s="512"/>
      <c r="K1006" s="629" t="s">
        <v>2423</v>
      </c>
    </row>
    <row r="1007" spans="1:18" x14ac:dyDescent="0.2">
      <c r="B1007" s="122" t="s">
        <v>197</v>
      </c>
      <c r="L1007" s="28"/>
      <c r="M1007" s="28"/>
      <c r="N1007" s="28"/>
      <c r="O1007" s="28"/>
      <c r="P1007" s="28"/>
      <c r="Q1007" s="28"/>
      <c r="R1007" s="28"/>
    </row>
    <row r="1008" spans="1:18" x14ac:dyDescent="0.2"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N1008" s="6"/>
    </row>
    <row r="1009" spans="2:19" x14ac:dyDescent="0.2">
      <c r="F1009" s="6"/>
      <c r="K1009" s="6"/>
      <c r="L1009" s="146"/>
      <c r="M1009" s="92"/>
      <c r="N1009" s="1450"/>
      <c r="O1009" s="1450"/>
      <c r="P1009" s="146"/>
      <c r="Q1009" s="92"/>
      <c r="R1009" s="92"/>
    </row>
    <row r="1010" spans="2:19" x14ac:dyDescent="0.2">
      <c r="B1010" s="112" t="s">
        <v>186</v>
      </c>
      <c r="C1010" s="104"/>
      <c r="D1010" s="121"/>
      <c r="E1010" s="88" t="s">
        <v>123</v>
      </c>
      <c r="F1010" s="88"/>
      <c r="G1010" s="88"/>
      <c r="H1010" s="88"/>
      <c r="I1010" s="105"/>
      <c r="J1010" s="106"/>
      <c r="K1010" s="146"/>
      <c r="L1010" s="1447"/>
      <c r="M1010" s="1447"/>
      <c r="N1010" s="158"/>
      <c r="O1010" s="159"/>
      <c r="P1010" s="1447"/>
      <c r="Q1010" s="1447"/>
      <c r="R1010" s="72"/>
      <c r="S1010" s="40"/>
    </row>
    <row r="1011" spans="2:19" x14ac:dyDescent="0.2">
      <c r="B1011" s="144"/>
      <c r="C1011" s="119"/>
      <c r="D1011" s="155" t="s">
        <v>303</v>
      </c>
      <c r="E1011" s="155"/>
      <c r="F1011" s="120"/>
      <c r="G1011" s="119"/>
      <c r="H1011" s="155" t="s">
        <v>304</v>
      </c>
      <c r="I1011" s="155"/>
      <c r="J1011" s="120"/>
      <c r="K1011" s="159"/>
      <c r="L1011" s="71"/>
      <c r="M1011" s="72"/>
      <c r="N1011" s="72"/>
      <c r="O1011" s="159"/>
      <c r="P1011" s="71"/>
      <c r="Q1011" s="72"/>
      <c r="R1011" s="72"/>
      <c r="S1011" s="40"/>
    </row>
    <row r="1012" spans="2:19" x14ac:dyDescent="0.2">
      <c r="B1012" s="144"/>
      <c r="C1012" s="68" t="s">
        <v>319</v>
      </c>
      <c r="D1012" s="115" t="s">
        <v>320</v>
      </c>
      <c r="E1012" s="116" t="s">
        <v>321</v>
      </c>
      <c r="F1012" s="69" t="s">
        <v>322</v>
      </c>
      <c r="G1012" s="68" t="s">
        <v>319</v>
      </c>
      <c r="H1012" s="115" t="s">
        <v>320</v>
      </c>
      <c r="I1012" s="116" t="s">
        <v>321</v>
      </c>
      <c r="J1012" s="69" t="s">
        <v>322</v>
      </c>
      <c r="K1012" s="159"/>
      <c r="L1012" s="117"/>
      <c r="M1012" s="117"/>
      <c r="N1012" s="117"/>
      <c r="O1012" s="117"/>
      <c r="P1012" s="117"/>
      <c r="Q1012" s="117"/>
      <c r="R1012" s="117"/>
    </row>
    <row r="1013" spans="2:19" ht="14.25" x14ac:dyDescent="0.2">
      <c r="B1013" s="113"/>
      <c r="C1013" s="79" t="s">
        <v>298</v>
      </c>
      <c r="D1013" s="80" t="s">
        <v>215</v>
      </c>
      <c r="E1013" s="80" t="s">
        <v>215</v>
      </c>
      <c r="F1013" s="81" t="s">
        <v>298</v>
      </c>
      <c r="G1013" s="79" t="s">
        <v>298</v>
      </c>
      <c r="H1013" s="80" t="s">
        <v>215</v>
      </c>
      <c r="I1013" s="80" t="s">
        <v>215</v>
      </c>
      <c r="J1013" s="81" t="s">
        <v>298</v>
      </c>
      <c r="K1013" s="117"/>
      <c r="L1013" s="86"/>
      <c r="M1013" s="86"/>
      <c r="N1013" s="86"/>
      <c r="O1013" s="86"/>
      <c r="P1013" s="86"/>
      <c r="Q1013" s="86"/>
      <c r="R1013" s="86"/>
    </row>
    <row r="1014" spans="2:19" x14ac:dyDescent="0.2">
      <c r="B1014" s="114" t="s">
        <v>187</v>
      </c>
      <c r="C1014" s="360"/>
      <c r="D1014" s="361"/>
      <c r="E1014" s="361"/>
      <c r="F1014" s="362"/>
      <c r="G1014" s="85"/>
      <c r="H1014" s="86"/>
      <c r="I1014" s="86"/>
      <c r="J1014" s="87"/>
      <c r="K1014" s="86"/>
      <c r="L1014" s="35"/>
      <c r="M1014" s="35"/>
      <c r="N1014" s="86"/>
      <c r="O1014" s="86"/>
      <c r="P1014" s="35"/>
      <c r="Q1014" s="35"/>
      <c r="R1014" s="86"/>
    </row>
    <row r="1015" spans="2:19" x14ac:dyDescent="0.2">
      <c r="B1015" s="110" t="s">
        <v>188</v>
      </c>
      <c r="C1015" s="85">
        <f>H153</f>
        <v>950.00000000000011</v>
      </c>
      <c r="D1015" s="35">
        <v>16</v>
      </c>
      <c r="E1015" s="35">
        <v>200</v>
      </c>
      <c r="F1015" s="87">
        <f>IF(E1015=0,0,785.4*D1015^2/E1015)</f>
        <v>1005.312</v>
      </c>
      <c r="G1015" s="85">
        <f>H155</f>
        <v>570.00000000000011</v>
      </c>
      <c r="H1015" s="35">
        <v>12</v>
      </c>
      <c r="I1015" s="35">
        <v>200</v>
      </c>
      <c r="J1015" s="87">
        <f>IF(I1015=0,0,785.4*H1015^2/I1015)</f>
        <v>565.48799999999994</v>
      </c>
      <c r="K1015" s="86"/>
      <c r="L1015" s="35"/>
      <c r="M1015" s="35"/>
      <c r="N1015" s="86"/>
      <c r="O1015" s="86"/>
      <c r="P1015" s="35"/>
      <c r="Q1015" s="35"/>
      <c r="R1015" s="86"/>
    </row>
    <row r="1016" spans="2:19" x14ac:dyDescent="0.2">
      <c r="B1016" s="110" t="s">
        <v>189</v>
      </c>
      <c r="C1016" s="85">
        <f>H379</f>
        <v>950.00000000000011</v>
      </c>
      <c r="D1016" s="35">
        <v>16</v>
      </c>
      <c r="E1016" s="35">
        <v>200</v>
      </c>
      <c r="F1016" s="87">
        <f>IF(E1016=0,0,785.4*D1016^2/E1016)</f>
        <v>1005.312</v>
      </c>
      <c r="G1016" s="85">
        <f>H381</f>
        <v>570.00000000000011</v>
      </c>
      <c r="H1016" s="35">
        <v>12</v>
      </c>
      <c r="I1016" s="35">
        <v>200</v>
      </c>
      <c r="J1016" s="87">
        <f>IF(I1016=0,0,785.4*H1016^2/I1016)</f>
        <v>565.48799999999994</v>
      </c>
      <c r="K1016" s="86"/>
      <c r="L1016" s="35"/>
      <c r="M1016" s="35"/>
      <c r="N1016" s="86"/>
      <c r="O1016" s="86"/>
      <c r="P1016" s="35"/>
      <c r="Q1016" s="35"/>
      <c r="R1016" s="86"/>
    </row>
    <row r="1017" spans="2:19" x14ac:dyDescent="0.2">
      <c r="B1017" s="110" t="s">
        <v>190</v>
      </c>
      <c r="C1017" s="85">
        <f>H505</f>
        <v>950</v>
      </c>
      <c r="D1017" s="35">
        <v>16</v>
      </c>
      <c r="E1017" s="35">
        <v>200</v>
      </c>
      <c r="F1017" s="87">
        <f>IF(E1017=0,0,785.4*D1017^2/E1017)</f>
        <v>1005.312</v>
      </c>
      <c r="G1017" s="85">
        <f>H507</f>
        <v>570</v>
      </c>
      <c r="H1017" s="35">
        <v>12</v>
      </c>
      <c r="I1017" s="35">
        <v>200</v>
      </c>
      <c r="J1017" s="87">
        <f>IF(I1017=0,0,785.4*H1017^2/I1017)</f>
        <v>565.48799999999994</v>
      </c>
      <c r="K1017" s="86"/>
      <c r="L1017" s="35"/>
      <c r="M1017" s="35"/>
      <c r="N1017" s="86"/>
      <c r="O1017" s="86"/>
      <c r="P1017" s="35"/>
      <c r="Q1017" s="35"/>
      <c r="R1017" s="86"/>
    </row>
    <row r="1018" spans="2:19" x14ac:dyDescent="0.2">
      <c r="B1018" s="110" t="s">
        <v>191</v>
      </c>
      <c r="C1018" s="85">
        <f>H634</f>
        <v>950</v>
      </c>
      <c r="D1018" s="35">
        <v>16</v>
      </c>
      <c r="E1018" s="35">
        <v>200</v>
      </c>
      <c r="F1018" s="87">
        <f>IF(E1018=0,0,785.4*D1018^2/E1018)</f>
        <v>1005.312</v>
      </c>
      <c r="G1018" s="85">
        <f>H636</f>
        <v>570</v>
      </c>
      <c r="H1018" s="35">
        <v>12</v>
      </c>
      <c r="I1018" s="35">
        <v>200</v>
      </c>
      <c r="J1018" s="87">
        <f>IF(I1018=0,0,785.4*H1018^2/I1018)</f>
        <v>565.48799999999994</v>
      </c>
      <c r="K1018" s="86"/>
      <c r="L1018" s="35"/>
      <c r="M1018" s="35"/>
      <c r="N1018" s="86"/>
      <c r="O1018" s="86"/>
      <c r="P1018" s="35"/>
      <c r="Q1018" s="35"/>
      <c r="R1018" s="86"/>
    </row>
    <row r="1019" spans="2:19" x14ac:dyDescent="0.2">
      <c r="B1019" s="110" t="s">
        <v>192</v>
      </c>
      <c r="C1019" s="85">
        <f>H761</f>
        <v>950</v>
      </c>
      <c r="D1019" s="35">
        <v>16</v>
      </c>
      <c r="E1019" s="35">
        <v>200</v>
      </c>
      <c r="F1019" s="87">
        <f>IF(E1019=0,0,785.4*D1019^2/E1019)</f>
        <v>1005.312</v>
      </c>
      <c r="G1019" s="85">
        <f>H763</f>
        <v>570</v>
      </c>
      <c r="H1019" s="35">
        <v>16</v>
      </c>
      <c r="I1019" s="35">
        <v>250</v>
      </c>
      <c r="J1019" s="87">
        <f>IF(I1019=0,0,785.4*H1019^2/I1019)</f>
        <v>804.24959999999999</v>
      </c>
      <c r="K1019" s="86"/>
      <c r="L1019" s="35"/>
      <c r="M1019" s="35"/>
      <c r="N1019" s="86"/>
      <c r="O1019" s="86"/>
      <c r="P1019" s="35"/>
      <c r="Q1019" s="35"/>
      <c r="R1019" s="86"/>
    </row>
    <row r="1020" spans="2:19" x14ac:dyDescent="0.2">
      <c r="B1020" s="108"/>
      <c r="C1020" s="91"/>
      <c r="D1020" s="92"/>
      <c r="E1020" s="92"/>
      <c r="F1020" s="87"/>
      <c r="G1020" s="91"/>
      <c r="H1020" s="92"/>
      <c r="I1020" s="92"/>
      <c r="J1020" s="87"/>
      <c r="K1020" s="92"/>
      <c r="L1020" s="92"/>
      <c r="M1020" s="92"/>
      <c r="N1020" s="86"/>
      <c r="O1020" s="92"/>
      <c r="P1020" s="92"/>
      <c r="Q1020" s="92"/>
      <c r="R1020" s="86"/>
    </row>
    <row r="1021" spans="2:19" x14ac:dyDescent="0.2">
      <c r="B1021" s="149" t="s">
        <v>193</v>
      </c>
      <c r="C1021" s="91"/>
      <c r="D1021" s="92"/>
      <c r="E1021" s="92"/>
      <c r="F1021" s="87"/>
      <c r="G1021" s="91"/>
      <c r="H1021" s="92"/>
      <c r="I1021" s="92"/>
      <c r="J1021" s="87"/>
      <c r="K1021" s="92"/>
      <c r="L1021" s="35"/>
      <c r="M1021" s="35"/>
      <c r="N1021" s="86"/>
      <c r="O1021" s="86"/>
      <c r="P1021" s="35"/>
      <c r="Q1021" s="35"/>
      <c r="R1021" s="86"/>
    </row>
    <row r="1022" spans="2:19" x14ac:dyDescent="0.2">
      <c r="B1022" s="110" t="s">
        <v>188</v>
      </c>
      <c r="C1022" s="85">
        <f>H277</f>
        <v>950.00000000000011</v>
      </c>
      <c r="D1022" s="35">
        <v>16</v>
      </c>
      <c r="E1022" s="35">
        <v>200</v>
      </c>
      <c r="F1022" s="87">
        <f>IF(E1022=0,0,785.4*D1022^2/E1022)</f>
        <v>1005.312</v>
      </c>
      <c r="G1022" s="85">
        <f>H279</f>
        <v>570.00000000000011</v>
      </c>
      <c r="H1022" s="35">
        <v>12</v>
      </c>
      <c r="I1022" s="35">
        <v>200</v>
      </c>
      <c r="J1022" s="87">
        <f>IF(I1022=0,0,785.4*H1022^2/I1022)</f>
        <v>565.48799999999994</v>
      </c>
      <c r="K1022" s="86"/>
      <c r="L1022" s="35"/>
      <c r="M1022" s="35"/>
      <c r="N1022" s="86"/>
      <c r="O1022" s="86"/>
      <c r="P1022" s="35"/>
      <c r="Q1022" s="35"/>
      <c r="R1022" s="86"/>
    </row>
    <row r="1023" spans="2:19" x14ac:dyDescent="0.2">
      <c r="B1023" s="110" t="s">
        <v>189</v>
      </c>
      <c r="C1023" s="85">
        <f>H446</f>
        <v>950</v>
      </c>
      <c r="D1023" s="35">
        <v>16</v>
      </c>
      <c r="E1023" s="35">
        <v>200</v>
      </c>
      <c r="F1023" s="87">
        <f>IF(E1023=0,0,785.4*D1023^2/E1023)</f>
        <v>1005.312</v>
      </c>
      <c r="G1023" s="85">
        <f>H448</f>
        <v>570</v>
      </c>
      <c r="H1023" s="35">
        <v>12</v>
      </c>
      <c r="I1023" s="35">
        <v>200</v>
      </c>
      <c r="J1023" s="87">
        <f>IF(I1023=0,0,785.4*H1023^2/I1023)</f>
        <v>565.48799999999994</v>
      </c>
      <c r="K1023" s="86"/>
      <c r="L1023" s="35"/>
      <c r="M1023" s="35"/>
      <c r="N1023" s="86"/>
      <c r="O1023" s="86"/>
      <c r="P1023" s="35"/>
      <c r="Q1023" s="35"/>
      <c r="R1023" s="86"/>
    </row>
    <row r="1024" spans="2:19" x14ac:dyDescent="0.2">
      <c r="B1024" s="110" t="s">
        <v>190</v>
      </c>
      <c r="C1024" s="85">
        <f>H574</f>
        <v>950</v>
      </c>
      <c r="D1024" s="35">
        <v>16</v>
      </c>
      <c r="E1024" s="35">
        <v>200</v>
      </c>
      <c r="F1024" s="87">
        <f>IF(E1024=0,0,785.4*D1024^2/E1024)</f>
        <v>1005.312</v>
      </c>
      <c r="G1024" s="85">
        <f>H576</f>
        <v>570</v>
      </c>
      <c r="H1024" s="35">
        <v>12</v>
      </c>
      <c r="I1024" s="35">
        <v>200</v>
      </c>
      <c r="J1024" s="87">
        <f>IF(I1024=0,0,785.4*H1024^2/I1024)</f>
        <v>565.48799999999994</v>
      </c>
      <c r="K1024" s="86"/>
      <c r="L1024" s="35"/>
      <c r="M1024" s="35"/>
      <c r="N1024" s="86"/>
      <c r="O1024" s="86"/>
      <c r="P1024" s="35"/>
      <c r="Q1024" s="35"/>
      <c r="R1024" s="86"/>
    </row>
    <row r="1025" spans="2:18" x14ac:dyDescent="0.2">
      <c r="B1025" s="110" t="s">
        <v>191</v>
      </c>
      <c r="C1025" s="85">
        <f>H702</f>
        <v>950</v>
      </c>
      <c r="D1025" s="35">
        <v>16</v>
      </c>
      <c r="E1025" s="35">
        <v>200</v>
      </c>
      <c r="F1025" s="87">
        <f>IF(E1025=0,0,785.4*D1025^2/E1025)</f>
        <v>1005.312</v>
      </c>
      <c r="G1025" s="85">
        <f>H704</f>
        <v>570</v>
      </c>
      <c r="H1025" s="35">
        <v>12</v>
      </c>
      <c r="I1025" s="35">
        <v>200</v>
      </c>
      <c r="J1025" s="87">
        <f>IF(I1025=0,0,785.4*H1025^2/I1025)</f>
        <v>565.48799999999994</v>
      </c>
      <c r="K1025" s="86"/>
      <c r="L1025" s="35"/>
      <c r="M1025" s="35"/>
      <c r="N1025" s="86"/>
      <c r="O1025" s="86"/>
      <c r="P1025" s="35"/>
      <c r="Q1025" s="35"/>
      <c r="R1025" s="86"/>
    </row>
    <row r="1026" spans="2:18" x14ac:dyDescent="0.2">
      <c r="B1026" s="111" t="s">
        <v>192</v>
      </c>
      <c r="C1026" s="74">
        <f>H830</f>
        <v>950</v>
      </c>
      <c r="D1026" s="118">
        <v>16</v>
      </c>
      <c r="E1026" s="35">
        <v>200</v>
      </c>
      <c r="F1026" s="76">
        <f>IF(E1026=0,0,785.4*D1026^2/E1026)</f>
        <v>1005.312</v>
      </c>
      <c r="G1026" s="74">
        <f>H832</f>
        <v>570</v>
      </c>
      <c r="H1026" s="118">
        <v>12</v>
      </c>
      <c r="I1026" s="35">
        <v>200</v>
      </c>
      <c r="J1026" s="76">
        <f>IF(I1026=0,0,785.4*H1026^2/I1026)</f>
        <v>565.48799999999994</v>
      </c>
      <c r="K1026" s="86"/>
      <c r="L1026" s="35"/>
      <c r="M1026" s="35"/>
      <c r="N1026" s="86"/>
      <c r="O1026" s="86"/>
      <c r="P1026" s="35"/>
      <c r="Q1026" s="35"/>
      <c r="R1026" s="86"/>
    </row>
    <row r="1027" spans="2:18" x14ac:dyDescent="0.2">
      <c r="B1027" s="28"/>
      <c r="C1027" s="28"/>
      <c r="D1027" s="28"/>
      <c r="E1027" s="359"/>
      <c r="F1027" s="28"/>
      <c r="G1027" s="28"/>
      <c r="H1027" s="28"/>
      <c r="I1027" s="359"/>
      <c r="J1027" s="28"/>
      <c r="K1027" s="28"/>
    </row>
    <row r="1028" spans="2:18" x14ac:dyDescent="0.2">
      <c r="B1028" s="28"/>
      <c r="C1028" s="28"/>
      <c r="D1028" s="28"/>
      <c r="F1028" s="28"/>
      <c r="G1028" s="28"/>
      <c r="I1028" s="28"/>
      <c r="J1028" s="28"/>
      <c r="K1028" s="28"/>
    </row>
    <row r="1030" spans="2:18" x14ac:dyDescent="0.2">
      <c r="E1030" s="1465" t="s">
        <v>305</v>
      </c>
      <c r="F1030" s="1466"/>
      <c r="G1030" s="1466"/>
      <c r="H1030" s="1467"/>
      <c r="I1030" s="160"/>
      <c r="J1030" s="160"/>
    </row>
    <row r="1031" spans="2:18" x14ac:dyDescent="0.2">
      <c r="C1031" s="1465" t="s">
        <v>408</v>
      </c>
      <c r="D1031" s="1466"/>
      <c r="E1031" s="1466"/>
      <c r="F1031" s="1467"/>
      <c r="G1031" s="1465" t="s">
        <v>409</v>
      </c>
      <c r="H1031" s="1466"/>
      <c r="I1031" s="1466"/>
      <c r="J1031" s="1467"/>
    </row>
    <row r="1032" spans="2:18" x14ac:dyDescent="0.2">
      <c r="C1032" s="68" t="s">
        <v>319</v>
      </c>
      <c r="D1032" s="115" t="s">
        <v>320</v>
      </c>
      <c r="E1032" s="116" t="s">
        <v>321</v>
      </c>
      <c r="F1032" s="69" t="s">
        <v>322</v>
      </c>
      <c r="G1032" s="68" t="s">
        <v>319</v>
      </c>
      <c r="H1032" s="115" t="s">
        <v>320</v>
      </c>
      <c r="I1032" s="116" t="s">
        <v>321</v>
      </c>
      <c r="J1032" s="69" t="s">
        <v>322</v>
      </c>
    </row>
    <row r="1033" spans="2:18" ht="14.25" x14ac:dyDescent="0.2">
      <c r="C1033" s="79" t="s">
        <v>298</v>
      </c>
      <c r="D1033" s="80" t="s">
        <v>215</v>
      </c>
      <c r="E1033" s="80" t="s">
        <v>215</v>
      </c>
      <c r="F1033" s="81" t="s">
        <v>298</v>
      </c>
      <c r="G1033" s="79" t="s">
        <v>298</v>
      </c>
      <c r="H1033" s="80" t="s">
        <v>215</v>
      </c>
      <c r="I1033" s="80" t="s">
        <v>215</v>
      </c>
      <c r="J1033" s="81" t="s">
        <v>298</v>
      </c>
    </row>
    <row r="1034" spans="2:18" x14ac:dyDescent="0.2">
      <c r="B1034" s="7" t="s">
        <v>187</v>
      </c>
    </row>
    <row r="1035" spans="2:18" x14ac:dyDescent="0.2">
      <c r="B1035" s="112" t="s">
        <v>188</v>
      </c>
      <c r="C1035" s="82">
        <f>$H$161</f>
        <v>760</v>
      </c>
      <c r="D1035" s="151">
        <v>16</v>
      </c>
      <c r="E1035" s="151">
        <v>250</v>
      </c>
      <c r="F1035" s="153">
        <f>IF(E1035=0,0,785.4*D1035^2/E1035)</f>
        <v>804.24959999999999</v>
      </c>
      <c r="G1035" s="82">
        <f>$H$172</f>
        <v>2263.1677606911121</v>
      </c>
      <c r="H1035" s="97">
        <v>16</v>
      </c>
      <c r="I1035" s="97">
        <v>150</v>
      </c>
      <c r="J1035" s="153">
        <f>IF(I1035=0,0,785.4*H1035^2/I1035)</f>
        <v>1340.4159999999999</v>
      </c>
    </row>
    <row r="1036" spans="2:18" x14ac:dyDescent="0.2">
      <c r="B1036" s="110" t="s">
        <v>189</v>
      </c>
      <c r="C1036" s="85">
        <f>$H$386</f>
        <v>760</v>
      </c>
      <c r="D1036" s="35">
        <v>16</v>
      </c>
      <c r="E1036" s="35">
        <v>250</v>
      </c>
      <c r="F1036" s="154">
        <f>IF(E1036=0,0,785.4*D1036^2/E1036)</f>
        <v>804.24959999999999</v>
      </c>
      <c r="G1036" s="85">
        <f>$H$392</f>
        <v>1639.1936838736781</v>
      </c>
      <c r="H1036" s="92">
        <v>16</v>
      </c>
      <c r="I1036" s="92">
        <v>150</v>
      </c>
      <c r="J1036" s="154">
        <f>IF(I1036=0,0,785.4*H1036^2/I1036)</f>
        <v>1340.4159999999999</v>
      </c>
    </row>
    <row r="1037" spans="2:18" x14ac:dyDescent="0.2">
      <c r="B1037" s="110" t="s">
        <v>190</v>
      </c>
      <c r="C1037" s="85">
        <f>$H$512</f>
        <v>760</v>
      </c>
      <c r="D1037" s="35">
        <v>16</v>
      </c>
      <c r="E1037" s="35">
        <v>250</v>
      </c>
      <c r="F1037" s="154">
        <f>IF(E1037=0,0,785.4*D1037^2/E1037)</f>
        <v>804.24959999999999</v>
      </c>
      <c r="G1037" s="85">
        <f>$H$518</f>
        <v>2289.4668310218121</v>
      </c>
      <c r="H1037" s="92">
        <v>16</v>
      </c>
      <c r="I1037" s="92">
        <v>150</v>
      </c>
      <c r="J1037" s="154">
        <f>IF(I1037=0,0,785.4*H1037^2/I1037)</f>
        <v>1340.4159999999999</v>
      </c>
    </row>
    <row r="1038" spans="2:18" x14ac:dyDescent="0.2">
      <c r="B1038" s="110" t="s">
        <v>191</v>
      </c>
      <c r="C1038" s="85">
        <f>$H$641</f>
        <v>760</v>
      </c>
      <c r="D1038" s="35">
        <v>16</v>
      </c>
      <c r="E1038" s="35">
        <v>250</v>
      </c>
      <c r="F1038" s="154">
        <f>IF(E1038=0,0,785.4*D1038^2/E1038)</f>
        <v>804.24959999999999</v>
      </c>
      <c r="G1038" s="85">
        <f>$H$647</f>
        <v>2289.4668310218121</v>
      </c>
      <c r="H1038" s="156">
        <v>16</v>
      </c>
      <c r="I1038" s="156">
        <v>150</v>
      </c>
      <c r="J1038" s="154">
        <f>IF(I1038=0,0,785.4*H1038^2/I1038)</f>
        <v>1340.4159999999999</v>
      </c>
    </row>
    <row r="1039" spans="2:18" x14ac:dyDescent="0.2">
      <c r="B1039" s="111" t="s">
        <v>192</v>
      </c>
      <c r="C1039" s="74">
        <f>$H$768</f>
        <v>760</v>
      </c>
      <c r="D1039" s="118">
        <v>16</v>
      </c>
      <c r="E1039" s="118">
        <v>250</v>
      </c>
      <c r="F1039" s="152">
        <f>IF(E1039=0,0,785.4*D1039^2/E1039)</f>
        <v>804.24959999999999</v>
      </c>
      <c r="G1039" s="74">
        <f>$H$774</f>
        <v>2389.0088671531958</v>
      </c>
      <c r="H1039" s="164">
        <v>16</v>
      </c>
      <c r="I1039" s="164">
        <v>150</v>
      </c>
      <c r="J1039" s="152">
        <f>IF(I1039=0,0,785.4*H1039^2/I1039)</f>
        <v>1340.4159999999999</v>
      </c>
    </row>
    <row r="1040" spans="2:18" x14ac:dyDescent="0.2">
      <c r="B1040" s="146"/>
      <c r="C1040" s="86"/>
      <c r="D1040" s="35"/>
      <c r="E1040" s="35"/>
      <c r="F1040" s="163"/>
      <c r="G1040" s="86"/>
      <c r="H1040" s="92"/>
      <c r="I1040" s="92"/>
      <c r="J1040" s="163"/>
    </row>
    <row r="1041" spans="2:10" x14ac:dyDescent="0.2">
      <c r="B1041" s="150" t="s">
        <v>193</v>
      </c>
    </row>
    <row r="1042" spans="2:10" x14ac:dyDescent="0.2">
      <c r="B1042" s="112" t="s">
        <v>188</v>
      </c>
      <c r="C1042" s="82">
        <f>$H$293</f>
        <v>760</v>
      </c>
      <c r="D1042" s="151">
        <v>16</v>
      </c>
      <c r="E1042" s="151">
        <v>250</v>
      </c>
      <c r="F1042" s="153">
        <f>IF(E1042=0,0,785.4*D1042^2/E1042)</f>
        <v>804.24959999999999</v>
      </c>
      <c r="G1042" s="82">
        <f>$H$303</f>
        <v>2420.4558321154868</v>
      </c>
      <c r="H1042" s="97">
        <v>16</v>
      </c>
      <c r="I1042" s="97">
        <v>150</v>
      </c>
      <c r="J1042" s="153">
        <f>IF(I1042=0,0,785.4*H1042^2/I1042)</f>
        <v>1340.4159999999999</v>
      </c>
    </row>
    <row r="1043" spans="2:10" x14ac:dyDescent="0.2">
      <c r="B1043" s="110" t="s">
        <v>189</v>
      </c>
      <c r="C1043" s="85">
        <f>$H$455</f>
        <v>760</v>
      </c>
      <c r="D1043" s="35">
        <v>16</v>
      </c>
      <c r="E1043" s="35">
        <v>250</v>
      </c>
      <c r="F1043" s="154">
        <f>IF(E1043=0,0,785.4*D1043^2/E1043)</f>
        <v>804.24959999999999</v>
      </c>
      <c r="G1043" s="85">
        <f>$H$460</f>
        <v>1765.0592323102896</v>
      </c>
      <c r="H1043" s="156">
        <v>16</v>
      </c>
      <c r="I1043" s="156">
        <v>150</v>
      </c>
      <c r="J1043" s="154">
        <f>IF(I1043=0,0,785.4*H1043^2/I1043)</f>
        <v>1340.4159999999999</v>
      </c>
    </row>
    <row r="1044" spans="2:10" x14ac:dyDescent="0.2">
      <c r="B1044" s="110" t="s">
        <v>190</v>
      </c>
      <c r="C1044" s="85">
        <f>$H$583</f>
        <v>760</v>
      </c>
      <c r="D1044" s="35">
        <v>16</v>
      </c>
      <c r="E1044" s="35">
        <v>250</v>
      </c>
      <c r="F1044" s="154">
        <f>IF(E1044=0,0,785.4*D1044^2/E1044)</f>
        <v>804.24959999999999</v>
      </c>
      <c r="G1044" s="85">
        <f>$H$589</f>
        <v>2373.2803160669469</v>
      </c>
      <c r="H1044" s="156">
        <v>16</v>
      </c>
      <c r="I1044" s="156">
        <v>150</v>
      </c>
      <c r="J1044" s="154">
        <f>IF(I1044=0,0,785.4*H1044^2/I1044)</f>
        <v>1340.4159999999999</v>
      </c>
    </row>
    <row r="1045" spans="2:10" x14ac:dyDescent="0.2">
      <c r="B1045" s="110" t="s">
        <v>191</v>
      </c>
      <c r="C1045" s="85">
        <f>$H$711</f>
        <v>760</v>
      </c>
      <c r="D1045" s="35">
        <v>16</v>
      </c>
      <c r="E1045" s="35">
        <v>250</v>
      </c>
      <c r="F1045" s="154">
        <f>IF(E1045=0,0,785.4*D1045^2/E1045)</f>
        <v>804.24959999999999</v>
      </c>
      <c r="G1045" s="85">
        <f>$H$717</f>
        <v>2416.3363053188541</v>
      </c>
      <c r="H1045" s="156">
        <v>16</v>
      </c>
      <c r="I1045" s="156">
        <v>150</v>
      </c>
      <c r="J1045" s="154">
        <f>IF(I1045=0,0,785.4*H1045^2/I1045)</f>
        <v>1340.4159999999999</v>
      </c>
    </row>
    <row r="1046" spans="2:10" x14ac:dyDescent="0.2">
      <c r="B1046" s="111" t="s">
        <v>192</v>
      </c>
      <c r="C1046" s="74">
        <f>$H$839</f>
        <v>1723.8555900889369</v>
      </c>
      <c r="D1046" s="118">
        <v>16</v>
      </c>
      <c r="E1046" s="118">
        <v>250</v>
      </c>
      <c r="F1046" s="152">
        <f>IF(E1046=0,0,785.4*D1046^2/E1046)</f>
        <v>804.24959999999999</v>
      </c>
      <c r="G1046" s="74">
        <f>$H$845</f>
        <v>2511.8856722956225</v>
      </c>
      <c r="H1046" s="164">
        <v>16</v>
      </c>
      <c r="I1046" s="164">
        <v>150</v>
      </c>
      <c r="J1046" s="152">
        <f>IF(I1046=0,0,785.4*H1046^2/I1046)</f>
        <v>1340.4159999999999</v>
      </c>
    </row>
    <row r="1047" spans="2:10" x14ac:dyDescent="0.2">
      <c r="B1047" s="146"/>
      <c r="C1047" s="86"/>
      <c r="D1047" s="35"/>
      <c r="E1047" s="35"/>
      <c r="F1047" s="163"/>
      <c r="G1047" s="86"/>
      <c r="H1047" s="92"/>
      <c r="I1047" s="92"/>
      <c r="J1047" s="163"/>
    </row>
    <row r="1048" spans="2:10" x14ac:dyDescent="0.2">
      <c r="C1048" s="86"/>
      <c r="D1048" s="35"/>
      <c r="E1048" s="35"/>
      <c r="F1048" s="163"/>
      <c r="G1048" s="86"/>
      <c r="H1048" s="92"/>
      <c r="I1048" s="92"/>
      <c r="J1048" s="163"/>
    </row>
    <row r="1049" spans="2:10" x14ac:dyDescent="0.2">
      <c r="B1049" s="364" t="str">
        <f>B925</f>
        <v>WINGWALL AND APRON (C/S)</v>
      </c>
      <c r="C1049" s="86"/>
      <c r="D1049" s="35"/>
      <c r="E1049" s="35"/>
      <c r="F1049" s="163"/>
      <c r="G1049" s="86"/>
      <c r="H1049" s="363" t="s">
        <v>1966</v>
      </c>
      <c r="I1049" s="7">
        <f>I987</f>
        <v>0</v>
      </c>
    </row>
    <row r="1051" spans="2:10" x14ac:dyDescent="0.2">
      <c r="C1051" s="367" t="s">
        <v>1998</v>
      </c>
      <c r="D1051" s="368" t="s">
        <v>1997</v>
      </c>
      <c r="E1051" s="368" t="s">
        <v>1997</v>
      </c>
      <c r="F1051" s="97"/>
      <c r="G1051" s="368" t="s">
        <v>1997</v>
      </c>
      <c r="H1051" s="78"/>
    </row>
    <row r="1052" spans="2:10" x14ac:dyDescent="0.2">
      <c r="C1052" s="369"/>
      <c r="D1052" s="370" t="s">
        <v>2002</v>
      </c>
      <c r="E1052" s="370" t="s">
        <v>2003</v>
      </c>
      <c r="F1052" s="100"/>
      <c r="G1052" s="370" t="s">
        <v>2001</v>
      </c>
      <c r="H1052" s="101"/>
    </row>
    <row r="1053" spans="2:10" x14ac:dyDescent="0.2">
      <c r="C1053" s="375" t="s">
        <v>1973</v>
      </c>
      <c r="D1053" s="376">
        <f t="shared" ref="D1053:E1058" si="2">N59</f>
        <v>0</v>
      </c>
      <c r="E1053" s="377">
        <f t="shared" si="2"/>
        <v>1.5</v>
      </c>
      <c r="F1053" s="372" t="s">
        <v>24</v>
      </c>
      <c r="G1053" s="376">
        <f t="shared" ref="G1053:G1058" si="3">Q59</f>
        <v>5.4</v>
      </c>
      <c r="H1053" s="378" t="s">
        <v>24</v>
      </c>
    </row>
    <row r="1054" spans="2:10" x14ac:dyDescent="0.2">
      <c r="B1054" s="332"/>
      <c r="C1054" s="379" t="s">
        <v>1968</v>
      </c>
      <c r="D1054" s="380">
        <f t="shared" si="2"/>
        <v>0</v>
      </c>
      <c r="E1054" s="381">
        <f t="shared" si="2"/>
        <v>1.5</v>
      </c>
      <c r="F1054" s="373" t="s">
        <v>24</v>
      </c>
      <c r="G1054" s="380">
        <f t="shared" si="3"/>
        <v>5.4</v>
      </c>
      <c r="H1054" s="382" t="s">
        <v>24</v>
      </c>
    </row>
    <row r="1055" spans="2:10" x14ac:dyDescent="0.2">
      <c r="B1055" s="332"/>
      <c r="C1055" s="379" t="s">
        <v>1969</v>
      </c>
      <c r="D1055" s="380">
        <f t="shared" si="2"/>
        <v>1.55</v>
      </c>
      <c r="E1055" s="381">
        <f t="shared" si="2"/>
        <v>1.795135752875022</v>
      </c>
      <c r="F1055" s="373" t="s">
        <v>24</v>
      </c>
      <c r="G1055" s="380">
        <f t="shared" si="3"/>
        <v>5.5250000000000004</v>
      </c>
      <c r="H1055" s="382" t="s">
        <v>24</v>
      </c>
    </row>
    <row r="1056" spans="2:10" x14ac:dyDescent="0.2">
      <c r="B1056" s="332"/>
      <c r="C1056" s="379" t="s">
        <v>1970</v>
      </c>
      <c r="D1056" s="380">
        <f t="shared" si="2"/>
        <v>3.2</v>
      </c>
      <c r="E1056" s="381">
        <f t="shared" si="2"/>
        <v>2.2589205073929142</v>
      </c>
      <c r="F1056" s="373" t="s">
        <v>24</v>
      </c>
      <c r="G1056" s="380">
        <f t="shared" si="3"/>
        <v>5.0999999999999996</v>
      </c>
      <c r="H1056" s="382" t="s">
        <v>24</v>
      </c>
    </row>
    <row r="1057" spans="2:9" x14ac:dyDescent="0.2">
      <c r="C1057" s="379" t="s">
        <v>1971</v>
      </c>
      <c r="D1057" s="380">
        <f t="shared" si="2"/>
        <v>9.6999999999999993</v>
      </c>
      <c r="E1057" s="381">
        <f t="shared" si="2"/>
        <v>4.085951358524003</v>
      </c>
      <c r="F1057" s="373" t="s">
        <v>24</v>
      </c>
      <c r="G1057" s="380">
        <f t="shared" si="3"/>
        <v>5.0999999999999996</v>
      </c>
      <c r="H1057" s="382" t="s">
        <v>24</v>
      </c>
    </row>
    <row r="1058" spans="2:9" x14ac:dyDescent="0.2">
      <c r="C1058" s="383" t="s">
        <v>1972</v>
      </c>
      <c r="D1058" s="384">
        <f t="shared" si="2"/>
        <v>16.2</v>
      </c>
      <c r="E1058" s="385">
        <f t="shared" si="2"/>
        <v>5</v>
      </c>
      <c r="F1058" s="374" t="s">
        <v>24</v>
      </c>
      <c r="G1058" s="384">
        <f t="shared" si="3"/>
        <v>5.0999999999999996</v>
      </c>
      <c r="H1058" s="386" t="s">
        <v>24</v>
      </c>
    </row>
    <row r="1062" spans="2:9" x14ac:dyDescent="0.2">
      <c r="B1062" s="7" t="s">
        <v>1793</v>
      </c>
    </row>
    <row r="1064" spans="2:9" x14ac:dyDescent="0.2">
      <c r="C1064" s="107"/>
      <c r="D1064" s="1465" t="s">
        <v>410</v>
      </c>
      <c r="E1064" s="1466"/>
      <c r="F1064" s="1467"/>
      <c r="G1064" s="1465" t="s">
        <v>403</v>
      </c>
      <c r="H1064" s="1466"/>
      <c r="I1064" s="1467"/>
    </row>
    <row r="1065" spans="2:9" x14ac:dyDescent="0.2">
      <c r="C1065" s="108" t="s">
        <v>196</v>
      </c>
      <c r="D1065" s="107" t="s">
        <v>1800</v>
      </c>
      <c r="E1065" s="7" t="s">
        <v>1794</v>
      </c>
      <c r="F1065" s="107" t="s">
        <v>1795</v>
      </c>
      <c r="G1065" s="7" t="s">
        <v>1800</v>
      </c>
      <c r="H1065" s="107" t="s">
        <v>1794</v>
      </c>
      <c r="I1065" s="107" t="s">
        <v>1795</v>
      </c>
    </row>
    <row r="1066" spans="2:9" x14ac:dyDescent="0.2">
      <c r="C1066" s="331"/>
      <c r="D1066" s="331"/>
      <c r="F1066" s="331"/>
      <c r="H1066" s="331"/>
      <c r="I1066" s="331"/>
    </row>
    <row r="1067" spans="2:9" x14ac:dyDescent="0.2">
      <c r="C1067" s="330" t="s">
        <v>1796</v>
      </c>
      <c r="D1067" s="321">
        <f>G140</f>
        <v>433.56056652486302</v>
      </c>
      <c r="E1067" s="322">
        <f>G141</f>
        <v>508.56056652486302</v>
      </c>
      <c r="F1067" s="323">
        <f>E31</f>
        <v>700</v>
      </c>
      <c r="G1067" s="321">
        <f>G268</f>
        <v>465.96345842528103</v>
      </c>
      <c r="H1067" s="322">
        <f>G270</f>
        <v>540.96345842528103</v>
      </c>
      <c r="I1067" s="323">
        <f>G31</f>
        <v>750</v>
      </c>
    </row>
    <row r="1068" spans="2:9" x14ac:dyDescent="0.2">
      <c r="C1068" s="108" t="s">
        <v>1797</v>
      </c>
      <c r="D1068" s="324">
        <f>G371</f>
        <v>368.98315259030858</v>
      </c>
      <c r="E1068" s="325">
        <f>G373</f>
        <v>443.98315259030858</v>
      </c>
      <c r="F1068" s="326">
        <f>E32</f>
        <v>700</v>
      </c>
      <c r="G1068" s="324">
        <f>E437</f>
        <v>397.90822922189381</v>
      </c>
      <c r="H1068" s="325">
        <f>E440</f>
        <v>472.90822922189381</v>
      </c>
      <c r="I1068" s="326">
        <f>G32</f>
        <v>750</v>
      </c>
    </row>
    <row r="1069" spans="2:9" x14ac:dyDescent="0.2">
      <c r="C1069" s="108" t="s">
        <v>1798</v>
      </c>
      <c r="D1069" s="324">
        <f>F496</f>
        <v>427.26192779639894</v>
      </c>
      <c r="E1069" s="325">
        <f>F499</f>
        <v>502.26192779639894</v>
      </c>
      <c r="F1069" s="326">
        <f>E33</f>
        <v>675</v>
      </c>
      <c r="G1069" s="324">
        <f>F565</f>
        <v>459.47150104526037</v>
      </c>
      <c r="H1069" s="325">
        <f>F568</f>
        <v>534.47150104526031</v>
      </c>
      <c r="I1069" s="326">
        <f>G33</f>
        <v>744.36860068259386</v>
      </c>
    </row>
    <row r="1070" spans="2:9" x14ac:dyDescent="0.2">
      <c r="C1070" s="108" t="s">
        <v>1799</v>
      </c>
      <c r="D1070" s="324">
        <f>F625</f>
        <v>427.26192779639894</v>
      </c>
      <c r="E1070" s="325">
        <f>F628</f>
        <v>502.26192779639894</v>
      </c>
      <c r="F1070" s="326">
        <f>E34</f>
        <v>675</v>
      </c>
      <c r="G1070" s="324">
        <f>F693</f>
        <v>457.85227579704372</v>
      </c>
      <c r="H1070" s="325">
        <f>F696</f>
        <v>532.85227579704372</v>
      </c>
      <c r="I1070" s="326">
        <f>G34</f>
        <v>727.81569965870312</v>
      </c>
    </row>
    <row r="1071" spans="2:9" x14ac:dyDescent="0.2">
      <c r="C1071" s="331" t="s">
        <v>411</v>
      </c>
      <c r="D1071" s="327">
        <f>F752</f>
        <v>427.26192779639894</v>
      </c>
      <c r="E1071" s="328">
        <f>F755</f>
        <v>502.26192779639894</v>
      </c>
      <c r="F1071" s="329">
        <f>E35</f>
        <v>650</v>
      </c>
      <c r="G1071" s="327">
        <f>E821</f>
        <v>456.76344047679549</v>
      </c>
      <c r="H1071" s="328">
        <f>E824</f>
        <v>531.76344047679549</v>
      </c>
      <c r="I1071" s="329">
        <f>G35</f>
        <v>700</v>
      </c>
    </row>
    <row r="1072" spans="2:9" x14ac:dyDescent="0.2">
      <c r="C1072" s="92"/>
      <c r="D1072" s="325"/>
      <c r="E1072" s="325"/>
      <c r="F1072" s="325"/>
      <c r="G1072" s="325"/>
      <c r="H1072" s="325"/>
      <c r="I1072" s="325"/>
    </row>
  </sheetData>
  <mergeCells count="24">
    <mergeCell ref="N929:P929"/>
    <mergeCell ref="A3:F3"/>
    <mergeCell ref="D27:F27"/>
    <mergeCell ref="G27:H27"/>
    <mergeCell ref="D28:E28"/>
    <mergeCell ref="F929:H929"/>
    <mergeCell ref="D1064:F1064"/>
    <mergeCell ref="G1064:I1064"/>
    <mergeCell ref="D930:E930"/>
    <mergeCell ref="H930:I930"/>
    <mergeCell ref="L930:M930"/>
    <mergeCell ref="E948:H948"/>
    <mergeCell ref="C949:F949"/>
    <mergeCell ref="G949:J949"/>
    <mergeCell ref="P1010:Q1010"/>
    <mergeCell ref="E1030:H1030"/>
    <mergeCell ref="C1031:F1031"/>
    <mergeCell ref="G1031:J1031"/>
    <mergeCell ref="C969:D969"/>
    <mergeCell ref="G969:H969"/>
    <mergeCell ref="L969:M969"/>
    <mergeCell ref="D989:G989"/>
    <mergeCell ref="N1009:O1009"/>
    <mergeCell ref="L1010:M1010"/>
  </mergeCells>
  <phoneticPr fontId="0" type="noConversion"/>
  <pageMargins left="0.75" right="0.25" top="0.75" bottom="0.75" header="0.3" footer="0.3"/>
  <pageSetup paperSize="9" scale="95" orientation="portrait" verticalDpi="300" r:id="rId1"/>
  <headerFooter alignWithMargins="0">
    <oddFooter>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Z584"/>
  <sheetViews>
    <sheetView topLeftCell="A82" workbookViewId="0">
      <selection activeCell="N92" sqref="N92"/>
    </sheetView>
  </sheetViews>
  <sheetFormatPr defaultColWidth="9.7109375" defaultRowHeight="12.75" x14ac:dyDescent="0.2"/>
  <cols>
    <col min="1" max="1" width="4.7109375" style="169" customWidth="1"/>
    <col min="2" max="2" width="6.85546875" style="169" customWidth="1"/>
    <col min="3" max="3" width="9.7109375" style="169" customWidth="1"/>
    <col min="4" max="4" width="9.5703125" style="169" customWidth="1"/>
    <col min="5" max="5" width="9.85546875" style="169" customWidth="1"/>
    <col min="6" max="6" width="10.85546875" style="169" customWidth="1"/>
    <col min="7" max="7" width="9.42578125" style="169" customWidth="1"/>
    <col min="8" max="8" width="9.7109375" style="169" customWidth="1"/>
    <col min="9" max="9" width="10.28515625" style="169" customWidth="1"/>
    <col min="10" max="10" width="8.42578125" style="169" customWidth="1"/>
    <col min="11" max="11" width="9.85546875" style="169" customWidth="1"/>
    <col min="12" max="13" width="9.7109375" style="169"/>
    <col min="14" max="14" width="10.85546875" style="169" customWidth="1"/>
    <col min="15" max="15" width="10.7109375" style="169" customWidth="1"/>
    <col min="16" max="18" width="10.28515625" style="169" customWidth="1"/>
    <col min="19" max="19" width="10.42578125" style="169" customWidth="1"/>
    <col min="20" max="16384" width="9.7109375" style="169"/>
  </cols>
  <sheetData>
    <row r="1" spans="1:24" x14ac:dyDescent="0.2">
      <c r="A1" s="423"/>
      <c r="B1" s="644" t="s">
        <v>2031</v>
      </c>
      <c r="C1" s="424"/>
      <c r="D1" s="424" t="str">
        <f>'Design Data'!C2</f>
        <v>Coastal Embankment Improvement Project Phase-1, CEIP-1.</v>
      </c>
      <c r="E1" s="424"/>
      <c r="F1" s="424"/>
      <c r="G1" s="424"/>
      <c r="H1" s="424"/>
      <c r="I1" s="424"/>
      <c r="J1" s="424"/>
      <c r="K1" s="425"/>
    </row>
    <row r="2" spans="1:24" x14ac:dyDescent="0.2">
      <c r="A2" s="426"/>
      <c r="B2" s="395" t="s">
        <v>2270</v>
      </c>
      <c r="C2" s="217"/>
      <c r="D2" s="446" t="str">
        <f>'Basin (RS)'!D2</f>
        <v>DR-5</v>
      </c>
      <c r="E2" s="217"/>
      <c r="F2" s="217"/>
      <c r="G2" s="217"/>
      <c r="H2" s="217"/>
      <c r="I2" s="217"/>
      <c r="J2" s="217"/>
      <c r="K2" s="427"/>
    </row>
    <row r="3" spans="1:24" x14ac:dyDescent="0.2">
      <c r="A3" s="426"/>
      <c r="B3" s="395" t="s">
        <v>2261</v>
      </c>
      <c r="C3" s="217"/>
      <c r="D3" s="217" t="str">
        <f>'Struct2(Barrel)'!D3</f>
        <v>Polder- 16</v>
      </c>
      <c r="E3" s="217"/>
      <c r="F3" s="217"/>
      <c r="G3" s="217"/>
      <c r="H3" s="217"/>
      <c r="I3" s="217"/>
      <c r="J3" s="217"/>
      <c r="K3" s="427"/>
    </row>
    <row r="4" spans="1:24" x14ac:dyDescent="0.2">
      <c r="A4" s="426"/>
      <c r="B4" s="645" t="s">
        <v>2451</v>
      </c>
      <c r="C4" s="645"/>
      <c r="D4" s="645"/>
      <c r="E4" s="217"/>
      <c r="F4" s="646" t="s">
        <v>1966</v>
      </c>
      <c r="G4" s="217" t="str">
        <f>'Struct2(Barrel)'!I3</f>
        <v>1.50m x 1.80m</v>
      </c>
      <c r="H4" s="217"/>
      <c r="I4" s="217"/>
      <c r="J4" s="217"/>
      <c r="K4" s="427"/>
      <c r="N4" s="170"/>
      <c r="O4" s="171"/>
      <c r="X4" s="171"/>
    </row>
    <row r="5" spans="1:24" x14ac:dyDescent="0.2">
      <c r="A5" s="647"/>
      <c r="B5" s="217"/>
      <c r="C5" s="217"/>
      <c r="D5" s="217"/>
      <c r="E5" s="217"/>
      <c r="F5" s="395" t="s">
        <v>2377</v>
      </c>
      <c r="G5" s="217"/>
      <c r="H5" s="497">
        <f>'Design Data'!D22</f>
        <v>1</v>
      </c>
      <c r="I5" s="217"/>
      <c r="J5" s="217"/>
      <c r="K5" s="427"/>
      <c r="O5" s="171"/>
    </row>
    <row r="6" spans="1:24" x14ac:dyDescent="0.2">
      <c r="A6" s="426"/>
      <c r="B6" s="648" t="s">
        <v>223</v>
      </c>
      <c r="C6" s="217"/>
      <c r="D6" s="217"/>
      <c r="E6" s="217"/>
      <c r="F6" s="217"/>
      <c r="G6" s="217"/>
      <c r="H6" s="217"/>
      <c r="I6" s="217"/>
      <c r="J6" s="217"/>
      <c r="K6" s="427"/>
      <c r="O6" s="171"/>
      <c r="W6" s="171"/>
      <c r="X6" s="171"/>
    </row>
    <row r="7" spans="1:24" x14ac:dyDescent="0.2">
      <c r="A7" s="426"/>
      <c r="B7" s="217"/>
      <c r="C7" s="217"/>
      <c r="D7" s="217"/>
      <c r="E7" s="217"/>
      <c r="F7" s="217"/>
      <c r="G7" s="217"/>
      <c r="H7" s="217"/>
      <c r="I7" s="217"/>
      <c r="J7" s="217"/>
      <c r="K7" s="427"/>
      <c r="O7" s="171"/>
    </row>
    <row r="8" spans="1:24" ht="15.75" x14ac:dyDescent="0.3">
      <c r="A8" s="426"/>
      <c r="B8" s="222" t="s">
        <v>419</v>
      </c>
      <c r="C8" s="217"/>
      <c r="D8" s="217"/>
      <c r="E8" s="217"/>
      <c r="F8" s="217">
        <f>'Struct2(Barrel)'!E21</f>
        <v>77</v>
      </c>
      <c r="G8" s="217" t="s">
        <v>420</v>
      </c>
      <c r="H8" s="217"/>
      <c r="I8" s="407"/>
      <c r="J8" s="222"/>
      <c r="K8" s="427"/>
      <c r="O8" s="171"/>
    </row>
    <row r="9" spans="1:24" ht="15.75" x14ac:dyDescent="0.3">
      <c r="A9" s="426"/>
      <c r="B9" s="222" t="s">
        <v>421</v>
      </c>
      <c r="C9" s="217"/>
      <c r="D9" s="217"/>
      <c r="E9" s="217"/>
      <c r="F9" s="217">
        <f>'Struct2(Barrel)'!E22</f>
        <v>23.6</v>
      </c>
      <c r="G9" s="217" t="s">
        <v>420</v>
      </c>
      <c r="H9" s="217"/>
      <c r="I9" s="407"/>
      <c r="J9" s="222"/>
      <c r="K9" s="427"/>
      <c r="O9" s="171"/>
    </row>
    <row r="10" spans="1:24" ht="15.75" x14ac:dyDescent="0.3">
      <c r="A10" s="426"/>
      <c r="B10" s="222" t="s">
        <v>422</v>
      </c>
      <c r="C10" s="217"/>
      <c r="D10" s="217"/>
      <c r="E10" s="217"/>
      <c r="F10" s="217">
        <v>19.600000000000001</v>
      </c>
      <c r="G10" s="217" t="s">
        <v>420</v>
      </c>
      <c r="H10" s="217"/>
      <c r="I10" s="407"/>
      <c r="J10" s="222"/>
      <c r="K10" s="427"/>
      <c r="O10" s="171"/>
    </row>
    <row r="11" spans="1:24" ht="15.75" x14ac:dyDescent="0.3">
      <c r="A11" s="426"/>
      <c r="B11" s="222" t="s">
        <v>423</v>
      </c>
      <c r="C11" s="217"/>
      <c r="D11" s="217"/>
      <c r="E11" s="217"/>
      <c r="F11" s="217">
        <f>'Struct2(Barrel)'!E24</f>
        <v>9.81</v>
      </c>
      <c r="G11" s="217" t="s">
        <v>424</v>
      </c>
      <c r="H11" s="217"/>
      <c r="I11" s="407"/>
      <c r="J11" s="222"/>
      <c r="K11" s="427"/>
      <c r="O11" s="171"/>
      <c r="S11" s="171"/>
    </row>
    <row r="12" spans="1:24" x14ac:dyDescent="0.2">
      <c r="A12" s="426"/>
      <c r="B12" s="217"/>
      <c r="C12" s="217"/>
      <c r="D12" s="217"/>
      <c r="E12" s="217"/>
      <c r="F12" s="217"/>
      <c r="G12" s="217"/>
      <c r="H12" s="217"/>
      <c r="I12" s="217"/>
      <c r="J12" s="217"/>
      <c r="K12" s="427"/>
      <c r="O12" s="171"/>
    </row>
    <row r="13" spans="1:24" x14ac:dyDescent="0.2">
      <c r="A13" s="426"/>
      <c r="B13" s="222" t="s">
        <v>31</v>
      </c>
      <c r="C13" s="217"/>
      <c r="D13" s="217"/>
      <c r="E13" s="217"/>
      <c r="F13" s="86">
        <f>'Design Data'!D45</f>
        <v>18</v>
      </c>
      <c r="G13" s="222" t="s">
        <v>32</v>
      </c>
      <c r="H13" s="217"/>
      <c r="I13" s="217"/>
      <c r="J13" s="217"/>
      <c r="K13" s="427"/>
      <c r="O13" s="171"/>
    </row>
    <row r="14" spans="1:24" x14ac:dyDescent="0.2">
      <c r="A14" s="426"/>
      <c r="B14" s="222" t="s">
        <v>33</v>
      </c>
      <c r="C14" s="217"/>
      <c r="D14" s="217"/>
      <c r="E14" s="217"/>
      <c r="F14" s="217"/>
      <c r="G14" s="187">
        <f>(1-SIN(F13*PI()/180))/(1+SIN(F13*PI()/180))</f>
        <v>0.52786404500042061</v>
      </c>
      <c r="H14" s="217"/>
      <c r="I14" s="217"/>
      <c r="J14" s="217"/>
      <c r="K14" s="427"/>
    </row>
    <row r="15" spans="1:24" x14ac:dyDescent="0.2">
      <c r="A15" s="426"/>
      <c r="B15" s="222" t="s">
        <v>425</v>
      </c>
      <c r="C15" s="217"/>
      <c r="D15" s="217"/>
      <c r="E15" s="217"/>
      <c r="F15" s="451">
        <v>0.5</v>
      </c>
      <c r="G15" s="217"/>
      <c r="H15" s="217"/>
      <c r="I15" s="217"/>
      <c r="J15" s="217"/>
      <c r="K15" s="427"/>
    </row>
    <row r="16" spans="1:24" x14ac:dyDescent="0.2">
      <c r="A16" s="426"/>
      <c r="B16" s="217"/>
      <c r="C16" s="217"/>
      <c r="D16" s="217"/>
      <c r="E16" s="217"/>
      <c r="F16" s="217"/>
      <c r="G16" s="217"/>
      <c r="H16" s="217"/>
      <c r="I16" s="217"/>
      <c r="J16" s="217"/>
      <c r="K16" s="427"/>
    </row>
    <row r="17" spans="1:11" x14ac:dyDescent="0.2">
      <c r="A17" s="426"/>
      <c r="B17" s="222" t="s">
        <v>426</v>
      </c>
      <c r="C17" s="217"/>
      <c r="D17" s="217"/>
      <c r="E17" s="217"/>
      <c r="F17" s="649">
        <f>'Basin (RS)'!F25</f>
        <v>3.5</v>
      </c>
      <c r="G17" s="222" t="s">
        <v>345</v>
      </c>
      <c r="H17" s="217"/>
      <c r="I17" s="217"/>
      <c r="J17" s="217"/>
      <c r="K17" s="427"/>
    </row>
    <row r="18" spans="1:11" x14ac:dyDescent="0.2">
      <c r="A18" s="426"/>
      <c r="B18" s="222" t="s">
        <v>427</v>
      </c>
      <c r="C18" s="217"/>
      <c r="D18" s="217"/>
      <c r="E18" s="217"/>
      <c r="F18" s="649">
        <f>'Basin (RS)'!F17</f>
        <v>-2.25</v>
      </c>
      <c r="G18" s="222" t="s">
        <v>345</v>
      </c>
      <c r="H18" s="217"/>
      <c r="I18" s="217"/>
      <c r="J18" s="217"/>
      <c r="K18" s="427"/>
    </row>
    <row r="19" spans="1:11" x14ac:dyDescent="0.2">
      <c r="A19" s="426"/>
      <c r="B19" s="217"/>
      <c r="C19" s="217"/>
      <c r="D19" s="217"/>
      <c r="E19" s="217"/>
      <c r="F19" s="217"/>
      <c r="G19" s="217"/>
      <c r="H19" s="217"/>
      <c r="I19" s="217"/>
      <c r="J19" s="217"/>
      <c r="K19" s="427"/>
    </row>
    <row r="20" spans="1:11" x14ac:dyDescent="0.2">
      <c r="A20" s="426"/>
      <c r="B20" s="222" t="s">
        <v>428</v>
      </c>
      <c r="C20" s="217"/>
      <c r="D20" s="217"/>
      <c r="E20" s="217"/>
      <c r="F20" s="502">
        <v>300</v>
      </c>
      <c r="G20" s="222" t="s">
        <v>43</v>
      </c>
      <c r="H20" s="217"/>
      <c r="I20" s="217"/>
      <c r="J20" s="217"/>
      <c r="K20" s="427"/>
    </row>
    <row r="21" spans="1:11" x14ac:dyDescent="0.2">
      <c r="A21" s="426"/>
      <c r="B21" s="222" t="s">
        <v>429</v>
      </c>
      <c r="C21" s="217"/>
      <c r="D21" s="217"/>
      <c r="E21" s="217"/>
      <c r="F21" s="35">
        <f>'Struct4 wing(RS)'!E36</f>
        <v>650</v>
      </c>
      <c r="G21" s="222" t="s">
        <v>43</v>
      </c>
      <c r="H21" s="217"/>
      <c r="I21" s="217"/>
      <c r="J21" s="217"/>
      <c r="K21" s="427"/>
    </row>
    <row r="22" spans="1:11" x14ac:dyDescent="0.2">
      <c r="A22" s="426"/>
      <c r="B22" s="222" t="s">
        <v>430</v>
      </c>
      <c r="C22" s="217"/>
      <c r="D22" s="217"/>
      <c r="E22" s="217"/>
      <c r="F22" s="86">
        <f>'Struct4 wing(RS)'!G36</f>
        <v>700</v>
      </c>
      <c r="G22" s="222" t="s">
        <v>43</v>
      </c>
      <c r="H22" s="217"/>
      <c r="I22" s="217"/>
      <c r="J22" s="217"/>
      <c r="K22" s="427"/>
    </row>
    <row r="23" spans="1:11" x14ac:dyDescent="0.2">
      <c r="A23" s="426"/>
      <c r="B23" s="217"/>
      <c r="C23" s="217"/>
      <c r="D23" s="217"/>
      <c r="E23" s="217"/>
      <c r="F23" s="217"/>
      <c r="G23" s="217"/>
      <c r="H23" s="217"/>
      <c r="I23" s="217"/>
      <c r="J23" s="217"/>
      <c r="K23" s="427"/>
    </row>
    <row r="24" spans="1:11" x14ac:dyDescent="0.2">
      <c r="A24" s="426"/>
      <c r="B24" s="222" t="s">
        <v>431</v>
      </c>
      <c r="C24" s="217"/>
      <c r="D24" s="217"/>
      <c r="E24" s="217"/>
      <c r="F24" s="187">
        <f>F17-F18</f>
        <v>5.75</v>
      </c>
      <c r="G24" s="222" t="s">
        <v>24</v>
      </c>
      <c r="H24" s="217"/>
      <c r="I24" s="217"/>
      <c r="J24" s="217"/>
      <c r="K24" s="427"/>
    </row>
    <row r="25" spans="1:11" x14ac:dyDescent="0.2">
      <c r="A25" s="426"/>
      <c r="B25" s="217" t="s">
        <v>432</v>
      </c>
      <c r="C25" s="217"/>
      <c r="D25" s="217"/>
      <c r="E25" s="217"/>
      <c r="F25" s="217">
        <f>F24+F22/1000</f>
        <v>6.45</v>
      </c>
      <c r="G25" s="217" t="s">
        <v>24</v>
      </c>
      <c r="H25" s="217"/>
      <c r="I25" s="217"/>
      <c r="J25" s="217"/>
      <c r="K25" s="427"/>
    </row>
    <row r="26" spans="1:11" x14ac:dyDescent="0.2">
      <c r="A26" s="426"/>
      <c r="B26" s="217"/>
      <c r="C26" s="217"/>
      <c r="D26" s="217"/>
      <c r="E26" s="217"/>
      <c r="F26" s="217"/>
      <c r="G26" s="217"/>
      <c r="H26" s="217"/>
      <c r="I26" s="217"/>
      <c r="J26" s="217"/>
      <c r="K26" s="427"/>
    </row>
    <row r="27" spans="1:11" x14ac:dyDescent="0.2">
      <c r="A27" s="426"/>
      <c r="B27" s="222" t="s">
        <v>433</v>
      </c>
      <c r="C27" s="217"/>
      <c r="D27" s="217"/>
      <c r="E27" s="217"/>
      <c r="F27" s="452">
        <f>(F24*2)+0.5</f>
        <v>12</v>
      </c>
      <c r="G27" s="222" t="s">
        <v>24</v>
      </c>
      <c r="H27" s="217"/>
      <c r="I27" s="217"/>
      <c r="J27" s="217"/>
      <c r="K27" s="427"/>
    </row>
    <row r="28" spans="1:11" x14ac:dyDescent="0.2">
      <c r="A28" s="426"/>
      <c r="B28" s="222" t="s">
        <v>434</v>
      </c>
      <c r="C28" s="217"/>
      <c r="D28" s="217"/>
      <c r="E28" s="217"/>
      <c r="F28" s="407">
        <v>3.25</v>
      </c>
      <c r="G28" s="222" t="s">
        <v>24</v>
      </c>
      <c r="H28" s="222" t="s">
        <v>435</v>
      </c>
      <c r="I28" s="187">
        <f>H142</f>
        <v>98.184646661875163</v>
      </c>
      <c r="J28" s="217"/>
      <c r="K28" s="427"/>
    </row>
    <row r="29" spans="1:11" x14ac:dyDescent="0.2">
      <c r="A29" s="426"/>
      <c r="B29" s="222" t="s">
        <v>436</v>
      </c>
      <c r="C29" s="217"/>
      <c r="D29" s="217"/>
      <c r="E29" s="217"/>
      <c r="F29" s="407">
        <v>2</v>
      </c>
      <c r="G29" s="222" t="s">
        <v>24</v>
      </c>
      <c r="H29" s="222" t="s">
        <v>437</v>
      </c>
      <c r="I29" s="187">
        <f>H143</f>
        <v>87.55196350761635</v>
      </c>
      <c r="J29" s="217"/>
      <c r="K29" s="427"/>
    </row>
    <row r="30" spans="1:11" x14ac:dyDescent="0.2">
      <c r="A30" s="426"/>
      <c r="B30" s="222" t="s">
        <v>438</v>
      </c>
      <c r="C30" s="217"/>
      <c r="D30" s="217"/>
      <c r="E30" s="217"/>
      <c r="F30" s="187">
        <f>F28+F29+F21/1000</f>
        <v>5.9</v>
      </c>
      <c r="G30" s="222" t="s">
        <v>24</v>
      </c>
      <c r="H30" s="951">
        <f>F30/F25</f>
        <v>0.91472868217054271</v>
      </c>
      <c r="I30" s="217"/>
      <c r="J30" s="217"/>
      <c r="K30" s="427"/>
    </row>
    <row r="31" spans="1:11" x14ac:dyDescent="0.2">
      <c r="A31" s="426"/>
      <c r="B31" s="217"/>
      <c r="C31" s="217"/>
      <c r="D31" s="217"/>
      <c r="E31" s="217"/>
      <c r="F31" s="217"/>
      <c r="G31" s="217"/>
      <c r="H31" s="217"/>
      <c r="I31" s="217"/>
      <c r="J31" s="217"/>
      <c r="K31" s="427"/>
    </row>
    <row r="32" spans="1:11" x14ac:dyDescent="0.2">
      <c r="A32" s="426"/>
      <c r="B32" s="222" t="s">
        <v>439</v>
      </c>
      <c r="C32" s="217"/>
      <c r="D32" s="217"/>
      <c r="E32" s="217"/>
      <c r="F32" s="217"/>
      <c r="G32" s="952">
        <f>'Struct2(Barrel)'!F42</f>
        <v>414000</v>
      </c>
      <c r="H32" s="222" t="s">
        <v>35</v>
      </c>
      <c r="I32" s="545">
        <f>G32/6.895</f>
        <v>60043.509789702686</v>
      </c>
      <c r="J32" s="290" t="s">
        <v>413</v>
      </c>
      <c r="K32" s="427"/>
    </row>
    <row r="33" spans="1:12" x14ac:dyDescent="0.2">
      <c r="A33" s="426"/>
      <c r="B33" s="222" t="s">
        <v>440</v>
      </c>
      <c r="C33" s="217"/>
      <c r="D33" s="217"/>
      <c r="E33" s="217"/>
      <c r="F33" s="217"/>
      <c r="G33" s="952">
        <f>'Struct2(Barrel)'!F43</f>
        <v>22000</v>
      </c>
      <c r="H33" s="222" t="s">
        <v>35</v>
      </c>
      <c r="I33" s="545">
        <f>G33/6.895</f>
        <v>3190.7179115300946</v>
      </c>
      <c r="J33" s="290" t="s">
        <v>413</v>
      </c>
      <c r="K33" s="427"/>
    </row>
    <row r="34" spans="1:12" x14ac:dyDescent="0.2">
      <c r="A34" s="426"/>
      <c r="B34" s="217"/>
      <c r="C34" s="217"/>
      <c r="D34" s="217"/>
      <c r="E34" s="217"/>
      <c r="F34" s="217"/>
      <c r="G34" s="217"/>
      <c r="H34" s="217"/>
      <c r="I34" s="217"/>
      <c r="J34" s="217"/>
      <c r="K34" s="427"/>
    </row>
    <row r="35" spans="1:12" x14ac:dyDescent="0.2">
      <c r="A35" s="426"/>
      <c r="B35" s="222" t="s">
        <v>348</v>
      </c>
      <c r="C35" s="217"/>
      <c r="D35" s="217"/>
      <c r="E35" s="217"/>
      <c r="F35" s="217"/>
      <c r="G35" s="952">
        <f>0.45*G32</f>
        <v>186300</v>
      </c>
      <c r="H35" s="222" t="s">
        <v>35</v>
      </c>
      <c r="I35" s="217"/>
      <c r="J35" s="217"/>
      <c r="K35" s="427"/>
    </row>
    <row r="36" spans="1:12" x14ac:dyDescent="0.2">
      <c r="A36" s="426"/>
      <c r="B36" s="222" t="s">
        <v>327</v>
      </c>
      <c r="C36" s="217"/>
      <c r="D36" s="217"/>
      <c r="E36" s="217"/>
      <c r="F36" s="217"/>
      <c r="G36" s="952">
        <f>0.4*G33</f>
        <v>8800</v>
      </c>
      <c r="H36" s="222" t="s">
        <v>35</v>
      </c>
      <c r="I36" s="217"/>
      <c r="J36" s="217"/>
      <c r="K36" s="427"/>
    </row>
    <row r="37" spans="1:12" x14ac:dyDescent="0.2">
      <c r="A37" s="426"/>
      <c r="B37" s="217"/>
      <c r="C37" s="217"/>
      <c r="D37" s="217"/>
      <c r="E37" s="217"/>
      <c r="F37" s="217"/>
      <c r="G37" s="217"/>
      <c r="H37" s="217"/>
      <c r="I37" s="217"/>
      <c r="J37" s="217"/>
      <c r="K37" s="427"/>
    </row>
    <row r="38" spans="1:12" ht="14.25" x14ac:dyDescent="0.2">
      <c r="A38" s="426"/>
      <c r="B38" s="222" t="s">
        <v>441</v>
      </c>
      <c r="C38" s="217"/>
      <c r="D38" s="217"/>
      <c r="E38" s="217"/>
      <c r="F38" s="217"/>
      <c r="G38" s="952">
        <f>2.89*SQRT(G33)</f>
        <v>428.65627255412932</v>
      </c>
      <c r="H38" s="222" t="s">
        <v>35</v>
      </c>
      <c r="I38" s="217"/>
      <c r="J38" s="217"/>
      <c r="K38" s="427"/>
    </row>
    <row r="39" spans="1:12" x14ac:dyDescent="0.2">
      <c r="A39" s="426"/>
      <c r="B39" s="217"/>
      <c r="C39" s="217"/>
      <c r="D39" s="217"/>
      <c r="E39" s="217"/>
      <c r="F39" s="217"/>
      <c r="G39" s="217"/>
      <c r="H39" s="217"/>
      <c r="I39" s="217"/>
      <c r="J39" s="217"/>
      <c r="K39" s="427"/>
    </row>
    <row r="40" spans="1:12" ht="14.25" x14ac:dyDescent="0.2">
      <c r="A40" s="426"/>
      <c r="B40" s="222" t="s">
        <v>442</v>
      </c>
      <c r="C40" s="217"/>
      <c r="D40" s="217"/>
      <c r="E40" s="217"/>
      <c r="F40" s="222"/>
      <c r="G40" s="953">
        <f>113.4*G33^0.5</f>
        <v>16819.938168732966</v>
      </c>
      <c r="H40" s="459" t="s">
        <v>443</v>
      </c>
      <c r="I40" s="217"/>
      <c r="J40" s="952"/>
      <c r="K40" s="458"/>
    </row>
    <row r="41" spans="1:12" x14ac:dyDescent="0.2">
      <c r="A41" s="426"/>
      <c r="B41" s="217"/>
      <c r="C41" s="217"/>
      <c r="D41" s="217"/>
      <c r="E41" s="217"/>
      <c r="F41" s="217"/>
      <c r="G41" s="217"/>
      <c r="H41" s="217"/>
      <c r="I41" s="217"/>
      <c r="J41" s="217"/>
      <c r="K41" s="427"/>
      <c r="L41" s="176"/>
    </row>
    <row r="42" spans="1:12" x14ac:dyDescent="0.2">
      <c r="A42" s="426"/>
      <c r="B42" s="222" t="s">
        <v>38</v>
      </c>
      <c r="C42" s="217"/>
      <c r="D42" s="217"/>
      <c r="E42" s="217"/>
      <c r="F42" s="222" t="s">
        <v>39</v>
      </c>
      <c r="G42" s="86">
        <v>1103</v>
      </c>
      <c r="H42" s="222" t="s">
        <v>444</v>
      </c>
      <c r="I42" s="222" t="s">
        <v>445</v>
      </c>
      <c r="J42" s="217"/>
      <c r="K42" s="427"/>
    </row>
    <row r="43" spans="1:12" x14ac:dyDescent="0.2">
      <c r="A43" s="426"/>
      <c r="B43" s="217"/>
      <c r="C43" s="217"/>
      <c r="D43" s="217"/>
      <c r="E43" s="217"/>
      <c r="F43" s="217"/>
      <c r="G43" s="217"/>
      <c r="H43" s="217"/>
      <c r="I43" s="217"/>
      <c r="J43" s="217"/>
      <c r="K43" s="427"/>
    </row>
    <row r="44" spans="1:12" x14ac:dyDescent="0.2">
      <c r="A44" s="426"/>
      <c r="B44" s="222" t="s">
        <v>40</v>
      </c>
      <c r="C44" s="217"/>
      <c r="D44" s="217"/>
      <c r="E44" s="217"/>
      <c r="F44" s="217"/>
      <c r="G44" s="952">
        <f>'Struct2(Barrel)'!F47</f>
        <v>196000000</v>
      </c>
      <c r="H44" s="222" t="s">
        <v>35</v>
      </c>
      <c r="I44" s="217"/>
      <c r="J44" s="217"/>
      <c r="K44" s="427"/>
    </row>
    <row r="45" spans="1:12" x14ac:dyDescent="0.2">
      <c r="A45" s="426"/>
      <c r="B45" s="222" t="s">
        <v>41</v>
      </c>
      <c r="C45" s="217"/>
      <c r="D45" s="217"/>
      <c r="E45" s="217"/>
      <c r="F45" s="217"/>
      <c r="G45" s="952">
        <f>'Struct2(Barrel)'!F48</f>
        <v>19800000</v>
      </c>
      <c r="H45" s="222" t="s">
        <v>35</v>
      </c>
      <c r="I45" s="217"/>
      <c r="J45" s="217"/>
      <c r="K45" s="427"/>
    </row>
    <row r="46" spans="1:12" x14ac:dyDescent="0.2">
      <c r="A46" s="426"/>
      <c r="B46" s="217"/>
      <c r="C46" s="217"/>
      <c r="D46" s="217"/>
      <c r="E46" s="217"/>
      <c r="F46" s="217"/>
      <c r="G46" s="217"/>
      <c r="H46" s="217"/>
      <c r="I46" s="217"/>
      <c r="J46" s="217"/>
      <c r="K46" s="427"/>
    </row>
    <row r="47" spans="1:12" x14ac:dyDescent="0.2">
      <c r="A47" s="426"/>
      <c r="B47" s="222" t="s">
        <v>446</v>
      </c>
      <c r="C47" s="217"/>
      <c r="D47" s="217"/>
      <c r="E47" s="217"/>
      <c r="F47" s="217"/>
      <c r="G47" s="502">
        <f>'Struct2(Barrel)'!F50</f>
        <v>75</v>
      </c>
      <c r="H47" s="222" t="s">
        <v>43</v>
      </c>
      <c r="I47" s="217"/>
      <c r="J47" s="217"/>
      <c r="K47" s="427"/>
    </row>
    <row r="48" spans="1:12" x14ac:dyDescent="0.2">
      <c r="A48" s="426"/>
      <c r="B48" s="217"/>
      <c r="C48" s="217"/>
      <c r="D48" s="217"/>
      <c r="E48" s="217"/>
      <c r="F48" s="217"/>
      <c r="G48" s="217"/>
      <c r="H48" s="217"/>
      <c r="I48" s="217"/>
      <c r="J48" s="217"/>
      <c r="K48" s="427"/>
    </row>
    <row r="49" spans="1:11" x14ac:dyDescent="0.2">
      <c r="A49" s="426"/>
      <c r="B49" s="217"/>
      <c r="C49" s="217"/>
      <c r="D49" s="217"/>
      <c r="E49" s="217"/>
      <c r="F49" s="217"/>
      <c r="G49" s="217"/>
      <c r="H49" s="217"/>
      <c r="I49" s="217"/>
      <c r="J49" s="217"/>
      <c r="K49" s="427"/>
    </row>
    <row r="50" spans="1:11" x14ac:dyDescent="0.2">
      <c r="A50" s="426"/>
      <c r="B50" s="222" t="s">
        <v>447</v>
      </c>
      <c r="C50" s="217"/>
      <c r="D50" s="217"/>
      <c r="E50" s="217"/>
      <c r="F50" s="217"/>
      <c r="G50" s="217"/>
      <c r="H50" s="217"/>
      <c r="I50" s="217"/>
      <c r="J50" s="217"/>
      <c r="K50" s="427"/>
    </row>
    <row r="51" spans="1:11" x14ac:dyDescent="0.2">
      <c r="A51" s="426"/>
      <c r="B51" s="222" t="s">
        <v>44</v>
      </c>
      <c r="C51" s="217"/>
      <c r="D51" s="217"/>
      <c r="E51" s="217"/>
      <c r="F51" s="187">
        <f>G44/G45</f>
        <v>9.8989898989898997</v>
      </c>
      <c r="G51" s="217"/>
      <c r="H51" s="217"/>
      <c r="I51" s="217"/>
      <c r="J51" s="217"/>
      <c r="K51" s="427"/>
    </row>
    <row r="52" spans="1:11" x14ac:dyDescent="0.2">
      <c r="A52" s="426"/>
      <c r="B52" s="222" t="s">
        <v>45</v>
      </c>
      <c r="C52" s="217"/>
      <c r="D52" s="217"/>
      <c r="E52" s="217"/>
      <c r="F52" s="187">
        <f>G35/G36</f>
        <v>21.170454545454547</v>
      </c>
      <c r="G52" s="217"/>
      <c r="H52" s="217"/>
      <c r="I52" s="217"/>
      <c r="J52" s="217"/>
      <c r="K52" s="427"/>
    </row>
    <row r="53" spans="1:11" x14ac:dyDescent="0.2">
      <c r="A53" s="426"/>
      <c r="B53" s="222" t="s">
        <v>46</v>
      </c>
      <c r="C53" s="217"/>
      <c r="D53" s="217"/>
      <c r="E53" s="217"/>
      <c r="F53" s="490">
        <f>F51/(F51+F52)</f>
        <v>0.31860852602917872</v>
      </c>
      <c r="G53" s="217"/>
      <c r="H53" s="217"/>
      <c r="I53" s="217"/>
      <c r="J53" s="217"/>
      <c r="K53" s="427"/>
    </row>
    <row r="54" spans="1:11" x14ac:dyDescent="0.2">
      <c r="A54" s="426"/>
      <c r="B54" s="222" t="s">
        <v>47</v>
      </c>
      <c r="C54" s="217"/>
      <c r="D54" s="217"/>
      <c r="E54" s="217"/>
      <c r="F54" s="217"/>
      <c r="G54" s="490">
        <f>1-F53/3</f>
        <v>0.89379715799027371</v>
      </c>
      <c r="H54" s="217"/>
      <c r="I54" s="217"/>
      <c r="J54" s="217"/>
      <c r="K54" s="427"/>
    </row>
    <row r="55" spans="1:11" ht="13.5" thickBot="1" x14ac:dyDescent="0.25">
      <c r="A55" s="429"/>
      <c r="B55" s="467" t="s">
        <v>48</v>
      </c>
      <c r="C55" s="430"/>
      <c r="D55" s="430"/>
      <c r="E55" s="430"/>
      <c r="F55" s="430"/>
      <c r="G55" s="954">
        <f>G36*G54*F53/2</f>
        <v>1252.9941383359403</v>
      </c>
      <c r="H55" s="467" t="s">
        <v>35</v>
      </c>
      <c r="I55" s="430"/>
      <c r="J55" s="430"/>
      <c r="K55" s="489" t="s">
        <v>2424</v>
      </c>
    </row>
    <row r="65" spans="1:11" ht="13.5" thickBot="1" x14ac:dyDescent="0.25"/>
    <row r="66" spans="1:11" x14ac:dyDescent="0.2">
      <c r="A66" s="423"/>
      <c r="B66" s="466"/>
      <c r="C66" s="466"/>
      <c r="D66" s="466"/>
      <c r="E66" s="424"/>
      <c r="F66" s="466"/>
      <c r="G66" s="651"/>
      <c r="H66" s="424"/>
      <c r="I66" s="424"/>
      <c r="J66" s="773" t="s">
        <v>2452</v>
      </c>
      <c r="K66" s="425"/>
    </row>
    <row r="67" spans="1:11" ht="13.5" thickBot="1" x14ac:dyDescent="0.25">
      <c r="A67" s="426"/>
      <c r="B67" s="222"/>
      <c r="C67" s="791" t="str">
        <f>D2</f>
        <v>DR-5</v>
      </c>
      <c r="D67" s="217"/>
      <c r="E67" s="217"/>
      <c r="F67" s="626">
        <f>F20</f>
        <v>300</v>
      </c>
      <c r="G67" s="222" t="s">
        <v>43</v>
      </c>
      <c r="H67" s="217"/>
      <c r="I67" s="217"/>
      <c r="J67" s="217"/>
      <c r="K67" s="427"/>
    </row>
    <row r="68" spans="1:11" x14ac:dyDescent="0.2">
      <c r="A68" s="426"/>
      <c r="B68" s="222"/>
      <c r="C68" s="222"/>
      <c r="D68" s="217"/>
      <c r="E68" s="217"/>
      <c r="F68" s="19" t="s">
        <v>448</v>
      </c>
      <c r="G68" s="222" t="s">
        <v>449</v>
      </c>
      <c r="H68" s="217"/>
      <c r="I68" s="217"/>
      <c r="J68" s="217"/>
      <c r="K68" s="427"/>
    </row>
    <row r="69" spans="1:11" x14ac:dyDescent="0.2">
      <c r="A69" s="426"/>
      <c r="B69" s="222"/>
      <c r="C69" s="222"/>
      <c r="D69" s="217"/>
      <c r="E69" s="217"/>
      <c r="F69" s="222"/>
      <c r="G69" s="459"/>
      <c r="H69" s="399">
        <f>F17</f>
        <v>3.5</v>
      </c>
      <c r="I69" s="217" t="s">
        <v>450</v>
      </c>
      <c r="J69" s="217"/>
      <c r="K69" s="427"/>
    </row>
    <row r="70" spans="1:11" x14ac:dyDescent="0.2">
      <c r="A70" s="426"/>
      <c r="B70" s="222"/>
      <c r="C70" s="222"/>
      <c r="D70" s="217"/>
      <c r="E70" s="217"/>
      <c r="F70" s="222"/>
      <c r="G70" s="459"/>
      <c r="H70" s="217"/>
      <c r="I70" s="217"/>
      <c r="J70" s="217"/>
      <c r="K70" s="427"/>
    </row>
    <row r="71" spans="1:11" x14ac:dyDescent="0.2">
      <c r="A71" s="426"/>
      <c r="B71" s="217"/>
      <c r="C71" s="217"/>
      <c r="D71" s="217"/>
      <c r="E71" s="217"/>
      <c r="F71" s="222"/>
      <c r="G71" s="459"/>
      <c r="H71" s="217"/>
      <c r="I71" s="217"/>
      <c r="J71" s="217"/>
      <c r="K71" s="427"/>
    </row>
    <row r="72" spans="1:11" x14ac:dyDescent="0.2">
      <c r="A72" s="426"/>
      <c r="B72" s="222"/>
      <c r="C72" s="217"/>
      <c r="D72" s="217"/>
      <c r="E72" s="217"/>
      <c r="F72" s="222"/>
      <c r="G72" s="459"/>
      <c r="H72" s="217"/>
      <c r="I72" s="217"/>
      <c r="J72" s="217"/>
      <c r="K72" s="427"/>
    </row>
    <row r="73" spans="1:11" x14ac:dyDescent="0.2">
      <c r="A73" s="426"/>
      <c r="B73" s="217"/>
      <c r="C73" s="217"/>
      <c r="D73" s="222"/>
      <c r="E73" s="217"/>
      <c r="F73" s="222"/>
      <c r="G73" s="459"/>
      <c r="H73" s="217"/>
      <c r="I73" s="217"/>
      <c r="J73" s="217"/>
      <c r="K73" s="427"/>
    </row>
    <row r="74" spans="1:11" x14ac:dyDescent="0.2">
      <c r="A74" s="426"/>
      <c r="B74" s="222"/>
      <c r="C74" s="222"/>
      <c r="D74" s="217"/>
      <c r="E74" s="217"/>
      <c r="F74" s="222"/>
      <c r="G74" s="459"/>
      <c r="H74" s="217"/>
      <c r="I74" s="217"/>
      <c r="J74" s="217"/>
      <c r="K74" s="427"/>
    </row>
    <row r="75" spans="1:11" x14ac:dyDescent="0.2">
      <c r="A75" s="426"/>
      <c r="B75" s="222"/>
      <c r="C75" s="217" t="s">
        <v>451</v>
      </c>
      <c r="D75" s="217">
        <f>F24</f>
        <v>5.75</v>
      </c>
      <c r="E75" s="217" t="s">
        <v>24</v>
      </c>
      <c r="F75" s="222"/>
      <c r="G75" s="459"/>
      <c r="H75" s="217"/>
      <c r="I75" s="217"/>
      <c r="J75" s="217"/>
      <c r="K75" s="427"/>
    </row>
    <row r="76" spans="1:11" x14ac:dyDescent="0.2">
      <c r="A76" s="426"/>
      <c r="B76" s="222"/>
      <c r="C76" s="222"/>
      <c r="D76" s="217"/>
      <c r="E76" s="217"/>
      <c r="F76" s="222"/>
      <c r="G76" s="459"/>
      <c r="H76" s="217"/>
      <c r="I76" s="217"/>
      <c r="J76" s="217"/>
      <c r="K76" s="427"/>
    </row>
    <row r="77" spans="1:11" x14ac:dyDescent="0.2">
      <c r="A77" s="426"/>
      <c r="B77" s="222"/>
      <c r="C77" s="222"/>
      <c r="D77" s="217"/>
      <c r="E77" s="217"/>
      <c r="F77" s="222"/>
      <c r="G77" s="459"/>
      <c r="H77" s="217"/>
      <c r="I77" s="217"/>
      <c r="J77" s="217"/>
      <c r="K77" s="427"/>
    </row>
    <row r="78" spans="1:11" x14ac:dyDescent="0.2">
      <c r="A78" s="426"/>
      <c r="B78" s="222"/>
      <c r="C78" s="496" t="s">
        <v>452</v>
      </c>
      <c r="D78" s="217">
        <f>F25</f>
        <v>6.45</v>
      </c>
      <c r="E78" s="217" t="s">
        <v>24</v>
      </c>
      <c r="F78" s="222"/>
      <c r="G78" s="459"/>
      <c r="H78" s="217"/>
      <c r="I78" s="217"/>
      <c r="J78" s="217"/>
      <c r="K78" s="427"/>
    </row>
    <row r="79" spans="1:11" x14ac:dyDescent="0.2">
      <c r="A79" s="426"/>
      <c r="B79" s="222"/>
      <c r="C79" s="222"/>
      <c r="D79" s="217"/>
      <c r="E79" s="217"/>
      <c r="F79" s="222"/>
      <c r="G79" s="459"/>
      <c r="H79" s="217"/>
      <c r="I79" s="217"/>
      <c r="J79" s="217"/>
      <c r="K79" s="427"/>
    </row>
    <row r="80" spans="1:11" x14ac:dyDescent="0.2">
      <c r="A80" s="426"/>
      <c r="B80" s="222"/>
      <c r="C80" s="222"/>
      <c r="D80" s="217"/>
      <c r="E80" s="217"/>
      <c r="F80" s="217"/>
      <c r="G80" s="222"/>
      <c r="H80" s="217"/>
      <c r="I80" s="217"/>
      <c r="J80" s="217"/>
      <c r="K80" s="427"/>
    </row>
    <row r="81" spans="1:11" x14ac:dyDescent="0.2">
      <c r="A81" s="426"/>
      <c r="B81" s="217"/>
      <c r="C81" s="222"/>
      <c r="D81" s="217"/>
      <c r="E81" s="217"/>
      <c r="F81" s="217"/>
      <c r="G81" s="217"/>
      <c r="H81" s="222"/>
      <c r="I81" s="217"/>
      <c r="J81" s="217"/>
      <c r="K81" s="427"/>
    </row>
    <row r="82" spans="1:11" x14ac:dyDescent="0.2">
      <c r="A82" s="426"/>
      <c r="B82" s="19"/>
      <c r="C82" s="222"/>
      <c r="D82" s="217"/>
      <c r="E82" s="217"/>
      <c r="F82" s="217"/>
      <c r="G82" s="217"/>
      <c r="H82" s="222"/>
      <c r="I82" s="217"/>
      <c r="J82" s="217"/>
      <c r="K82" s="427"/>
    </row>
    <row r="83" spans="1:11" x14ac:dyDescent="0.2">
      <c r="A83" s="426"/>
      <c r="B83" s="217"/>
      <c r="C83" s="222"/>
      <c r="D83" s="217"/>
      <c r="E83" s="217"/>
      <c r="F83" s="217"/>
      <c r="G83" s="217"/>
      <c r="H83" s="222"/>
      <c r="I83" s="217"/>
      <c r="J83" s="217"/>
      <c r="K83" s="427"/>
    </row>
    <row r="84" spans="1:11" x14ac:dyDescent="0.2">
      <c r="A84" s="426"/>
      <c r="B84" s="222"/>
      <c r="C84" s="222"/>
      <c r="D84" s="217"/>
      <c r="E84" s="217"/>
      <c r="F84" s="217"/>
      <c r="G84" s="217"/>
      <c r="H84" s="217"/>
      <c r="I84" s="217"/>
      <c r="J84" s="217"/>
      <c r="K84" s="427"/>
    </row>
    <row r="85" spans="1:11" x14ac:dyDescent="0.2">
      <c r="A85" s="426"/>
      <c r="B85" s="217"/>
      <c r="C85" s="217"/>
      <c r="D85" s="217"/>
      <c r="E85" s="217"/>
      <c r="F85" s="217"/>
      <c r="G85" s="222"/>
      <c r="H85" s="217">
        <f>F18</f>
        <v>-2.25</v>
      </c>
      <c r="I85" s="217" t="s">
        <v>450</v>
      </c>
      <c r="J85" s="217"/>
      <c r="K85" s="427"/>
    </row>
    <row r="86" spans="1:11" x14ac:dyDescent="0.2">
      <c r="A86" s="426"/>
      <c r="B86" s="217"/>
      <c r="C86" s="217"/>
      <c r="D86" s="217"/>
      <c r="E86" s="217"/>
      <c r="F86" s="217"/>
      <c r="G86" s="222"/>
      <c r="H86" s="222"/>
      <c r="I86" s="222"/>
      <c r="J86" s="217"/>
      <c r="K86" s="427"/>
    </row>
    <row r="87" spans="1:11" x14ac:dyDescent="0.2">
      <c r="A87" s="426"/>
      <c r="B87" s="217"/>
      <c r="C87" s="217"/>
      <c r="D87" s="217"/>
      <c r="E87" s="217"/>
      <c r="F87" s="217"/>
      <c r="G87" s="222"/>
      <c r="H87" s="217"/>
      <c r="I87" s="217"/>
      <c r="J87" s="325">
        <f>F22</f>
        <v>700</v>
      </c>
      <c r="K87" s="427" t="s">
        <v>43</v>
      </c>
    </row>
    <row r="88" spans="1:11" x14ac:dyDescent="0.2">
      <c r="A88" s="426"/>
      <c r="B88" s="217"/>
      <c r="C88" s="217"/>
      <c r="D88" s="217"/>
      <c r="E88" s="217"/>
      <c r="F88" s="217"/>
      <c r="G88" s="217"/>
      <c r="H88" s="217"/>
      <c r="I88" s="217"/>
      <c r="J88" s="217"/>
      <c r="K88" s="427"/>
    </row>
    <row r="89" spans="1:11" x14ac:dyDescent="0.2">
      <c r="A89" s="426"/>
      <c r="B89" s="217"/>
      <c r="C89" s="222"/>
      <c r="D89" s="217"/>
      <c r="E89" s="217"/>
      <c r="F89" s="217"/>
      <c r="G89" s="217"/>
      <c r="H89" s="217"/>
      <c r="I89" s="217"/>
      <c r="J89" s="222"/>
      <c r="K89" s="427"/>
    </row>
    <row r="90" spans="1:11" x14ac:dyDescent="0.2">
      <c r="A90" s="426"/>
      <c r="B90" s="217"/>
      <c r="C90" s="222"/>
      <c r="D90" s="217"/>
      <c r="E90" s="217"/>
      <c r="F90" s="217"/>
      <c r="G90" s="217"/>
      <c r="H90" s="222"/>
      <c r="I90" s="217"/>
      <c r="J90" s="222"/>
      <c r="K90" s="427"/>
    </row>
    <row r="91" spans="1:11" x14ac:dyDescent="0.2">
      <c r="A91" s="426"/>
      <c r="B91" s="217"/>
      <c r="C91" s="217"/>
      <c r="D91" s="217"/>
      <c r="E91" s="217"/>
      <c r="F91" s="217"/>
      <c r="G91" s="217"/>
      <c r="H91" s="222"/>
      <c r="I91" s="217"/>
      <c r="J91" s="217"/>
      <c r="K91" s="427"/>
    </row>
    <row r="92" spans="1:11" ht="15.75" x14ac:dyDescent="0.3">
      <c r="A92" s="426"/>
      <c r="B92" s="217"/>
      <c r="C92" s="222"/>
      <c r="D92" s="217"/>
      <c r="E92" s="222"/>
      <c r="F92" s="217"/>
      <c r="G92" s="217"/>
      <c r="H92" s="399" t="s">
        <v>1866</v>
      </c>
      <c r="I92" s="217"/>
      <c r="J92" s="498" t="s">
        <v>453</v>
      </c>
      <c r="K92" s="427"/>
    </row>
    <row r="93" spans="1:11" ht="15.75" x14ac:dyDescent="0.3">
      <c r="A93" s="426"/>
      <c r="B93" s="217"/>
      <c r="C93" s="399" t="s">
        <v>454</v>
      </c>
      <c r="D93" s="217"/>
      <c r="E93" s="498" t="s">
        <v>1865</v>
      </c>
      <c r="F93" s="222"/>
      <c r="G93" s="217"/>
      <c r="H93" s="399">
        <f>I316</f>
        <v>209.74858110379705</v>
      </c>
      <c r="I93" s="217" t="s">
        <v>58</v>
      </c>
      <c r="J93" s="444">
        <f>H142</f>
        <v>98.184646661875163</v>
      </c>
      <c r="K93" s="427"/>
    </row>
    <row r="94" spans="1:11" x14ac:dyDescent="0.2">
      <c r="A94" s="426"/>
      <c r="B94" s="217"/>
      <c r="C94" s="217">
        <f>H143</f>
        <v>87.55196350761635</v>
      </c>
      <c r="D94" s="217"/>
      <c r="E94" s="217">
        <f>I381</f>
        <v>160.92642707420032</v>
      </c>
      <c r="F94" s="217" t="s">
        <v>58</v>
      </c>
      <c r="G94" s="222"/>
      <c r="H94" s="222"/>
      <c r="I94" s="217"/>
      <c r="J94" s="217"/>
      <c r="K94" s="427"/>
    </row>
    <row r="95" spans="1:11" x14ac:dyDescent="0.2">
      <c r="A95" s="426"/>
      <c r="B95" s="217"/>
      <c r="C95" s="217"/>
      <c r="D95" s="217"/>
      <c r="E95" s="217"/>
      <c r="F95" s="217"/>
      <c r="G95" s="217"/>
      <c r="H95" s="222"/>
      <c r="I95" s="217"/>
      <c r="J95" s="217"/>
      <c r="K95" s="427"/>
    </row>
    <row r="96" spans="1:11" x14ac:dyDescent="0.2">
      <c r="A96" s="426"/>
      <c r="B96" s="217"/>
      <c r="C96" s="217"/>
      <c r="D96" s="217"/>
      <c r="E96" s="217"/>
      <c r="F96" s="217"/>
      <c r="G96" s="217"/>
      <c r="H96" s="217"/>
      <c r="I96" s="217"/>
      <c r="J96" s="217"/>
      <c r="K96" s="427"/>
    </row>
    <row r="97" spans="1:11" x14ac:dyDescent="0.2">
      <c r="A97" s="426"/>
      <c r="B97" s="217"/>
      <c r="C97" s="217"/>
      <c r="D97" s="399"/>
      <c r="E97" s="459"/>
      <c r="F97" s="217"/>
      <c r="G97" s="217"/>
      <c r="H97" s="217"/>
      <c r="I97" s="217"/>
      <c r="J97" s="217"/>
      <c r="K97" s="427"/>
    </row>
    <row r="98" spans="1:11" x14ac:dyDescent="0.2">
      <c r="A98" s="426"/>
      <c r="B98" s="217"/>
      <c r="C98" s="217"/>
      <c r="D98" s="399"/>
      <c r="E98" s="217"/>
      <c r="F98" s="217"/>
      <c r="G98" s="217"/>
      <c r="H98" s="217"/>
      <c r="I98" s="217"/>
      <c r="J98" s="217"/>
      <c r="K98" s="427"/>
    </row>
    <row r="99" spans="1:11" x14ac:dyDescent="0.2">
      <c r="A99" s="426"/>
      <c r="B99" s="217"/>
      <c r="C99" s="217"/>
      <c r="D99" s="399"/>
      <c r="E99" s="325">
        <f>F29*1000</f>
        <v>2000</v>
      </c>
      <c r="F99" s="325">
        <f>F21</f>
        <v>650</v>
      </c>
      <c r="G99" s="406" t="s">
        <v>24</v>
      </c>
      <c r="H99" s="1419">
        <f>F28*1000</f>
        <v>3250</v>
      </c>
      <c r="I99" s="217" t="s">
        <v>24</v>
      </c>
      <c r="J99" s="217"/>
      <c r="K99" s="427"/>
    </row>
    <row r="100" spans="1:11" x14ac:dyDescent="0.2">
      <c r="A100" s="426"/>
      <c r="B100" s="217"/>
      <c r="C100" s="217"/>
      <c r="D100" s="222"/>
      <c r="E100" s="217" t="s">
        <v>455</v>
      </c>
      <c r="F100" s="19" t="s">
        <v>456</v>
      </c>
      <c r="G100" s="217"/>
      <c r="H100" s="222" t="s">
        <v>457</v>
      </c>
      <c r="I100" s="217"/>
      <c r="J100" s="217"/>
      <c r="K100" s="427"/>
    </row>
    <row r="101" spans="1:11" x14ac:dyDescent="0.2">
      <c r="A101" s="426"/>
      <c r="B101" s="217"/>
      <c r="C101" s="217"/>
      <c r="D101" s="217"/>
      <c r="E101" s="217"/>
      <c r="F101" s="217"/>
      <c r="G101" s="217"/>
      <c r="H101" s="217"/>
      <c r="I101" s="217"/>
      <c r="J101" s="217"/>
      <c r="K101" s="427"/>
    </row>
    <row r="102" spans="1:11" x14ac:dyDescent="0.2">
      <c r="A102" s="426"/>
      <c r="B102" s="217"/>
      <c r="C102" s="217"/>
      <c r="D102" s="217"/>
      <c r="E102" s="217"/>
      <c r="F102" s="217" t="s">
        <v>458</v>
      </c>
      <c r="G102" s="217">
        <f>F30</f>
        <v>5.9</v>
      </c>
      <c r="H102" s="217" t="s">
        <v>24</v>
      </c>
      <c r="I102" s="217"/>
      <c r="J102" s="217"/>
      <c r="K102" s="427"/>
    </row>
    <row r="103" spans="1:11" x14ac:dyDescent="0.2">
      <c r="A103" s="426"/>
      <c r="B103" s="217"/>
      <c r="C103" s="217"/>
      <c r="D103" s="217"/>
      <c r="E103" s="217"/>
      <c r="F103" s="652" t="s">
        <v>459</v>
      </c>
      <c r="G103" s="217"/>
      <c r="H103" s="217"/>
      <c r="I103" s="217"/>
      <c r="J103" s="217"/>
      <c r="K103" s="427"/>
    </row>
    <row r="104" spans="1:11" ht="13.5" thickBot="1" x14ac:dyDescent="0.25">
      <c r="A104" s="429"/>
      <c r="B104" s="430"/>
      <c r="C104" s="430"/>
      <c r="D104" s="430"/>
      <c r="E104" s="430"/>
      <c r="F104" s="430"/>
      <c r="G104" s="430"/>
      <c r="H104" s="430"/>
      <c r="I104" s="430"/>
      <c r="J104" s="430"/>
      <c r="K104" s="489" t="s">
        <v>2425</v>
      </c>
    </row>
    <row r="105" spans="1:11" x14ac:dyDescent="0.2">
      <c r="B105" s="172" t="s">
        <v>460</v>
      </c>
    </row>
    <row r="106" spans="1:11" x14ac:dyDescent="0.2">
      <c r="A106" s="171"/>
    </row>
    <row r="107" spans="1:11" x14ac:dyDescent="0.2">
      <c r="B107" s="180" t="s">
        <v>461</v>
      </c>
      <c r="C107" s="69"/>
      <c r="D107" s="68" t="s">
        <v>219</v>
      </c>
      <c r="E107" s="181" t="s">
        <v>462</v>
      </c>
      <c r="F107" s="181" t="s">
        <v>463</v>
      </c>
      <c r="G107" s="181" t="s">
        <v>464</v>
      </c>
      <c r="H107" s="181" t="s">
        <v>465</v>
      </c>
      <c r="I107" s="182" t="s">
        <v>466</v>
      </c>
    </row>
    <row r="108" spans="1:11" x14ac:dyDescent="0.2">
      <c r="B108" s="183"/>
      <c r="C108" s="184"/>
      <c r="D108" s="79" t="s">
        <v>215</v>
      </c>
      <c r="E108" s="80" t="s">
        <v>214</v>
      </c>
      <c r="F108" s="80" t="s">
        <v>467</v>
      </c>
      <c r="G108" s="80" t="s">
        <v>468</v>
      </c>
      <c r="H108" s="80" t="s">
        <v>214</v>
      </c>
      <c r="I108" s="81" t="s">
        <v>469</v>
      </c>
    </row>
    <row r="109" spans="1:11" x14ac:dyDescent="0.2">
      <c r="B109" s="185" t="s">
        <v>470</v>
      </c>
      <c r="C109" s="186"/>
      <c r="D109" s="85">
        <f>F22</f>
        <v>700</v>
      </c>
      <c r="E109" s="187">
        <f>F30</f>
        <v>5.9</v>
      </c>
      <c r="F109" s="187">
        <f>$F$9</f>
        <v>23.6</v>
      </c>
      <c r="G109" s="187">
        <f>$D109/1000*$E109*$F109</f>
        <v>97.468000000000004</v>
      </c>
      <c r="H109" s="187">
        <f>E109/2</f>
        <v>2.95</v>
      </c>
      <c r="I109" s="188">
        <f>$G109*$H109</f>
        <v>287.53060000000005</v>
      </c>
    </row>
    <row r="110" spans="1:11" x14ac:dyDescent="0.2">
      <c r="B110" s="185" t="s">
        <v>471</v>
      </c>
      <c r="C110" s="186"/>
      <c r="D110" s="85">
        <f>F20</f>
        <v>300</v>
      </c>
      <c r="E110" s="187">
        <f>F$24</f>
        <v>5.75</v>
      </c>
      <c r="F110" s="187">
        <f>$F$9</f>
        <v>23.6</v>
      </c>
      <c r="G110" s="187">
        <f>$D110/1000*$E110*$F110</f>
        <v>40.71</v>
      </c>
      <c r="H110" s="187">
        <f>D110/2000+F29</f>
        <v>2.15</v>
      </c>
      <c r="I110" s="188">
        <f>$G110*$H110</f>
        <v>87.526499999999999</v>
      </c>
    </row>
    <row r="111" spans="1:11" x14ac:dyDescent="0.2">
      <c r="B111" s="185" t="s">
        <v>472</v>
      </c>
      <c r="C111" s="186"/>
      <c r="D111" s="85">
        <f>(F$21-F$20)/2</f>
        <v>175</v>
      </c>
      <c r="E111" s="187">
        <f>F$24</f>
        <v>5.75</v>
      </c>
      <c r="F111" s="187">
        <f>$F$9</f>
        <v>23.6</v>
      </c>
      <c r="G111" s="187">
        <f>$D111/1000*$E111*$F111</f>
        <v>23.747499999999999</v>
      </c>
      <c r="H111" s="187">
        <f>(F$21-F$20)/3000+F$20/1000+F$29</f>
        <v>2.4166666666666665</v>
      </c>
      <c r="I111" s="188">
        <f>$G111*$H111</f>
        <v>57.38979166666666</v>
      </c>
    </row>
    <row r="112" spans="1:11" x14ac:dyDescent="0.2">
      <c r="B112" s="185" t="s">
        <v>473</v>
      </c>
      <c r="C112" s="186"/>
      <c r="D112" s="85">
        <f>(F$21-F$20)/2</f>
        <v>175</v>
      </c>
      <c r="E112" s="187">
        <f>F$24</f>
        <v>5.75</v>
      </c>
      <c r="F112" s="187">
        <f>$F$10</f>
        <v>19.600000000000001</v>
      </c>
      <c r="G112" s="187">
        <f>$D112/1000*$E112*$F112</f>
        <v>19.7225</v>
      </c>
      <c r="H112" s="187">
        <f>(F$21-F$20)/1500+F$20/1000+F$29</f>
        <v>2.5333333333333332</v>
      </c>
      <c r="I112" s="188">
        <f>$G112*$H112</f>
        <v>49.963666666666661</v>
      </c>
    </row>
    <row r="113" spans="1:10" x14ac:dyDescent="0.2">
      <c r="B113" s="189" t="s">
        <v>474</v>
      </c>
      <c r="C113" s="190"/>
      <c r="D113" s="74">
        <f>F24*1000</f>
        <v>5750</v>
      </c>
      <c r="E113" s="191">
        <f>F28</f>
        <v>3.25</v>
      </c>
      <c r="F113" s="191">
        <f>$F$10</f>
        <v>19.600000000000001</v>
      </c>
      <c r="G113" s="191">
        <f>$D113/1000*$E113*$F113</f>
        <v>366.27500000000003</v>
      </c>
      <c r="H113" s="191">
        <f>E113/2+F21/1000+F29</f>
        <v>4.2750000000000004</v>
      </c>
      <c r="I113" s="192">
        <f>$G113*$H113</f>
        <v>1565.8256250000002</v>
      </c>
    </row>
    <row r="114" spans="1:10" x14ac:dyDescent="0.2">
      <c r="B114" s="189" t="s">
        <v>475</v>
      </c>
      <c r="C114" s="193" t="s">
        <v>2</v>
      </c>
      <c r="D114" s="183"/>
      <c r="E114" s="194"/>
      <c r="F114" s="194"/>
      <c r="G114" s="191">
        <f>SUM(G109:G113)</f>
        <v>547.923</v>
      </c>
      <c r="H114" s="195"/>
      <c r="I114" s="192">
        <f>SUM(I109:I113)</f>
        <v>2048.2361833333334</v>
      </c>
    </row>
    <row r="116" spans="1:10" x14ac:dyDescent="0.2">
      <c r="B116" s="196" t="s">
        <v>476</v>
      </c>
    </row>
    <row r="118" spans="1:10" x14ac:dyDescent="0.2">
      <c r="B118" s="171" t="s">
        <v>477</v>
      </c>
      <c r="C118" s="171"/>
      <c r="H118" s="169">
        <f>0.5*G14*F25^2*F10</f>
        <v>215.21254653487398</v>
      </c>
      <c r="I118" s="169" t="s">
        <v>57</v>
      </c>
    </row>
    <row r="119" spans="1:10" x14ac:dyDescent="0.2">
      <c r="B119" s="171" t="s">
        <v>478</v>
      </c>
      <c r="C119" s="168"/>
      <c r="D119" s="171"/>
      <c r="E119" s="168"/>
      <c r="F119" s="171"/>
      <c r="G119" s="168"/>
      <c r="H119" s="178">
        <f>H118*F25/3</f>
        <v>462.70697504997906</v>
      </c>
      <c r="I119" s="168" t="s">
        <v>58</v>
      </c>
    </row>
    <row r="121" spans="1:10" x14ac:dyDescent="0.2">
      <c r="B121" s="171" t="s">
        <v>479</v>
      </c>
      <c r="G121" s="171"/>
      <c r="H121" s="169">
        <f>I114/H119</f>
        <v>4.4266377940641464</v>
      </c>
      <c r="J121" s="171"/>
    </row>
    <row r="122" spans="1:10" x14ac:dyDescent="0.2">
      <c r="B122" s="171" t="s">
        <v>480</v>
      </c>
      <c r="E122" s="168">
        <f>H121</f>
        <v>4.4266377940641464</v>
      </c>
      <c r="F122" s="168" t="str">
        <f>IF(H121&gt;=1.5,"  &gt;  1.5","  &lt;  1.5 ")</f>
        <v xml:space="preserve">  &gt;  1.5</v>
      </c>
      <c r="G122" s="168" t="str">
        <f>IF(H121&gt;=1.5,"Design is o.k  &lt;-----","Design is not o.k   &lt;-----")</f>
        <v>Design is o.k  &lt;-----</v>
      </c>
    </row>
    <row r="123" spans="1:10" x14ac:dyDescent="0.2">
      <c r="B123" s="171" t="s">
        <v>481</v>
      </c>
      <c r="G123" s="168"/>
      <c r="H123" s="178">
        <f>0.5*G114/H118</f>
        <v>1.2729810803832762</v>
      </c>
    </row>
    <row r="124" spans="1:10" x14ac:dyDescent="0.2">
      <c r="A124" s="171"/>
      <c r="B124" s="171" t="s">
        <v>480</v>
      </c>
      <c r="E124" s="168">
        <f>H123</f>
        <v>1.2729810803832762</v>
      </c>
      <c r="F124" s="168" t="str">
        <f>IF(H123&gt;=1.5,"  &gt;  1.5","  &lt;  1.5 ")</f>
        <v xml:space="preserve">  &lt;  1.5 </v>
      </c>
      <c r="G124" s="168" t="str">
        <f>IF(H123&gt;=1.5,"Design is o.k  &lt;-----","Design is not o.k   &lt;-----")</f>
        <v>Design is not o.k   &lt;-----</v>
      </c>
    </row>
    <row r="126" spans="1:10" x14ac:dyDescent="0.2">
      <c r="B126" s="171" t="s">
        <v>482</v>
      </c>
    </row>
    <row r="127" spans="1:10" x14ac:dyDescent="0.2">
      <c r="B127" s="171" t="s">
        <v>483</v>
      </c>
      <c r="I127" s="168"/>
    </row>
    <row r="128" spans="1:10" x14ac:dyDescent="0.2">
      <c r="B128" s="171"/>
      <c r="I128" s="168"/>
    </row>
    <row r="129" spans="2:9" x14ac:dyDescent="0.2">
      <c r="B129" s="171"/>
      <c r="I129" s="168"/>
    </row>
    <row r="131" spans="2:9" x14ac:dyDescent="0.2">
      <c r="B131" s="196" t="s">
        <v>484</v>
      </c>
    </row>
    <row r="133" spans="2:9" x14ac:dyDescent="0.2">
      <c r="B133" s="171" t="s">
        <v>485</v>
      </c>
    </row>
    <row r="134" spans="2:9" x14ac:dyDescent="0.2">
      <c r="C134" s="171" t="s">
        <v>486</v>
      </c>
      <c r="H134" s="169">
        <f>(I114-H119)/G114</f>
        <v>2.8937080726367652</v>
      </c>
      <c r="I134" s="169" t="s">
        <v>24</v>
      </c>
    </row>
    <row r="135" spans="2:9" x14ac:dyDescent="0.2">
      <c r="B135" s="171" t="s">
        <v>487</v>
      </c>
      <c r="D135" s="171"/>
      <c r="G135" s="171"/>
      <c r="H135" s="168">
        <f>F30/2-H134</f>
        <v>5.6291927363234961E-2</v>
      </c>
      <c r="I135" s="171" t="s">
        <v>24</v>
      </c>
    </row>
    <row r="138" spans="2:9" x14ac:dyDescent="0.2">
      <c r="B138" s="171" t="s">
        <v>488</v>
      </c>
    </row>
    <row r="140" spans="2:9" x14ac:dyDescent="0.2">
      <c r="B140" s="171" t="s">
        <v>489</v>
      </c>
      <c r="H140" s="168">
        <f>F30^2/6</f>
        <v>5.8016666666666667</v>
      </c>
    </row>
    <row r="142" spans="2:9" x14ac:dyDescent="0.2">
      <c r="C142" s="171" t="s">
        <v>490</v>
      </c>
      <c r="D142" s="168">
        <f>$G$114/$F$30</f>
        <v>92.868305084745757</v>
      </c>
      <c r="E142" s="171" t="s">
        <v>99</v>
      </c>
      <c r="F142" s="168">
        <f>$G$114*$H$135/$H$140</f>
        <v>5.3163415771294096</v>
      </c>
      <c r="G142" s="171" t="s">
        <v>55</v>
      </c>
      <c r="H142" s="168">
        <f>D142+F142</f>
        <v>98.184646661875163</v>
      </c>
      <c r="I142" s="171" t="s">
        <v>35</v>
      </c>
    </row>
    <row r="143" spans="2:9" x14ac:dyDescent="0.2">
      <c r="C143" s="171" t="s">
        <v>491</v>
      </c>
      <c r="D143" s="168">
        <f>$G$114/$F$30</f>
        <v>92.868305084745757</v>
      </c>
      <c r="E143" s="171" t="s">
        <v>111</v>
      </c>
      <c r="F143" s="168">
        <f>$G$114*$H$135/$H$140</f>
        <v>5.3163415771294096</v>
      </c>
      <c r="G143" s="171" t="s">
        <v>55</v>
      </c>
      <c r="H143" s="168">
        <f>D143-F143</f>
        <v>87.55196350761635</v>
      </c>
      <c r="I143" s="171" t="s">
        <v>35</v>
      </c>
    </row>
    <row r="145" spans="2:11" x14ac:dyDescent="0.2">
      <c r="C145" s="171" t="s">
        <v>492</v>
      </c>
      <c r="D145" s="168" t="str">
        <f>IF(H143&gt;=0,"  &gt;  0  ","  &lt;  0  ")</f>
        <v xml:space="preserve">  &gt;  0  </v>
      </c>
      <c r="F145" s="168" t="str">
        <f>IF(H143&gt;=0,"Design is o.k  &lt;-----","Design is not o.k   &lt;-----")</f>
        <v>Design is o.k  &lt;-----</v>
      </c>
    </row>
    <row r="147" spans="2:11" x14ac:dyDescent="0.2">
      <c r="B147" s="172" t="s">
        <v>493</v>
      </c>
    </row>
    <row r="148" spans="2:11" x14ac:dyDescent="0.2">
      <c r="B148" s="171" t="s">
        <v>1864</v>
      </c>
    </row>
    <row r="150" spans="2:11" x14ac:dyDescent="0.2">
      <c r="B150" s="197" t="s">
        <v>54</v>
      </c>
    </row>
    <row r="152" spans="2:11" ht="15.75" x14ac:dyDescent="0.3">
      <c r="B152" s="171" t="s">
        <v>495</v>
      </c>
      <c r="H152" s="169">
        <f>G14*F24*F10</f>
        <v>59.490277871547406</v>
      </c>
      <c r="I152" s="169" t="s">
        <v>57</v>
      </c>
    </row>
    <row r="153" spans="2:11" x14ac:dyDescent="0.2">
      <c r="B153" s="171" t="s">
        <v>496</v>
      </c>
      <c r="F153" s="171"/>
      <c r="H153" s="168">
        <f>F24</f>
        <v>5.75</v>
      </c>
      <c r="I153" s="171" t="s">
        <v>24</v>
      </c>
    </row>
    <row r="154" spans="2:11" x14ac:dyDescent="0.2">
      <c r="B154" s="171" t="s">
        <v>497</v>
      </c>
      <c r="H154" s="168">
        <f>H152*H153/2</f>
        <v>171.03454888069879</v>
      </c>
      <c r="I154" s="171" t="s">
        <v>57</v>
      </c>
      <c r="J154" s="171"/>
    </row>
    <row r="155" spans="2:11" x14ac:dyDescent="0.2">
      <c r="B155" s="171" t="s">
        <v>498</v>
      </c>
      <c r="H155" s="168">
        <f>H152*H153^2/6</f>
        <v>327.81621868800602</v>
      </c>
      <c r="I155" s="171" t="s">
        <v>58</v>
      </c>
    </row>
    <row r="156" spans="2:11" x14ac:dyDescent="0.2">
      <c r="K156" s="171"/>
    </row>
    <row r="157" spans="2:11" x14ac:dyDescent="0.2">
      <c r="B157" s="196" t="s">
        <v>59</v>
      </c>
    </row>
    <row r="159" spans="2:11" x14ac:dyDescent="0.2">
      <c r="B159" s="171" t="s">
        <v>499</v>
      </c>
    </row>
    <row r="160" spans="2:11" x14ac:dyDescent="0.2">
      <c r="B160" s="171"/>
    </row>
    <row r="161" spans="2:9" x14ac:dyDescent="0.2">
      <c r="B161" s="171" t="s">
        <v>500</v>
      </c>
      <c r="H161" s="168">
        <f>$H$155</f>
        <v>327.81621868800602</v>
      </c>
      <c r="I161" s="171" t="s">
        <v>58</v>
      </c>
    </row>
    <row r="162" spans="2:9" x14ac:dyDescent="0.2">
      <c r="B162" s="171" t="s">
        <v>229</v>
      </c>
      <c r="D162" s="30"/>
      <c r="E162" s="171"/>
      <c r="H162" s="39">
        <f>(H161/G55)^0.5*1000</f>
        <v>511.49418245561327</v>
      </c>
      <c r="I162" s="169" t="s">
        <v>43</v>
      </c>
    </row>
    <row r="163" spans="2:9" x14ac:dyDescent="0.2">
      <c r="B163" s="171"/>
      <c r="F163" s="168"/>
      <c r="G163" s="171"/>
    </row>
    <row r="164" spans="2:9" x14ac:dyDescent="0.2">
      <c r="B164" s="171" t="s">
        <v>501</v>
      </c>
      <c r="H164" s="168">
        <f>H154</f>
        <v>171.03454888069879</v>
      </c>
      <c r="I164" s="171" t="s">
        <v>57</v>
      </c>
    </row>
    <row r="165" spans="2:9" x14ac:dyDescent="0.2">
      <c r="B165" s="171" t="s">
        <v>264</v>
      </c>
      <c r="H165" s="30">
        <f>H164/(G38)*1000</f>
        <v>399.00162398557023</v>
      </c>
      <c r="I165" s="171" t="s">
        <v>43</v>
      </c>
    </row>
    <row r="166" spans="2:9" x14ac:dyDescent="0.2">
      <c r="B166" s="171"/>
      <c r="H166" s="168"/>
      <c r="I166" s="171"/>
    </row>
    <row r="167" spans="2:9" x14ac:dyDescent="0.2">
      <c r="B167" s="168" t="str">
        <f>IF(H162&gt;=H165,"dr(moment) &gt; dr(shear)","dr(moment) &lt; dr(shear)")</f>
        <v>dr(moment) &gt; dr(shear)</v>
      </c>
      <c r="E167" s="171" t="s">
        <v>230</v>
      </c>
      <c r="G167" s="30">
        <f>IF(H162&gt;=H165,H162,H165)</f>
        <v>511.49418245561327</v>
      </c>
      <c r="H167" s="171" t="s">
        <v>62</v>
      </c>
    </row>
    <row r="168" spans="2:9" x14ac:dyDescent="0.2">
      <c r="B168" s="171" t="s">
        <v>63</v>
      </c>
      <c r="D168" s="30"/>
      <c r="E168" s="171"/>
      <c r="F168" s="30"/>
      <c r="H168" s="205">
        <f>G167+G47</f>
        <v>586.49418245561333</v>
      </c>
      <c r="I168" s="171" t="s">
        <v>43</v>
      </c>
    </row>
    <row r="169" spans="2:9" x14ac:dyDescent="0.2">
      <c r="B169" s="171" t="s">
        <v>502</v>
      </c>
      <c r="H169" s="30">
        <f>$F$21</f>
        <v>650</v>
      </c>
      <c r="I169" s="171" t="s">
        <v>43</v>
      </c>
    </row>
    <row r="170" spans="2:9" x14ac:dyDescent="0.2">
      <c r="B170" s="168" t="str">
        <f>IF(H169&gt;=H168,"ta &gt; tr  Design is OK.","ta &lt; tr  Design is Not OK.")</f>
        <v>ta &gt; tr  Design is OK.</v>
      </c>
      <c r="F170" s="171" t="s">
        <v>64</v>
      </c>
    </row>
    <row r="171" spans="2:9" x14ac:dyDescent="0.2">
      <c r="B171" s="168"/>
      <c r="F171" s="171"/>
    </row>
    <row r="172" spans="2:9" x14ac:dyDescent="0.2">
      <c r="B172" s="197" t="s">
        <v>65</v>
      </c>
      <c r="F172" s="171"/>
    </row>
    <row r="174" spans="2:9" x14ac:dyDescent="0.2">
      <c r="B174" s="171" t="s">
        <v>503</v>
      </c>
    </row>
    <row r="175" spans="2:9" x14ac:dyDescent="0.2">
      <c r="B175" s="171" t="s">
        <v>504</v>
      </c>
    </row>
    <row r="176" spans="2:9" x14ac:dyDescent="0.2">
      <c r="B176" s="171" t="s">
        <v>505</v>
      </c>
    </row>
    <row r="177" spans="2:19" x14ac:dyDescent="0.2">
      <c r="F177" s="171"/>
    </row>
    <row r="178" spans="2:19" x14ac:dyDescent="0.2">
      <c r="B178" s="171" t="s">
        <v>506</v>
      </c>
    </row>
    <row r="179" spans="2:19" x14ac:dyDescent="0.2">
      <c r="B179" s="171" t="s">
        <v>507</v>
      </c>
    </row>
    <row r="181" spans="2:19" x14ac:dyDescent="0.2">
      <c r="B181" s="179" t="s">
        <v>508</v>
      </c>
      <c r="C181" s="198" t="s">
        <v>235</v>
      </c>
      <c r="D181" s="198" t="s">
        <v>233</v>
      </c>
      <c r="F181" s="171" t="s">
        <v>509</v>
      </c>
      <c r="I181" s="168">
        <f>$F$27</f>
        <v>12</v>
      </c>
      <c r="J181" s="171" t="s">
        <v>24</v>
      </c>
    </row>
    <row r="182" spans="2:19" x14ac:dyDescent="0.2">
      <c r="B182" s="179" t="s">
        <v>510</v>
      </c>
      <c r="C182" s="198" t="s">
        <v>232</v>
      </c>
      <c r="D182" s="198" t="s">
        <v>232</v>
      </c>
      <c r="F182" s="171" t="s">
        <v>74</v>
      </c>
      <c r="I182" s="30">
        <f>H169</f>
        <v>650</v>
      </c>
      <c r="J182" s="171" t="s">
        <v>43</v>
      </c>
    </row>
    <row r="183" spans="2:19" x14ac:dyDescent="0.2">
      <c r="B183" s="179" t="s">
        <v>75</v>
      </c>
      <c r="C183" s="199">
        <v>1.5E-3</v>
      </c>
      <c r="D183" s="199">
        <v>1E-3</v>
      </c>
      <c r="F183" s="171" t="s">
        <v>511</v>
      </c>
    </row>
    <row r="184" spans="2:19" x14ac:dyDescent="0.2">
      <c r="B184" s="179" t="s">
        <v>76</v>
      </c>
      <c r="C184" s="199">
        <v>2.5000000000000001E-3</v>
      </c>
      <c r="D184" s="199">
        <v>1.5E-3</v>
      </c>
    </row>
    <row r="186" spans="2:19" x14ac:dyDescent="0.2">
      <c r="B186" s="171" t="s">
        <v>512</v>
      </c>
      <c r="H186" s="39">
        <f>IF(I181&lt;=9,C183,C184)*IF(I182&lt;=380,I182,380)*1000</f>
        <v>950.00000000000011</v>
      </c>
      <c r="I186" s="171" t="s">
        <v>78</v>
      </c>
      <c r="M186" s="171" t="s">
        <v>66</v>
      </c>
      <c r="O186" s="30">
        <v>12</v>
      </c>
      <c r="P186" s="30">
        <v>16</v>
      </c>
      <c r="Q186" s="30">
        <v>20</v>
      </c>
      <c r="R186" s="30">
        <v>22</v>
      </c>
      <c r="S186" s="30">
        <v>25</v>
      </c>
    </row>
    <row r="187" spans="2:19" x14ac:dyDescent="0.2">
      <c r="B187" s="171" t="s">
        <v>79</v>
      </c>
      <c r="C187" s="30">
        <v>16</v>
      </c>
      <c r="D187" s="171" t="s">
        <v>71</v>
      </c>
      <c r="E187" s="30">
        <v>200</v>
      </c>
      <c r="F187" s="171" t="s">
        <v>80</v>
      </c>
      <c r="H187" s="30">
        <f>785.4*C187^2/E187</f>
        <v>1005.312</v>
      </c>
      <c r="I187" s="171" t="s">
        <v>81</v>
      </c>
      <c r="M187" s="171" t="s">
        <v>67</v>
      </c>
      <c r="O187" s="30">
        <f>IF(H186=0,100000000,TRUNC(785.4*O186^2/H186/25)*25)</f>
        <v>100</v>
      </c>
      <c r="P187" s="30">
        <f>IF(H186=0,100000000,TRUNC(785.4*P186^2/H186/25)*25)</f>
        <v>200</v>
      </c>
      <c r="Q187" s="30">
        <f>IF(H186=0,100000000,TRUNC(785.4*Q186^2/H186/25)*25)</f>
        <v>325</v>
      </c>
      <c r="R187" s="30">
        <f>IF(H186=0,100000000,TRUNC(785.4*R186^2/H186/25)*25)</f>
        <v>400</v>
      </c>
      <c r="S187" s="30">
        <f>IF(H186=0,100000000,TRUNC(785.4*S186^2/H186/25)*25)</f>
        <v>500</v>
      </c>
    </row>
    <row r="188" spans="2:19" x14ac:dyDescent="0.2">
      <c r="B188" s="171" t="s">
        <v>82</v>
      </c>
      <c r="H188" s="39">
        <f>IF(I181&lt;=9,D183,D184)*IF(I182&lt;=380,I182,380)*1000</f>
        <v>570.00000000000011</v>
      </c>
      <c r="I188" s="171" t="s">
        <v>78</v>
      </c>
      <c r="M188" s="171" t="s">
        <v>68</v>
      </c>
      <c r="O188" s="30">
        <f>785.4*O186^2/O187</f>
        <v>1130.9759999999999</v>
      </c>
      <c r="P188" s="30">
        <f>785.4*P186^2/P187</f>
        <v>1005.312</v>
      </c>
      <c r="Q188" s="30">
        <f>785.4*Q186^2/Q187</f>
        <v>966.64615384615388</v>
      </c>
      <c r="R188" s="30">
        <f>785.4*R186^2/R187</f>
        <v>950.33399999999995</v>
      </c>
      <c r="S188" s="30">
        <f>785.4*S186^2/S187</f>
        <v>981.75</v>
      </c>
    </row>
    <row r="189" spans="2:19" x14ac:dyDescent="0.2">
      <c r="B189" s="171" t="s">
        <v>79</v>
      </c>
      <c r="C189" s="200">
        <v>16</v>
      </c>
      <c r="D189" s="171" t="s">
        <v>71</v>
      </c>
      <c r="E189" s="200">
        <v>250</v>
      </c>
      <c r="F189" s="171" t="s">
        <v>80</v>
      </c>
      <c r="H189" s="30">
        <f>785.4*C189^2/E189</f>
        <v>804.24959999999999</v>
      </c>
      <c r="I189" s="171" t="s">
        <v>81</v>
      </c>
      <c r="M189" s="171" t="s">
        <v>69</v>
      </c>
      <c r="O189" s="30">
        <f>IF(OR(O187&gt;300,O187&lt;100),100000000,O188-H186)</f>
        <v>180.97599999999977</v>
      </c>
      <c r="P189" s="30">
        <f>IF(OR(P187&gt;300,P187&lt;100),100000001,P188-H186)</f>
        <v>55.311999999999898</v>
      </c>
      <c r="Q189" s="30">
        <f>IF(OR(Q187&gt;300,Q187&lt;100),100000001,Q188-H186)</f>
        <v>100000001</v>
      </c>
      <c r="R189" s="30">
        <f>IF(OR(R187&gt;300,R187&lt;100),100000001,R188-H186)</f>
        <v>100000001</v>
      </c>
      <c r="S189" s="30">
        <f>IF(OR(S187&gt;300,S187&lt;100),100000001,S188-H186)</f>
        <v>100000001</v>
      </c>
    </row>
    <row r="190" spans="2:19" x14ac:dyDescent="0.2">
      <c r="M190" s="171" t="s">
        <v>70</v>
      </c>
      <c r="O190" s="30">
        <f>IF(S187&lt;100,25,IF(MIN(O189:S189)=O189,12,IF(MIN(O189:S189)=P189,16,IF(MIN(O189:S189)=Q189,20,IF(MIN(O189:S189)=R189,22,IF(MIN(O189:S189)=S189,25,0))))))</f>
        <v>16</v>
      </c>
      <c r="P190" s="171" t="s">
        <v>71</v>
      </c>
      <c r="Q190" s="30">
        <f>IF(O190=12,O187,IF(O190=16,P187,IF(O190=20,Q187,IF(O190=22,R187,IF(O190=25,S187,0)))))</f>
        <v>200</v>
      </c>
      <c r="R190" s="171" t="s">
        <v>72</v>
      </c>
    </row>
    <row r="191" spans="2:19" x14ac:dyDescent="0.2">
      <c r="B191" s="197" t="s">
        <v>83</v>
      </c>
    </row>
    <row r="192" spans="2:19" x14ac:dyDescent="0.2">
      <c r="B192" s="171" t="s">
        <v>513</v>
      </c>
    </row>
    <row r="193" spans="1:19" x14ac:dyDescent="0.2">
      <c r="B193" s="171" t="s">
        <v>514</v>
      </c>
    </row>
    <row r="195" spans="1:19" x14ac:dyDescent="0.2">
      <c r="B195" s="171" t="s">
        <v>515</v>
      </c>
      <c r="H195" s="168">
        <f>$F$24</f>
        <v>5.75</v>
      </c>
      <c r="I195" s="168" t="s">
        <v>24</v>
      </c>
      <c r="M195" s="171" t="s">
        <v>66</v>
      </c>
      <c r="O195" s="30">
        <v>12</v>
      </c>
      <c r="P195" s="30">
        <v>16</v>
      </c>
      <c r="Q195" s="30">
        <v>20</v>
      </c>
      <c r="R195" s="30">
        <v>22</v>
      </c>
      <c r="S195" s="30">
        <v>25</v>
      </c>
    </row>
    <row r="196" spans="1:19" x14ac:dyDescent="0.2">
      <c r="B196" s="171" t="s">
        <v>516</v>
      </c>
      <c r="H196" s="30">
        <f>H169</f>
        <v>650</v>
      </c>
      <c r="I196" s="168" t="s">
        <v>43</v>
      </c>
      <c r="M196" s="171" t="s">
        <v>67</v>
      </c>
      <c r="O196" s="30">
        <f>IF(H188=0,100000000,TRUNC(785.4*O195^2/H188/25)*25)</f>
        <v>175</v>
      </c>
      <c r="P196" s="30">
        <f>IF(H188=0,100000000,TRUNC(785.4*P195^2/H188/25)*25)</f>
        <v>350</v>
      </c>
      <c r="Q196" s="30">
        <f>IF(H188=0,100000000,TRUNC(785.4*Q195^2/H188/25)*25)</f>
        <v>550</v>
      </c>
      <c r="R196" s="30">
        <f>IF(H188=0,100000000,TRUNC(785.4*R195^2/H188/25)*25)</f>
        <v>650</v>
      </c>
      <c r="S196" s="30">
        <f>IF(H188=0,100000000,TRUNC(785.4*S195^2/H188/25)*25)</f>
        <v>850</v>
      </c>
    </row>
    <row r="197" spans="1:19" x14ac:dyDescent="0.2">
      <c r="M197" s="171" t="s">
        <v>68</v>
      </c>
      <c r="O197" s="30">
        <f>785.4*O195^2/O196</f>
        <v>646.27199999999993</v>
      </c>
      <c r="P197" s="30">
        <f>785.4*P195^2/P196</f>
        <v>574.46399999999994</v>
      </c>
      <c r="Q197" s="30">
        <f>785.4*Q195^2/Q196</f>
        <v>571.20000000000005</v>
      </c>
      <c r="R197" s="30">
        <f>785.4*R195^2/R196</f>
        <v>584.82092307692301</v>
      </c>
      <c r="S197" s="30">
        <f>785.4*S195^2/S196</f>
        <v>577.5</v>
      </c>
    </row>
    <row r="198" spans="1:19" x14ac:dyDescent="0.2">
      <c r="A198" s="171"/>
      <c r="B198" s="171" t="s">
        <v>240</v>
      </c>
      <c r="H198" s="39">
        <f>IF(H195&lt;=9,C183,C184)*IF(H196&lt;=380,H196,380)*1000</f>
        <v>570.00000000000011</v>
      </c>
      <c r="I198" s="171" t="s">
        <v>78</v>
      </c>
      <c r="M198" s="171" t="s">
        <v>69</v>
      </c>
      <c r="O198" s="30">
        <f>IF(OR(O196&gt;300,O196&lt;100),100000000,O197-H188)</f>
        <v>76.271999999999821</v>
      </c>
      <c r="P198" s="30">
        <f>IF(OR(P196&gt;300,P196&lt;100),100000001,P197-H188)</f>
        <v>100000001</v>
      </c>
      <c r="Q198" s="30">
        <f>IF(OR(Q196&gt;300,Q196&lt;100),100000001,Q197-H188)</f>
        <v>100000001</v>
      </c>
      <c r="R198" s="30">
        <f>IF(OR(R196&gt;300,R196&lt;100),100000001,R197-H188)</f>
        <v>100000001</v>
      </c>
      <c r="S198" s="30">
        <f>IF(OR(S196&gt;300,S196&lt;100),100000001,S197-H188)</f>
        <v>100000001</v>
      </c>
    </row>
    <row r="199" spans="1:19" x14ac:dyDescent="0.2">
      <c r="B199" s="171" t="s">
        <v>79</v>
      </c>
      <c r="C199" s="30">
        <v>16</v>
      </c>
      <c r="D199" s="171" t="s">
        <v>71</v>
      </c>
      <c r="E199" s="30">
        <v>200</v>
      </c>
      <c r="F199" s="171" t="s">
        <v>80</v>
      </c>
      <c r="H199" s="30">
        <f>785.4*C199^2/E199</f>
        <v>1005.312</v>
      </c>
      <c r="I199" s="171" t="s">
        <v>81</v>
      </c>
      <c r="M199" s="171" t="s">
        <v>70</v>
      </c>
      <c r="O199" s="30">
        <f>IF(S196&lt;100,25,IF(MIN(O198:S198)=O198,12,IF(MIN(O198:S198)=P198,16,IF(MIN(O198:S198)=Q198,20,IF(MIN(O198:S198)=R198,22,IF(MIN(O198:S198)=S198,25,0))))))</f>
        <v>12</v>
      </c>
      <c r="P199" s="171" t="s">
        <v>71</v>
      </c>
      <c r="Q199" s="30">
        <f>IF(O199=12,O196,IF(O199=16,P196,IF(O199=20,Q196,IF(O199=22,R196,IF(O199=25,S196,0)))))</f>
        <v>175</v>
      </c>
      <c r="R199" s="171" t="s">
        <v>72</v>
      </c>
    </row>
    <row r="201" spans="1:19" x14ac:dyDescent="0.2">
      <c r="B201" s="197" t="s">
        <v>85</v>
      </c>
    </row>
    <row r="202" spans="1:19" x14ac:dyDescent="0.2">
      <c r="M202" s="171" t="s">
        <v>66</v>
      </c>
      <c r="O202" s="30">
        <v>12</v>
      </c>
      <c r="P202" s="30">
        <v>16</v>
      </c>
      <c r="Q202" s="30">
        <v>20</v>
      </c>
      <c r="R202" s="30">
        <v>22</v>
      </c>
      <c r="S202" s="30">
        <v>25</v>
      </c>
    </row>
    <row r="203" spans="1:19" x14ac:dyDescent="0.2">
      <c r="B203" s="171" t="s">
        <v>86</v>
      </c>
      <c r="H203" s="168">
        <f>$H$155</f>
        <v>327.81621868800602</v>
      </c>
      <c r="I203" s="171" t="s">
        <v>58</v>
      </c>
      <c r="M203" s="171" t="s">
        <v>67</v>
      </c>
      <c r="O203" s="30">
        <f>IF(H198=0,100000000,TRUNC(785.4*O202^2/H198/25)*25)</f>
        <v>175</v>
      </c>
      <c r="P203" s="30">
        <f>IF(H198=0,100000000,TRUNC(785.4*P202^2/H198/25)*25)</f>
        <v>350</v>
      </c>
      <c r="Q203" s="30">
        <f>IF(H198=0,100000000,TRUNC(785.4*Q202^2/H198/25)*25)</f>
        <v>550</v>
      </c>
      <c r="R203" s="30">
        <f>IF(H198=0,100000000,TRUNC(785.4*R202^2/H198/25)*25)</f>
        <v>650</v>
      </c>
      <c r="S203" s="30">
        <f>IF(H198=0,100000000,TRUNC(785.4*S202^2/H198/25)*25)</f>
        <v>850</v>
      </c>
    </row>
    <row r="204" spans="1:19" x14ac:dyDescent="0.2">
      <c r="A204" s="171"/>
      <c r="B204" s="171" t="s">
        <v>241</v>
      </c>
      <c r="H204" s="39">
        <f>F21-G47</f>
        <v>575</v>
      </c>
      <c r="I204" s="171" t="s">
        <v>43</v>
      </c>
      <c r="M204" s="171" t="s">
        <v>68</v>
      </c>
      <c r="O204" s="30">
        <f>785.4*O202^2/O203</f>
        <v>646.27199999999993</v>
      </c>
      <c r="P204" s="30">
        <f>785.4*P202^2/P203</f>
        <v>574.46399999999994</v>
      </c>
      <c r="Q204" s="30">
        <f>785.4*Q202^2/Q203</f>
        <v>571.20000000000005</v>
      </c>
      <c r="R204" s="30">
        <f>785.4*R202^2/R203</f>
        <v>584.82092307692301</v>
      </c>
      <c r="S204" s="30">
        <f>785.4*S202^2/S203</f>
        <v>577.5</v>
      </c>
    </row>
    <row r="205" spans="1:19" x14ac:dyDescent="0.2">
      <c r="B205" s="171" t="s">
        <v>517</v>
      </c>
      <c r="H205" s="39">
        <f>H203/(G35*G54*H204)*1000000000</f>
        <v>3423.8187620444023</v>
      </c>
      <c r="I205" s="171" t="s">
        <v>78</v>
      </c>
      <c r="M205" s="171" t="s">
        <v>69</v>
      </c>
      <c r="O205" s="30">
        <f>IF(OR(O203&gt;300,O203&lt;100),100000000,O204-H198)</f>
        <v>76.271999999999821</v>
      </c>
      <c r="P205" s="30">
        <f>IF(OR(P203&gt;300,P203&lt;100),100000001,P204-H198)</f>
        <v>100000001</v>
      </c>
      <c r="Q205" s="30">
        <f>IF(OR(Q203&gt;300,Q203&lt;100),100000001,Q204-H198)</f>
        <v>100000001</v>
      </c>
      <c r="R205" s="30">
        <f>IF(OR(R203&gt;300,R203&lt;100),100000001,R204-H198)</f>
        <v>100000001</v>
      </c>
      <c r="S205" s="30">
        <f>IF(OR(S203&gt;300,S203&lt;100),100000001,S204-H198)</f>
        <v>100000001</v>
      </c>
    </row>
    <row r="206" spans="1:19" x14ac:dyDescent="0.2">
      <c r="M206" s="171" t="s">
        <v>70</v>
      </c>
      <c r="O206" s="30">
        <f>IF(S203&lt;100,25,IF(MIN(O205:S205)=O205,12,IF(MIN(O205:S205)=P205,16,IF(MIN(O205:S205)=Q205,20,IF(MIN(O205:S205)=R205,22,IF(MIN(O205:S205)=S205,25,0))))))</f>
        <v>12</v>
      </c>
      <c r="P206" s="171" t="s">
        <v>71</v>
      </c>
      <c r="Q206" s="30">
        <f>IF(O206=12,O203,IF(O206=16,P203,IF(O206=20,Q203,IF(O206=22,R203,IF(O206=25,S203,0)))))</f>
        <v>175</v>
      </c>
      <c r="R206" s="171" t="s">
        <v>72</v>
      </c>
    </row>
    <row r="207" spans="1:19" x14ac:dyDescent="0.2">
      <c r="B207" s="196" t="s">
        <v>87</v>
      </c>
    </row>
    <row r="209" spans="2:19" x14ac:dyDescent="0.2">
      <c r="B209" s="171" t="s">
        <v>518</v>
      </c>
      <c r="H209" s="168">
        <f>$F$24</f>
        <v>5.75</v>
      </c>
      <c r="I209" s="168" t="s">
        <v>24</v>
      </c>
    </row>
    <row r="210" spans="2:19" x14ac:dyDescent="0.2">
      <c r="B210" s="171" t="s">
        <v>519</v>
      </c>
      <c r="H210" s="30">
        <f>F21</f>
        <v>650</v>
      </c>
      <c r="I210" s="168" t="s">
        <v>43</v>
      </c>
      <c r="M210" s="171" t="s">
        <v>66</v>
      </c>
      <c r="O210" s="30">
        <v>12</v>
      </c>
      <c r="P210" s="30">
        <v>16</v>
      </c>
      <c r="Q210" s="30">
        <v>20</v>
      </c>
      <c r="R210" s="30">
        <v>22</v>
      </c>
      <c r="S210" s="30">
        <v>25</v>
      </c>
    </row>
    <row r="211" spans="2:19" x14ac:dyDescent="0.2">
      <c r="B211" s="171"/>
      <c r="E211" s="31"/>
      <c r="M211" s="171" t="s">
        <v>67</v>
      </c>
      <c r="O211" s="30">
        <f>IF(H213=0,100000000,TRUNC(785.4*O210^2/H213/25)*25)</f>
        <v>25</v>
      </c>
      <c r="P211" s="30">
        <f>IF(H213=0,100000000,TRUNC(785.4*P210^2/H213/25)*25)</f>
        <v>50</v>
      </c>
      <c r="Q211" s="30">
        <f>IF(H213=0,100000000,TRUNC(785.4*Q210^2/H213/25)*25)</f>
        <v>75</v>
      </c>
      <c r="R211" s="30">
        <f>IF(H213=0,100000000,TRUNC(785.4*R210^2/H213/25)*25)</f>
        <v>100</v>
      </c>
      <c r="S211" s="30">
        <f>IF(H213=0,100000000,TRUNC(785.4*S210^2/H213/25)*25)</f>
        <v>125</v>
      </c>
    </row>
    <row r="212" spans="2:19" x14ac:dyDescent="0.2">
      <c r="B212" s="171" t="s">
        <v>520</v>
      </c>
      <c r="H212" s="39">
        <f>IF(H209&lt;=9,D183,D184)*IF(H210&lt;=380,H210,380)*1000</f>
        <v>380</v>
      </c>
      <c r="I212" s="171" t="s">
        <v>78</v>
      </c>
      <c r="M212" s="171" t="s">
        <v>68</v>
      </c>
      <c r="O212" s="30">
        <f>785.4*O210^2/O211</f>
        <v>4523.9039999999995</v>
      </c>
      <c r="P212" s="30">
        <f>785.4*P210^2/P211</f>
        <v>4021.248</v>
      </c>
      <c r="Q212" s="30">
        <f>785.4*Q210^2/Q211</f>
        <v>4188.8</v>
      </c>
      <c r="R212" s="30">
        <f>785.4*R210^2/R211</f>
        <v>3801.3359999999998</v>
      </c>
      <c r="S212" s="30">
        <f>785.4*S210^2/S211</f>
        <v>3927</v>
      </c>
    </row>
    <row r="213" spans="2:19" x14ac:dyDescent="0.2">
      <c r="B213" s="168" t="str">
        <f>IF(H205&gt;H212,"Ast(moment)  &gt;  Ast(shrinkage)","Ast(moment)  &lt;  Ast(shrinkage)")</f>
        <v>Ast(moment)  &gt;  Ast(shrinkage)</v>
      </c>
      <c r="F213" s="171" t="s">
        <v>267</v>
      </c>
      <c r="H213" s="30">
        <f>IF(H205&gt;H212,H205,H212)</f>
        <v>3423.8187620444023</v>
      </c>
      <c r="I213" s="171" t="s">
        <v>89</v>
      </c>
      <c r="M213" s="171" t="s">
        <v>69</v>
      </c>
      <c r="O213" s="30">
        <f>IF(OR(O211&gt;300,O211&lt;100),100000000,O212-H213)</f>
        <v>100000000</v>
      </c>
      <c r="P213" s="30">
        <f>IF(OR(P211&gt;300,P211&lt;100),100000001,P212-H213)</f>
        <v>100000001</v>
      </c>
      <c r="Q213" s="30">
        <f>IF(OR(Q211&gt;300,Q211&lt;100),100000001,Q212-H213)</f>
        <v>100000001</v>
      </c>
      <c r="R213" s="30">
        <f>IF(OR(R211&gt;300,R211&lt;100),100000001,R212-H213)</f>
        <v>377.51723795559747</v>
      </c>
      <c r="S213" s="30">
        <f>IF(OR(S211&gt;300,S211&lt;100),100000001,S212-H213)</f>
        <v>503.18123795559768</v>
      </c>
    </row>
    <row r="214" spans="2:19" x14ac:dyDescent="0.2">
      <c r="M214" s="171" t="s">
        <v>70</v>
      </c>
      <c r="O214" s="30">
        <f>IF(S211&lt;100,25,IF(MIN(O213:S213)=O213,12,IF(MIN(O213:S213)=P213,16,IF(MIN(O213:S213)=Q213,20,IF(MIN(O213:S213)=R213,22,IF(MIN(O213:S213)=S213,25,0))))))</f>
        <v>22</v>
      </c>
      <c r="P214" s="171" t="s">
        <v>71</v>
      </c>
      <c r="Q214" s="30">
        <f>IF(O214=12,O211,IF(O214=16,P211,IF(O214=20,Q211,IF(O214=22,R211,IF(O214=25,S211,0)))))</f>
        <v>100</v>
      </c>
      <c r="R214" s="171" t="s">
        <v>72</v>
      </c>
    </row>
    <row r="215" spans="2:19" x14ac:dyDescent="0.2">
      <c r="B215" s="699" t="s">
        <v>79</v>
      </c>
      <c r="C215" s="510">
        <v>25</v>
      </c>
      <c r="D215" s="614" t="s">
        <v>71</v>
      </c>
      <c r="E215" s="510">
        <v>125</v>
      </c>
      <c r="F215" s="614" t="s">
        <v>80</v>
      </c>
      <c r="G215" s="615"/>
      <c r="H215" s="510">
        <f>785.4*C215^2/E215</f>
        <v>3927</v>
      </c>
      <c r="I215" s="614" t="s">
        <v>81</v>
      </c>
      <c r="J215" s="615"/>
      <c r="K215" s="435"/>
    </row>
    <row r="217" spans="2:19" x14ac:dyDescent="0.2">
      <c r="B217" s="196" t="s">
        <v>90</v>
      </c>
    </row>
    <row r="219" spans="2:19" x14ac:dyDescent="0.2">
      <c r="B219" s="171" t="s">
        <v>521</v>
      </c>
      <c r="D219" s="23"/>
      <c r="E219" s="171"/>
      <c r="F219" s="168">
        <f>G40/C215</f>
        <v>672.79752674931865</v>
      </c>
      <c r="G219" s="168" t="str">
        <f>IF(F219&lt;=G42,"KN/m²   &lt;","KN/m²   &gt;")</f>
        <v>KN/m²   &lt;</v>
      </c>
      <c r="H219" s="30">
        <f>G42</f>
        <v>1103</v>
      </c>
      <c r="I219" s="171" t="s">
        <v>35</v>
      </c>
      <c r="J219" s="171"/>
    </row>
    <row r="220" spans="2:19" x14ac:dyDescent="0.2">
      <c r="B220" s="171" t="s">
        <v>91</v>
      </c>
      <c r="F220" s="168">
        <f>IF(F219&lt;H219,F219,H219)</f>
        <v>672.79752674931865</v>
      </c>
      <c r="G220" s="171" t="s">
        <v>35</v>
      </c>
      <c r="H220" s="171" t="s">
        <v>64</v>
      </c>
    </row>
    <row r="222" spans="2:19" x14ac:dyDescent="0.2">
      <c r="B222" s="171" t="s">
        <v>92</v>
      </c>
      <c r="H222" s="168">
        <f>$H$164</f>
        <v>171.03454888069879</v>
      </c>
      <c r="I222" s="171" t="s">
        <v>57</v>
      </c>
    </row>
    <row r="223" spans="2:19" x14ac:dyDescent="0.2">
      <c r="B223" s="171" t="s">
        <v>248</v>
      </c>
      <c r="H223" s="30">
        <f>PI()*C215/E215*1000</f>
        <v>628.31853071795865</v>
      </c>
      <c r="I223" s="171" t="s">
        <v>43</v>
      </c>
    </row>
    <row r="224" spans="2:19" x14ac:dyDescent="0.2">
      <c r="B224" s="171" t="s">
        <v>522</v>
      </c>
      <c r="H224" s="169">
        <f>H222/(H223*G54*H204)*1000000</f>
        <v>529.65998518369645</v>
      </c>
      <c r="I224" s="171" t="s">
        <v>35</v>
      </c>
    </row>
    <row r="225" spans="2:15" x14ac:dyDescent="0.2">
      <c r="B225" s="168" t="str">
        <f>IF(F220&gt;=H224,"bs(allow) &gt; bs(actual)  Design is OK. &lt;-----","bs(allow) &lt; bs(actual)   Design is not OK. &lt;-----")</f>
        <v>bs(allow) &gt; bs(actual)  Design is OK. &lt;-----</v>
      </c>
    </row>
    <row r="227" spans="2:15" x14ac:dyDescent="0.2">
      <c r="B227" s="171" t="s">
        <v>523</v>
      </c>
    </row>
    <row r="228" spans="2:15" x14ac:dyDescent="0.2">
      <c r="B228" s="171" t="s">
        <v>524</v>
      </c>
    </row>
    <row r="230" spans="2:15" x14ac:dyDescent="0.2">
      <c r="B230" s="196" t="s">
        <v>94</v>
      </c>
    </row>
    <row r="232" spans="2:15" x14ac:dyDescent="0.2">
      <c r="B232" s="171" t="s">
        <v>525</v>
      </c>
    </row>
    <row r="233" spans="2:15" x14ac:dyDescent="0.2">
      <c r="B233" s="171" t="s">
        <v>526</v>
      </c>
    </row>
    <row r="235" spans="2:15" x14ac:dyDescent="0.2">
      <c r="B235" s="171" t="s">
        <v>527</v>
      </c>
      <c r="L235" s="171" t="s">
        <v>95</v>
      </c>
      <c r="N235" s="171" t="s">
        <v>96</v>
      </c>
    </row>
    <row r="236" spans="2:15" x14ac:dyDescent="0.2">
      <c r="B236" s="171" t="s">
        <v>528</v>
      </c>
      <c r="L236" s="179" t="s">
        <v>97</v>
      </c>
      <c r="M236" s="179" t="s">
        <v>98</v>
      </c>
      <c r="N236" s="179" t="s">
        <v>97</v>
      </c>
      <c r="O236" s="179" t="s">
        <v>98</v>
      </c>
    </row>
    <row r="237" spans="2:15" x14ac:dyDescent="0.2">
      <c r="B237" s="171"/>
      <c r="L237" s="168">
        <f>F246*M237^3-D246*M237</f>
        <v>0</v>
      </c>
      <c r="M237" s="25">
        <v>0</v>
      </c>
      <c r="N237" s="168">
        <f>F246*O237^3-D246*O237</f>
        <v>2.1485837692422791</v>
      </c>
      <c r="O237" s="25">
        <f>M243</f>
        <v>3.4499999999999997</v>
      </c>
    </row>
    <row r="238" spans="2:15" x14ac:dyDescent="0.2">
      <c r="B238" s="171" t="s">
        <v>529</v>
      </c>
      <c r="I238" s="171"/>
      <c r="L238" s="168">
        <f>F246*M238^3-D246*M238</f>
        <v>-20.264043406284955</v>
      </c>
      <c r="M238" s="25">
        <f>0.2*$F$24</f>
        <v>1.1500000000000001</v>
      </c>
      <c r="N238" s="168">
        <f>F246*O238^3-D246*O238</f>
        <v>12.698020733223828</v>
      </c>
      <c r="O238" s="25">
        <f>M243+0.04*$F$24</f>
        <v>3.6799999999999997</v>
      </c>
    </row>
    <row r="239" spans="2:15" x14ac:dyDescent="0.2">
      <c r="B239" s="171" t="s">
        <v>530</v>
      </c>
      <c r="L239" s="168">
        <f>F246*M239^3-D246*M239</f>
        <v>-24.79290831554562</v>
      </c>
      <c r="M239" s="25">
        <f>0.4*$F$24</f>
        <v>2.3000000000000003</v>
      </c>
      <c r="N239" s="168">
        <f>F246*O239^3-D246*O239</f>
        <v>25.261560544824491</v>
      </c>
      <c r="O239" s="25">
        <f>M243+0.08*$F$24</f>
        <v>3.9099999999999997</v>
      </c>
    </row>
    <row r="240" spans="2:15" x14ac:dyDescent="0.2">
      <c r="B240" s="67" t="s">
        <v>531</v>
      </c>
      <c r="F240" s="30">
        <f>$F$20-$G$47</f>
        <v>225</v>
      </c>
      <c r="G240" s="171" t="s">
        <v>99</v>
      </c>
      <c r="H240" s="168">
        <f>($F$21-$F$20)/$F$24</f>
        <v>60.869565217391305</v>
      </c>
      <c r="I240" s="171" t="s">
        <v>100</v>
      </c>
      <c r="L240" s="168">
        <f>F246*M240^3-D246*M240</f>
        <v>2.1485837692422791</v>
      </c>
      <c r="M240" s="25">
        <f>0.6*$F$24</f>
        <v>3.4499999999999997</v>
      </c>
      <c r="N240" s="168">
        <f>F246*O240^3-D246*O240</f>
        <v>39.965084632020449</v>
      </c>
      <c r="O240" s="25">
        <f>M243+0.12*$F$24</f>
        <v>4.1399999999999997</v>
      </c>
    </row>
    <row r="241" spans="2:15" x14ac:dyDescent="0.2">
      <c r="B241" s="171" t="s">
        <v>532</v>
      </c>
      <c r="L241" s="168">
        <f>F246*M241^3-D246*M241</f>
        <v>76.295611345103097</v>
      </c>
      <c r="M241" s="25">
        <f>0.8*$F$24</f>
        <v>4.6000000000000005</v>
      </c>
      <c r="N241" s="168">
        <f>F246*O241^3-D246*O241</f>
        <v>56.934474422787957</v>
      </c>
      <c r="O241" s="25">
        <f>M243+0.16*$F$24</f>
        <v>4.37</v>
      </c>
    </row>
    <row r="242" spans="2:15" x14ac:dyDescent="0.2">
      <c r="L242" s="168">
        <f>F246*M242^3-D246*M242</f>
        <v>213.38335290906102</v>
      </c>
      <c r="M242" s="25">
        <f>$F$24</f>
        <v>5.75</v>
      </c>
      <c r="N242" s="168">
        <f>F246*O242^3-D246*O242</f>
        <v>76.29561134510304</v>
      </c>
      <c r="O242" s="25">
        <f>M243+0.2*$F$24</f>
        <v>4.5999999999999996</v>
      </c>
    </row>
    <row r="243" spans="2:15" x14ac:dyDescent="0.2">
      <c r="B243" s="171" t="s">
        <v>101</v>
      </c>
      <c r="D243" s="168">
        <f>1/2*H215*G35*G54*F240/1000000000</f>
        <v>73.563985143607496</v>
      </c>
      <c r="E243" s="171" t="s">
        <v>99</v>
      </c>
      <c r="F243" s="168">
        <f>1/2*H215*G35*G54*H240/1000000000</f>
        <v>19.901367961555653</v>
      </c>
      <c r="G243" s="171" t="s">
        <v>100</v>
      </c>
      <c r="M243" s="25">
        <f>IF(L238&gt;L237,VLOOKUP(B246,L237:M242,2),IF(L239&gt;L238,VLOOKUP(B246,L238:M242,2),IF(L240&gt;L239,VLOOKUP(B246,L239:M242,2),IF(L241&gt;L240,VLOOKUP(B246,L240:M242,2),IF(L242&gt;L241,VLOOKUP(B246,L241:M242,2),M242)))))</f>
        <v>3.4499999999999997</v>
      </c>
      <c r="O243" s="25">
        <f>IF(N238&gt;N237,VLOOKUP(B246,N237:O241,2),IF(N239&gt;N238,VLOOKUP(B246,N238:O241,2),IF(N240&gt;N239,VLOOKUP(B246,N239:O241,2),IF(N241&gt;N240,VLOOKUP(B246,N240:O241,2),O241))))</f>
        <v>4.37</v>
      </c>
    </row>
    <row r="244" spans="2:15" x14ac:dyDescent="0.2">
      <c r="B244" s="171" t="s">
        <v>533</v>
      </c>
      <c r="F244" s="168">
        <f>$G$14*$F$10/6</f>
        <v>1.7243558803347074</v>
      </c>
      <c r="G244" s="171" t="s">
        <v>104</v>
      </c>
    </row>
    <row r="245" spans="2:15" x14ac:dyDescent="0.2">
      <c r="B245" s="171" t="s">
        <v>105</v>
      </c>
      <c r="L245" s="171" t="s">
        <v>102</v>
      </c>
      <c r="N245" s="171" t="s">
        <v>103</v>
      </c>
    </row>
    <row r="246" spans="2:15" x14ac:dyDescent="0.2">
      <c r="B246" s="168">
        <f>D243</f>
        <v>73.563985143607496</v>
      </c>
      <c r="C246" s="171" t="s">
        <v>99</v>
      </c>
      <c r="D246" s="168">
        <f>F243</f>
        <v>19.901367961555653</v>
      </c>
      <c r="E246" s="171" t="s">
        <v>106</v>
      </c>
      <c r="F246" s="168">
        <f>F244</f>
        <v>1.7243558803347074</v>
      </c>
      <c r="G246" s="171" t="s">
        <v>104</v>
      </c>
      <c r="L246" s="179" t="s">
        <v>97</v>
      </c>
      <c r="M246" s="179" t="s">
        <v>98</v>
      </c>
      <c r="N246" s="179" t="s">
        <v>97</v>
      </c>
      <c r="O246" s="179" t="s">
        <v>98</v>
      </c>
    </row>
    <row r="247" spans="2:15" x14ac:dyDescent="0.2">
      <c r="B247" s="171" t="s">
        <v>534</v>
      </c>
      <c r="F247" s="169" t="s">
        <v>254</v>
      </c>
      <c r="G247" s="168">
        <f>O253</f>
        <v>4.5632000000000001</v>
      </c>
      <c r="H247" s="171" t="s">
        <v>107</v>
      </c>
      <c r="L247" s="168">
        <f>F246*M247^3-D246*M247</f>
        <v>56.934474422787957</v>
      </c>
      <c r="M247" s="25">
        <f>O243</f>
        <v>4.37</v>
      </c>
      <c r="N247" s="168">
        <f>F246*O247^3-D246*O247</f>
        <v>72.22600188157341</v>
      </c>
      <c r="O247" s="25">
        <f>M253</f>
        <v>4.5540000000000003</v>
      </c>
    </row>
    <row r="248" spans="2:15" x14ac:dyDescent="0.2">
      <c r="L248" s="168">
        <f>F246*M248^3-D246*M248</f>
        <v>60.611333831031928</v>
      </c>
      <c r="M248" s="25">
        <f>O243+0.008*$F$24</f>
        <v>4.4160000000000004</v>
      </c>
      <c r="N248" s="168">
        <f>F246*O248^3-D246*O248</f>
        <v>73.031915701357192</v>
      </c>
      <c r="O248" s="25">
        <f>M253+0.0016*1*$F$24</f>
        <v>4.5632000000000001</v>
      </c>
    </row>
    <row r="249" spans="2:15" x14ac:dyDescent="0.2">
      <c r="B249" s="171" t="s">
        <v>535</v>
      </c>
      <c r="L249" s="168">
        <f>F246*M249^3-D246*M249</f>
        <v>64.384870175961552</v>
      </c>
      <c r="M249" s="25">
        <f>O243+0.008*2*$F$24</f>
        <v>4.4619999999999997</v>
      </c>
      <c r="N249" s="168">
        <f>F246*O249^3-D246*O249</f>
        <v>73.841825501190655</v>
      </c>
      <c r="O249" s="25">
        <f>M253+0.0016*2*$F$24</f>
        <v>4.5724</v>
      </c>
    </row>
    <row r="250" spans="2:15" x14ac:dyDescent="0.2">
      <c r="B250" s="171"/>
      <c r="L250" s="168">
        <f>F246*M250^3-D246*M250</f>
        <v>68.256090509000828</v>
      </c>
      <c r="M250" s="25">
        <f>O243+0.008*3*$F$24</f>
        <v>4.508</v>
      </c>
      <c r="N250" s="168">
        <f>F246*O250^3-D246*O250</f>
        <v>74.655739337485187</v>
      </c>
      <c r="O250" s="25">
        <f>M253+0.0016*3*$F$24</f>
        <v>4.5815999999999999</v>
      </c>
    </row>
    <row r="251" spans="2:15" x14ac:dyDescent="0.2">
      <c r="B251" s="171" t="s">
        <v>536</v>
      </c>
      <c r="L251" s="168">
        <f>F246*M251^3-D246*M251</f>
        <v>72.22600188157341</v>
      </c>
      <c r="M251" s="25">
        <f>O243+0.008*4*$F$24</f>
        <v>4.5540000000000003</v>
      </c>
      <c r="N251" s="168">
        <f>F246*O251^3-D246*O251</f>
        <v>75.47366526665229</v>
      </c>
      <c r="O251" s="25">
        <f>M253+0.0016*4*$F$24</f>
        <v>4.5908000000000007</v>
      </c>
    </row>
    <row r="252" spans="2:15" x14ac:dyDescent="0.2">
      <c r="B252" s="171" t="s">
        <v>537</v>
      </c>
      <c r="L252" s="168">
        <f>F246*M252^3-D246*M252</f>
        <v>76.295611345103097</v>
      </c>
      <c r="M252" s="25">
        <f>O243+0.008*5*$F$24</f>
        <v>4.6000000000000005</v>
      </c>
      <c r="O252" s="25">
        <f>M253+0.0016*5*$F$24</f>
        <v>4.6000000000000005</v>
      </c>
    </row>
    <row r="253" spans="2:15" x14ac:dyDescent="0.2">
      <c r="M253" s="25">
        <f>IF(L248&gt;L247,VLOOKUP(B246,L247:M251,2),IF(L249&gt;L248,VLOOKUP(B246,L248:M251,2),IF(L250&gt;L249,VLOOKUP(B246,L249:M251,2),IF(L251&gt;L250,VLOOKUP(B246,L250:M251,2),M251))))</f>
        <v>4.5540000000000003</v>
      </c>
      <c r="O253" s="25">
        <f>IF(N248&gt;N247,VLOOKUP(B246,N247:O251,2),IF(N249&gt;N248,VLOOKUP(B246,N248:O251,2),IF(N250&gt;N249,VLOOKUP(B246,N249:O251,2),IF(N251&gt;N250,VLOOKUP(B246,N250:O251,2),O251))))</f>
        <v>4.5632000000000001</v>
      </c>
    </row>
    <row r="254" spans="2:15" x14ac:dyDescent="0.2">
      <c r="B254" s="171" t="s">
        <v>538</v>
      </c>
      <c r="G254" s="169">
        <f>F240+H240*G247</f>
        <v>502.76</v>
      </c>
      <c r="H254" s="171" t="s">
        <v>43</v>
      </c>
    </row>
    <row r="255" spans="2:15" x14ac:dyDescent="0.2">
      <c r="B255" s="175" t="s">
        <v>539</v>
      </c>
      <c r="E255" s="30"/>
      <c r="F255" s="171"/>
      <c r="G255" s="168">
        <f>24*C215</f>
        <v>600</v>
      </c>
      <c r="H255" s="171" t="s">
        <v>43</v>
      </c>
    </row>
    <row r="257" spans="1:9" x14ac:dyDescent="0.2">
      <c r="B257" s="168" t="str">
        <f>IF(G254&gt;=G255,"da  &gt;  24 * Bar Diameter","da  &lt;  24 * Bar Diameter")</f>
        <v>da  &lt;  24 * Bar Diameter</v>
      </c>
      <c r="E257" s="171" t="s">
        <v>251</v>
      </c>
      <c r="G257" s="30">
        <f>IF(G254&gt;G255,G254,G255)</f>
        <v>600</v>
      </c>
      <c r="H257" s="171" t="s">
        <v>62</v>
      </c>
    </row>
    <row r="258" spans="1:9" x14ac:dyDescent="0.2">
      <c r="B258" s="171" t="s">
        <v>293</v>
      </c>
      <c r="C258" s="168"/>
      <c r="D258" s="171"/>
      <c r="E258" s="168"/>
      <c r="F258" s="171"/>
      <c r="G258" s="168">
        <f>F24-G247+G257/1000</f>
        <v>1.7867999999999999</v>
      </c>
      <c r="H258" s="171" t="s">
        <v>62</v>
      </c>
      <c r="I258" s="168"/>
    </row>
    <row r="260" spans="1:9" x14ac:dyDescent="0.2">
      <c r="B260" s="171" t="s">
        <v>540</v>
      </c>
    </row>
    <row r="261" spans="1:9" x14ac:dyDescent="0.2">
      <c r="B261" s="171"/>
    </row>
    <row r="262" spans="1:9" x14ac:dyDescent="0.2">
      <c r="B262" s="171" t="s">
        <v>112</v>
      </c>
      <c r="C262" s="168">
        <f>F24-G258</f>
        <v>3.9632000000000001</v>
      </c>
      <c r="D262" s="168" t="str">
        <f>IF(C262&gt;=1,"m &gt; 1 m     Curtailment should be made.","m &lt; 1 m   Curtailment should not be made.")</f>
        <v>m &gt; 1 m     Curtailment should be made.</v>
      </c>
    </row>
    <row r="264" spans="1:9" x14ac:dyDescent="0.2">
      <c r="B264" s="196" t="s">
        <v>87</v>
      </c>
    </row>
    <row r="266" spans="1:9" x14ac:dyDescent="0.2">
      <c r="B266" s="171" t="s">
        <v>541</v>
      </c>
      <c r="H266" s="39">
        <f>1/2*H215</f>
        <v>1963.5</v>
      </c>
      <c r="I266" s="171" t="s">
        <v>78</v>
      </c>
    </row>
    <row r="267" spans="1:9" x14ac:dyDescent="0.2">
      <c r="B267" s="171" t="s">
        <v>542</v>
      </c>
      <c r="F267" s="171"/>
      <c r="G267" s="30"/>
      <c r="H267" s="30">
        <f>H212</f>
        <v>380</v>
      </c>
      <c r="I267" s="171" t="s">
        <v>78</v>
      </c>
    </row>
    <row r="268" spans="1:9" x14ac:dyDescent="0.2">
      <c r="B268" s="168" t="str">
        <f>IF(G267&gt;=H267,"Ast(moment) &gt; Ast(shrinkage)","Ast(moment) &lt; Ast(shrinkage)")</f>
        <v>Ast(moment) &lt; Ast(shrinkage)</v>
      </c>
      <c r="F268" s="201" t="s">
        <v>278</v>
      </c>
      <c r="G268" s="202"/>
      <c r="H268" s="203">
        <f>IF(OR(C262&lt;1,H266&lt;H267),F24,G258)</f>
        <v>1.7867999999999999</v>
      </c>
      <c r="I268" s="201" t="s">
        <v>115</v>
      </c>
    </row>
    <row r="269" spans="1:9" x14ac:dyDescent="0.2">
      <c r="A269" s="171" t="s">
        <v>199</v>
      </c>
    </row>
    <row r="270" spans="1:9" x14ac:dyDescent="0.2">
      <c r="A270" s="171" t="s">
        <v>199</v>
      </c>
      <c r="B270" s="196" t="s">
        <v>116</v>
      </c>
    </row>
    <row r="271" spans="1:9" x14ac:dyDescent="0.2">
      <c r="A271" s="171" t="s">
        <v>199</v>
      </c>
    </row>
    <row r="272" spans="1:9" x14ac:dyDescent="0.2">
      <c r="B272" s="171" t="s">
        <v>543</v>
      </c>
    </row>
    <row r="274" spans="2:15" x14ac:dyDescent="0.2">
      <c r="B274" s="171" t="s">
        <v>544</v>
      </c>
      <c r="H274" s="30">
        <f>H215/4</f>
        <v>981.75</v>
      </c>
      <c r="I274" s="171" t="s">
        <v>78</v>
      </c>
      <c r="L274" s="171" t="s">
        <v>95</v>
      </c>
      <c r="N274" s="171" t="s">
        <v>96</v>
      </c>
    </row>
    <row r="275" spans="2:15" x14ac:dyDescent="0.2">
      <c r="B275" s="171" t="s">
        <v>545</v>
      </c>
      <c r="F275" s="30">
        <f>$F$20-$G$47</f>
        <v>225</v>
      </c>
      <c r="G275" s="171" t="s">
        <v>99</v>
      </c>
      <c r="H275" s="168">
        <f>($F$21-$F$20)/$F$24</f>
        <v>60.869565217391305</v>
      </c>
      <c r="I275" s="171" t="s">
        <v>100</v>
      </c>
      <c r="L275" s="179" t="s">
        <v>97</v>
      </c>
      <c r="M275" s="179" t="s">
        <v>98</v>
      </c>
      <c r="N275" s="179" t="s">
        <v>97</v>
      </c>
      <c r="O275" s="179" t="s">
        <v>98</v>
      </c>
    </row>
    <row r="276" spans="2:15" x14ac:dyDescent="0.2">
      <c r="B276" s="171"/>
      <c r="E276" s="25"/>
      <c r="L276" s="168">
        <f>F281*M276^3-D281*M276</f>
        <v>0</v>
      </c>
      <c r="M276" s="25">
        <v>0</v>
      </c>
      <c r="N276" s="168">
        <f>F281*O276^3-D281*O276</f>
        <v>36.478443502925778</v>
      </c>
      <c r="O276" s="25">
        <f>M282</f>
        <v>3.4499999999999997</v>
      </c>
    </row>
    <row r="277" spans="2:15" x14ac:dyDescent="0.2">
      <c r="B277" s="171" t="s">
        <v>101</v>
      </c>
      <c r="D277" s="168">
        <f>H274*G35*G54*F275/1000000000</f>
        <v>36.781992571803748</v>
      </c>
      <c r="E277" s="171" t="s">
        <v>99</v>
      </c>
      <c r="F277" s="168">
        <f>H274*G35*G54*H275/1000000000</f>
        <v>9.9506839807778267</v>
      </c>
      <c r="G277" s="171" t="s">
        <v>100</v>
      </c>
      <c r="L277" s="168">
        <f>F281*M277^3-D281*M277</f>
        <v>-8.8207568283904543</v>
      </c>
      <c r="M277" s="25">
        <f>0.2*$F$24</f>
        <v>1.1500000000000001</v>
      </c>
      <c r="N277" s="168">
        <f>F281*O277^3-D281*O277</f>
        <v>49.316537782486229</v>
      </c>
      <c r="O277" s="25">
        <f>M$282+0.04*$F$24</f>
        <v>3.6799999999999997</v>
      </c>
    </row>
    <row r="278" spans="2:15" x14ac:dyDescent="0.2">
      <c r="B278" s="171" t="s">
        <v>546</v>
      </c>
      <c r="F278" s="168">
        <f>$G$14*$F$10/6</f>
        <v>1.7243558803347074</v>
      </c>
      <c r="G278" s="171" t="s">
        <v>104</v>
      </c>
      <c r="L278" s="168">
        <f>F281*M278^3-D281*M278</f>
        <v>-1.9063351597566154</v>
      </c>
      <c r="M278" s="25">
        <f>0.4*$F$24</f>
        <v>2.3000000000000003</v>
      </c>
      <c r="N278" s="168">
        <f>F281*O278^3-D281*O278</f>
        <v>64.168734909665787</v>
      </c>
      <c r="O278" s="25">
        <f>M$282+0.08*$F$24</f>
        <v>3.9099999999999997</v>
      </c>
    </row>
    <row r="279" spans="2:15" x14ac:dyDescent="0.2">
      <c r="L279" s="168">
        <f>F281*M279^3-D281*M279</f>
        <v>36.478443502925778</v>
      </c>
      <c r="M279" s="25">
        <f>0.6*$F$24</f>
        <v>3.4499999999999997</v>
      </c>
      <c r="N279" s="168">
        <f>F281*O279^3-D281*O279</f>
        <v>81.160916312440648</v>
      </c>
      <c r="O279" s="25">
        <f>M$282+0.12*$F$24</f>
        <v>4.1399999999999997</v>
      </c>
    </row>
    <row r="280" spans="2:15" x14ac:dyDescent="0.2">
      <c r="B280" s="171" t="s">
        <v>105</v>
      </c>
      <c r="L280" s="168">
        <f>F281*M280^3-D281*M280</f>
        <v>122.0687576566811</v>
      </c>
      <c r="M280" s="25">
        <f>0.8*$F$24</f>
        <v>4.6000000000000005</v>
      </c>
      <c r="N280" s="168">
        <f>F281*O280^3-D281*O280</f>
        <v>100.41896341878706</v>
      </c>
      <c r="O280" s="25">
        <f>M$282+0.16*$F$24</f>
        <v>4.37</v>
      </c>
    </row>
    <row r="281" spans="2:15" x14ac:dyDescent="0.2">
      <c r="B281" s="168">
        <f>D277</f>
        <v>36.781992571803748</v>
      </c>
      <c r="C281" s="171" t="s">
        <v>99</v>
      </c>
      <c r="D281" s="168">
        <f>F277</f>
        <v>9.9506839807778267</v>
      </c>
      <c r="E281" s="171" t="s">
        <v>106</v>
      </c>
      <c r="F281" s="168">
        <f>F278</f>
        <v>1.7243558803347074</v>
      </c>
      <c r="G281" s="171" t="s">
        <v>104</v>
      </c>
      <c r="L281" s="168">
        <f>F281*M281^3-D281*M281</f>
        <v>270.5997857985335</v>
      </c>
      <c r="M281" s="25">
        <f>$F$24</f>
        <v>5.75</v>
      </c>
      <c r="N281" s="168">
        <f>F281*O281^3-D281*O281</f>
        <v>122.06875765668104</v>
      </c>
      <c r="O281" s="25">
        <f>M$282+0.2*$F$24</f>
        <v>4.5999999999999996</v>
      </c>
    </row>
    <row r="282" spans="2:15" x14ac:dyDescent="0.2">
      <c r="M282" s="25">
        <f>IF(L277&gt;L276,VLOOKUP(B281,L276:M281,2),IF(L278&gt;L277,VLOOKUP(B281,L277:M281,2),IF(L279&gt;L278,VLOOKUP(B281,L278:M281,2),IF(L280&gt;L279,VLOOKUP(B281,L279:M281,2),IF(L281&gt;L280,VLOOKUP(B281,L280:M281,2),M281)))))</f>
        <v>3.4499999999999997</v>
      </c>
      <c r="O282" s="25">
        <f>IF(N277&gt;N276,VLOOKUP(B281,N276:O280,2),IF(N278&gt;N277,VLOOKUP(B281,N277:O280,2),IF(N279&gt;N278,VLOOKUP(B281,N278:O280,2),IF(N280&gt;N279,VLOOKUP(B281,N279:O280,2),O280))))</f>
        <v>3.4499999999999997</v>
      </c>
    </row>
    <row r="283" spans="2:15" x14ac:dyDescent="0.2">
      <c r="B283" s="171" t="s">
        <v>547</v>
      </c>
      <c r="G283" s="168">
        <f>O293</f>
        <v>3.4499999999999997</v>
      </c>
      <c r="H283" s="171" t="s">
        <v>107</v>
      </c>
    </row>
    <row r="285" spans="2:15" x14ac:dyDescent="0.2">
      <c r="B285" s="171" t="s">
        <v>548</v>
      </c>
      <c r="L285" s="171" t="s">
        <v>102</v>
      </c>
      <c r="N285" s="171" t="s">
        <v>103</v>
      </c>
    </row>
    <row r="286" spans="2:15" x14ac:dyDescent="0.2">
      <c r="B286" s="171" t="s">
        <v>536</v>
      </c>
      <c r="L286" s="179" t="s">
        <v>97</v>
      </c>
      <c r="M286" s="179" t="s">
        <v>98</v>
      </c>
      <c r="N286" s="179" t="s">
        <v>97</v>
      </c>
      <c r="O286" s="179" t="s">
        <v>98</v>
      </c>
    </row>
    <row r="287" spans="2:15" x14ac:dyDescent="0.2">
      <c r="B287" s="171" t="s">
        <v>537</v>
      </c>
      <c r="L287" s="168">
        <f>F281*M287^3-D281*M287</f>
        <v>36.478443502925778</v>
      </c>
      <c r="M287" s="25">
        <f>O282</f>
        <v>3.4499999999999997</v>
      </c>
      <c r="N287" s="168">
        <f>F281*O287^3-D281*O287</f>
        <v>36.478443502925778</v>
      </c>
      <c r="O287" s="25">
        <f>M293</f>
        <v>3.4499999999999997</v>
      </c>
    </row>
    <row r="288" spans="2:15" x14ac:dyDescent="0.2">
      <c r="L288" s="168">
        <f>F281*M288^3-D281*M288</f>
        <v>38.890976439571197</v>
      </c>
      <c r="M288" s="25">
        <f>O$282+0.008*$F$24</f>
        <v>3.4959999999999996</v>
      </c>
      <c r="N288" s="168">
        <f>F281*O288^3-D281*O288</f>
        <v>36.95487555606644</v>
      </c>
      <c r="O288" s="25">
        <f>M293+0.0016*$F$24</f>
        <v>3.4591999999999996</v>
      </c>
    </row>
    <row r="289" spans="1:15" x14ac:dyDescent="0.2">
      <c r="B289" s="171" t="s">
        <v>117</v>
      </c>
      <c r="D289" s="30"/>
      <c r="E289" s="168"/>
      <c r="F289" s="171"/>
      <c r="G289" s="30">
        <f>F275+H275*G283</f>
        <v>435</v>
      </c>
      <c r="H289" s="171" t="s">
        <v>43</v>
      </c>
      <c r="L289" s="168">
        <f>F281*M289^3-D281*M289</f>
        <v>41.380045284426146</v>
      </c>
      <c r="M289" s="25">
        <f>O$282+0.016*$F$24</f>
        <v>3.5419999999999998</v>
      </c>
      <c r="N289" s="168">
        <f>F281*O289^3-D281*O289</f>
        <v>37.434336819889943</v>
      </c>
      <c r="O289" s="25">
        <f>M293+0.0032*$F$24</f>
        <v>3.4683999999999999</v>
      </c>
    </row>
    <row r="290" spans="1:15" x14ac:dyDescent="0.2">
      <c r="B290" s="175" t="s">
        <v>549</v>
      </c>
      <c r="E290" s="30"/>
      <c r="F290" s="171"/>
      <c r="G290" s="30">
        <f>24*C215</f>
        <v>600</v>
      </c>
      <c r="H290" s="171" t="s">
        <v>43</v>
      </c>
      <c r="L290" s="168">
        <f>F281*M290^3-D281*M290</f>
        <v>43.946657088914407</v>
      </c>
      <c r="M290" s="25">
        <f>O$282+0.024*$F$24</f>
        <v>3.5879999999999996</v>
      </c>
      <c r="N290" s="168">
        <f>F281*O290^3-D281*O290</f>
        <v>37.916835350807631</v>
      </c>
      <c r="O290" s="25">
        <f>M293+0.0048*$F$24</f>
        <v>3.4775999999999998</v>
      </c>
    </row>
    <row r="291" spans="1:15" x14ac:dyDescent="0.2">
      <c r="L291" s="168">
        <f>F281*M291^3-D281*M291</f>
        <v>46.591818904459849</v>
      </c>
      <c r="M291" s="25">
        <f>O$282+0.032*$F$24</f>
        <v>3.6339999999999999</v>
      </c>
      <c r="N291" s="168">
        <f>F281*O291^3-D281*O291</f>
        <v>38.402379205230915</v>
      </c>
      <c r="O291" s="25">
        <f>M293+0.0064*$F$24</f>
        <v>3.4867999999999997</v>
      </c>
    </row>
    <row r="292" spans="1:15" x14ac:dyDescent="0.2">
      <c r="B292" s="168" t="str">
        <f>IF(G289&gt;=G290,"da  &gt;  24 * Bar Diameter","da  &lt;  24 * Bar Diameter")</f>
        <v>da  &lt;  24 * Bar Diameter</v>
      </c>
      <c r="E292" s="171" t="s">
        <v>109</v>
      </c>
      <c r="G292" s="30">
        <f>IF(G289&gt;G290,G289,G290)</f>
        <v>600</v>
      </c>
      <c r="H292" s="171" t="s">
        <v>62</v>
      </c>
      <c r="L292" s="168">
        <f>F281*M292^3-D281*M292</f>
        <v>49.316537782486229</v>
      </c>
      <c r="M292" s="25">
        <f>O$282+0.04*$F$24</f>
        <v>3.6799999999999997</v>
      </c>
      <c r="N292" s="168">
        <f>F281*O292^3-D281*O292</f>
        <v>38.890976439571197</v>
      </c>
      <c r="O292" s="25">
        <f>M293+0.008*$F$24</f>
        <v>3.4959999999999996</v>
      </c>
    </row>
    <row r="293" spans="1:15" x14ac:dyDescent="0.2">
      <c r="B293" s="171" t="s">
        <v>252</v>
      </c>
      <c r="G293" s="169">
        <f>F24-G283+G292/1000</f>
        <v>2.9000000000000004</v>
      </c>
      <c r="H293" s="169" t="s">
        <v>24</v>
      </c>
      <c r="M293" s="25">
        <f>IF(L288&gt;L287,VLOOKUP(B281,L287:M291,2),IF(L289&gt;L288,VLOOKUP(B281,L288:M291,2),IF(L290&gt;L289,VLOOKUP(B281,L289:M291,2),IF(L291&gt;L290,VLOOKUP(B281,L290:M291,2),M291))))</f>
        <v>3.4499999999999997</v>
      </c>
      <c r="O293" s="25">
        <f>IF(N288&gt;N287,VLOOKUP(B281,N287:O291,2),IF(N289&gt;N288,VLOOKUP(B281,N288:O291,2),IF(N290&gt;N289,VLOOKUP(B281,N289:O291,2),IF(N291&gt;N290,VLOOKUP(B281,N290:O291,2),O291))))</f>
        <v>3.4499999999999997</v>
      </c>
    </row>
    <row r="295" spans="1:15" x14ac:dyDescent="0.2">
      <c r="B295" s="171" t="s">
        <v>550</v>
      </c>
    </row>
    <row r="296" spans="1:15" x14ac:dyDescent="0.2">
      <c r="B296" s="171"/>
    </row>
    <row r="297" spans="1:15" x14ac:dyDescent="0.2">
      <c r="B297" s="171" t="s">
        <v>288</v>
      </c>
      <c r="C297" s="168">
        <f>F24-G293</f>
        <v>2.8499999999999996</v>
      </c>
      <c r="D297" s="168" t="str">
        <f>IF(C297&gt;=1," &gt;  1 m      Curtailment should be made."," &lt;  1 m      Curtailment should not be made.")</f>
        <v xml:space="preserve"> &gt;  1 m      Curtailment should be made.</v>
      </c>
    </row>
    <row r="299" spans="1:15" x14ac:dyDescent="0.2">
      <c r="A299" s="171" t="s">
        <v>199</v>
      </c>
      <c r="B299" s="196" t="s">
        <v>87</v>
      </c>
    </row>
    <row r="300" spans="1:15" x14ac:dyDescent="0.2">
      <c r="A300" s="171" t="s">
        <v>199</v>
      </c>
    </row>
    <row r="301" spans="1:15" x14ac:dyDescent="0.2">
      <c r="A301" s="171" t="s">
        <v>199</v>
      </c>
      <c r="B301" s="171" t="s">
        <v>551</v>
      </c>
      <c r="F301" s="39">
        <f>1/4*H215</f>
        <v>981.75</v>
      </c>
      <c r="G301" s="171" t="s">
        <v>78</v>
      </c>
    </row>
    <row r="302" spans="1:15" x14ac:dyDescent="0.2">
      <c r="A302" s="171" t="s">
        <v>199</v>
      </c>
      <c r="B302" s="171" t="s">
        <v>296</v>
      </c>
      <c r="F302" s="30">
        <f>H212</f>
        <v>380</v>
      </c>
      <c r="G302" s="171" t="s">
        <v>78</v>
      </c>
    </row>
    <row r="303" spans="1:15" x14ac:dyDescent="0.2">
      <c r="A303" s="171" t="s">
        <v>199</v>
      </c>
      <c r="B303" s="168" t="str">
        <f>IF(F301&gt;=F302,"Ast(moment)  &gt;  Ast(shrinkage)","Ast(moment)  &lt;  Ast(shrinkage)")</f>
        <v>Ast(moment)  &gt;  Ast(shrinkage)</v>
      </c>
      <c r="F303" s="201" t="s">
        <v>278</v>
      </c>
      <c r="G303" s="202"/>
      <c r="H303" s="203">
        <f>IF(OR(C297&lt;1,F301&lt;F302),F24,G293)</f>
        <v>2.9000000000000004</v>
      </c>
      <c r="I303" s="201" t="s">
        <v>115</v>
      </c>
    </row>
    <row r="304" spans="1:15" x14ac:dyDescent="0.2">
      <c r="A304" s="171"/>
      <c r="B304" s="168"/>
      <c r="F304" s="201"/>
      <c r="G304" s="202"/>
      <c r="H304" s="203"/>
      <c r="I304" s="201"/>
    </row>
    <row r="305" spans="2:15" x14ac:dyDescent="0.2">
      <c r="B305" s="172" t="s">
        <v>552</v>
      </c>
      <c r="C305" s="204"/>
    </row>
    <row r="306" spans="2:15" x14ac:dyDescent="0.2">
      <c r="B306" s="171" t="s">
        <v>553</v>
      </c>
    </row>
    <row r="307" spans="2:15" x14ac:dyDescent="0.2">
      <c r="B307" s="171" t="s">
        <v>554</v>
      </c>
      <c r="H307" s="174"/>
    </row>
    <row r="309" spans="2:15" x14ac:dyDescent="0.2">
      <c r="B309" s="197" t="s">
        <v>555</v>
      </c>
    </row>
    <row r="311" spans="2:15" x14ac:dyDescent="0.2">
      <c r="B311" s="171" t="s">
        <v>556</v>
      </c>
      <c r="E311" s="168">
        <f>$H$142</f>
        <v>98.184646661875163</v>
      </c>
      <c r="F311" s="171" t="s">
        <v>557</v>
      </c>
      <c r="G311" s="171" t="s">
        <v>558</v>
      </c>
      <c r="J311" s="168">
        <f>$H$143</f>
        <v>87.55196350761635</v>
      </c>
      <c r="K311" s="171" t="s">
        <v>35</v>
      </c>
    </row>
    <row r="312" spans="2:15" x14ac:dyDescent="0.2">
      <c r="B312" s="171" t="s">
        <v>559</v>
      </c>
      <c r="E312" s="168">
        <f>$F$28</f>
        <v>3.25</v>
      </c>
      <c r="F312" s="171" t="s">
        <v>560</v>
      </c>
      <c r="G312" s="171" t="s">
        <v>561</v>
      </c>
      <c r="J312" s="168">
        <f>$F$30</f>
        <v>5.9</v>
      </c>
      <c r="K312" s="171" t="s">
        <v>24</v>
      </c>
    </row>
    <row r="313" spans="2:15" x14ac:dyDescent="0.2">
      <c r="B313" s="171" t="s">
        <v>562</v>
      </c>
      <c r="E313" s="30">
        <f>$F$22</f>
        <v>700</v>
      </c>
      <c r="F313" s="171" t="s">
        <v>563</v>
      </c>
      <c r="G313" s="171" t="s">
        <v>564</v>
      </c>
      <c r="J313" s="168">
        <f>$F$24</f>
        <v>5.75</v>
      </c>
      <c r="K313" s="171" t="s">
        <v>24</v>
      </c>
    </row>
    <row r="315" spans="2:15" ht="13.5" thickBot="1" x14ac:dyDescent="0.25">
      <c r="B315" s="171" t="s">
        <v>565</v>
      </c>
    </row>
    <row r="316" spans="2:15" ht="15.75" x14ac:dyDescent="0.3">
      <c r="B316" s="171" t="s">
        <v>566</v>
      </c>
      <c r="F316" s="171"/>
      <c r="I316" s="169">
        <f>N320</f>
        <v>209.74858110379705</v>
      </c>
      <c r="J316" s="169" t="s">
        <v>58</v>
      </c>
      <c r="M316" s="423">
        <f>J311*E312^2/2</f>
        <v>462.38380727459884</v>
      </c>
      <c r="N316" s="424">
        <f>(J313*E312^2/2*F10)</f>
        <v>595.19687500000009</v>
      </c>
      <c r="O316" s="425"/>
    </row>
    <row r="317" spans="2:15" x14ac:dyDescent="0.2">
      <c r="E317" s="171"/>
      <c r="F317" s="168"/>
      <c r="G317" s="171"/>
      <c r="H317" s="168"/>
      <c r="I317" s="1482" t="s">
        <v>567</v>
      </c>
      <c r="J317" s="1482"/>
      <c r="M317" s="426">
        <f>(E311-J311)*E312/J312*E312^2/6</f>
        <v>10.31073662160426</v>
      </c>
      <c r="N317" s="217">
        <f>E313/1000*E312^2/2*F9</f>
        <v>87.246250000000003</v>
      </c>
      <c r="O317" s="427"/>
    </row>
    <row r="318" spans="2:15" x14ac:dyDescent="0.2">
      <c r="B318" s="171" t="s">
        <v>568</v>
      </c>
      <c r="E318" s="171"/>
      <c r="F318" s="168"/>
      <c r="G318" s="171"/>
      <c r="M318" s="432">
        <f>SUM(M316:M317)</f>
        <v>472.69454389620307</v>
      </c>
      <c r="N318" s="422">
        <f>SUM(N316:N317)</f>
        <v>682.44312500000012</v>
      </c>
      <c r="O318" s="427"/>
    </row>
    <row r="319" spans="2:15" ht="15.75" x14ac:dyDescent="0.3">
      <c r="B319" s="171" t="s">
        <v>569</v>
      </c>
      <c r="I319" s="169">
        <f>J311*E312+(E311-J311)*E312/J312*E312/2-(J313*E312*I10+E313/1000*E312*I9)</f>
        <v>294.06148443508016</v>
      </c>
      <c r="J319" s="169" t="s">
        <v>57</v>
      </c>
      <c r="M319" s="426"/>
      <c r="N319" s="217"/>
      <c r="O319" s="427"/>
    </row>
    <row r="320" spans="2:15" x14ac:dyDescent="0.2">
      <c r="I320" s="1482" t="s">
        <v>570</v>
      </c>
      <c r="J320" s="1482"/>
      <c r="M320" s="426"/>
      <c r="N320" s="421">
        <f>N318-M318</f>
        <v>209.74858110379705</v>
      </c>
      <c r="O320" s="427"/>
    </row>
    <row r="321" spans="1:19" ht="13.5" thickBot="1" x14ac:dyDescent="0.25">
      <c r="B321" s="196" t="s">
        <v>59</v>
      </c>
      <c r="F321" s="171"/>
      <c r="M321" s="429"/>
      <c r="N321" s="430"/>
      <c r="O321" s="431"/>
    </row>
    <row r="322" spans="1:19" x14ac:dyDescent="0.2">
      <c r="E322" s="171"/>
      <c r="F322" s="168"/>
      <c r="G322" s="171"/>
      <c r="H322" s="168"/>
      <c r="I322" s="171"/>
      <c r="J322" s="168"/>
    </row>
    <row r="323" spans="1:19" x14ac:dyDescent="0.2">
      <c r="B323" s="171" t="s">
        <v>499</v>
      </c>
      <c r="G323" s="171"/>
    </row>
    <row r="325" spans="1:19" x14ac:dyDescent="0.2">
      <c r="A325" s="171"/>
      <c r="B325" s="171" t="s">
        <v>571</v>
      </c>
      <c r="F325" s="39">
        <f>(ABS(I316)/G55)^0.5*1000</f>
        <v>409.14287836819369</v>
      </c>
      <c r="G325" s="169" t="s">
        <v>43</v>
      </c>
    </row>
    <row r="326" spans="1:19" x14ac:dyDescent="0.2">
      <c r="B326" s="171" t="s">
        <v>572</v>
      </c>
      <c r="E326" s="168"/>
      <c r="F326" s="205">
        <f>ABS(I319)/G38*1000</f>
        <v>686.00765523137659</v>
      </c>
      <c r="G326" s="169" t="s">
        <v>43</v>
      </c>
    </row>
    <row r="327" spans="1:19" x14ac:dyDescent="0.2">
      <c r="B327" s="171"/>
      <c r="F327" s="23"/>
      <c r="G327" s="171"/>
    </row>
    <row r="328" spans="1:19" x14ac:dyDescent="0.2">
      <c r="B328" s="168" t="str">
        <f>IF(F325&gt;=F326,"dr(moment)  &gt;  dr(shear)","dr(moment)  &lt;  dr(shear)")</f>
        <v>dr(moment)  &lt;  dr(shear)</v>
      </c>
      <c r="E328" s="171" t="s">
        <v>573</v>
      </c>
      <c r="G328" s="30">
        <f>IF(F325&gt;=F326,F325,F326)</f>
        <v>686.00765523137659</v>
      </c>
      <c r="H328" s="171" t="s">
        <v>62</v>
      </c>
    </row>
    <row r="329" spans="1:19" x14ac:dyDescent="0.2">
      <c r="B329" s="171"/>
      <c r="D329" s="30"/>
      <c r="E329" s="171"/>
    </row>
    <row r="330" spans="1:19" x14ac:dyDescent="0.2">
      <c r="B330" s="171" t="s">
        <v>63</v>
      </c>
      <c r="D330" s="30"/>
      <c r="E330" s="171"/>
      <c r="F330" s="30"/>
      <c r="G330" s="205">
        <f>G328+G47</f>
        <v>761.00765523137659</v>
      </c>
      <c r="H330" s="171" t="s">
        <v>43</v>
      </c>
    </row>
    <row r="331" spans="1:19" x14ac:dyDescent="0.2">
      <c r="B331" s="171" t="s">
        <v>574</v>
      </c>
      <c r="G331" s="30">
        <f>E313</f>
        <v>700</v>
      </c>
      <c r="H331" s="171" t="s">
        <v>43</v>
      </c>
    </row>
    <row r="332" spans="1:19" x14ac:dyDescent="0.2">
      <c r="B332" s="168" t="str">
        <f>IF(G331&gt;=G330,"ta  &gt;  tr   Design is OK.","ta  &lt;  tr     Design is Not OK.")</f>
        <v>ta  &lt;  tr     Design is Not OK.</v>
      </c>
      <c r="F332" s="171" t="s">
        <v>64</v>
      </c>
    </row>
    <row r="334" spans="1:19" x14ac:dyDescent="0.2">
      <c r="B334" s="196" t="s">
        <v>65</v>
      </c>
      <c r="G334" s="171" t="s">
        <v>503</v>
      </c>
      <c r="M334" s="171" t="s">
        <v>66</v>
      </c>
      <c r="O334" s="30">
        <v>12</v>
      </c>
      <c r="P334" s="30">
        <v>16</v>
      </c>
      <c r="Q334" s="30">
        <v>20</v>
      </c>
      <c r="R334" s="30">
        <v>22</v>
      </c>
      <c r="S334" s="30">
        <v>25</v>
      </c>
    </row>
    <row r="335" spans="1:19" x14ac:dyDescent="0.2">
      <c r="G335" s="171" t="s">
        <v>504</v>
      </c>
      <c r="M335" s="171" t="s">
        <v>67</v>
      </c>
      <c r="O335" s="30">
        <f>IF(H345=0,100000000,TRUNC(785.4*O334^2/H345/25)*25)</f>
        <v>100</v>
      </c>
      <c r="P335" s="30">
        <f>IF(H345=0,100000000,TRUNC(785.4*P334^2/H345/25)*25)</f>
        <v>200</v>
      </c>
      <c r="Q335" s="30">
        <f>IF(H345=0,100000000,TRUNC(785.4*Q334^2/H345/25)*25)</f>
        <v>325</v>
      </c>
      <c r="R335" s="30">
        <f>IF(H345=0,100000000,TRUNC(785.4*R334^2/H345/25)*25)</f>
        <v>400</v>
      </c>
      <c r="S335" s="30">
        <f>IF(H345=0,100000000,TRUNC(785.4*S334^2/H345/25)*25)</f>
        <v>500</v>
      </c>
    </row>
    <row r="336" spans="1:19" x14ac:dyDescent="0.2">
      <c r="A336" s="171"/>
      <c r="G336" s="171" t="s">
        <v>505</v>
      </c>
      <c r="M336" s="171" t="s">
        <v>68</v>
      </c>
      <c r="O336" s="30">
        <f>785.4*O334^2/O335</f>
        <v>1130.9759999999999</v>
      </c>
      <c r="P336" s="30">
        <f>785.4*P334^2/P335</f>
        <v>1005.312</v>
      </c>
      <c r="Q336" s="30">
        <f>785.4*Q334^2/Q335</f>
        <v>966.64615384615388</v>
      </c>
      <c r="R336" s="30">
        <f>785.4*R334^2/R335</f>
        <v>950.33399999999995</v>
      </c>
      <c r="S336" s="30">
        <f>785.4*S334^2/S335</f>
        <v>981.75</v>
      </c>
    </row>
    <row r="337" spans="2:19" x14ac:dyDescent="0.2">
      <c r="B337" s="171" t="s">
        <v>575</v>
      </c>
      <c r="M337" s="171" t="s">
        <v>69</v>
      </c>
      <c r="O337" s="30">
        <f>IF(OR(O335&gt;300,O335&lt;100),100000000,O336-H345)</f>
        <v>180.97599999999977</v>
      </c>
      <c r="P337" s="30">
        <f>IF(OR(P335&gt;300,P335&lt;100),100000001,P336-H345)</f>
        <v>55.311999999999898</v>
      </c>
      <c r="Q337" s="30">
        <f>IF(OR(Q335&gt;300,Q335&lt;100),100000001,Q336-H345)</f>
        <v>100000001</v>
      </c>
      <c r="R337" s="30">
        <f>IF(OR(R335&gt;300,R335&lt;100),100000001,R336-H345)</f>
        <v>100000001</v>
      </c>
      <c r="S337" s="30">
        <f>IF(OR(S335&gt;300,S335&lt;100),100000001,S336-H345)</f>
        <v>100000001</v>
      </c>
    </row>
    <row r="338" spans="2:19" x14ac:dyDescent="0.2">
      <c r="B338" s="171" t="s">
        <v>576</v>
      </c>
      <c r="M338" s="171" t="s">
        <v>70</v>
      </c>
      <c r="O338" s="30">
        <f>IF(S335&lt;100,25,IF(MIN(O337:S337)=O337,12,IF(MIN(O337:S337)=P337,16,IF(MIN(O337:S337)=Q337,20,IF(MIN(O337:S337)=R337,22,IF(MIN(O337:S337)=S337,25,0))))))</f>
        <v>16</v>
      </c>
      <c r="P338" s="171" t="s">
        <v>71</v>
      </c>
      <c r="Q338" s="30">
        <f>IF(O338=12,O335,IF(O338=16,P335,IF(O338=20,Q335,IF(O338=22,R335,IF(O338=25,S335,0)))))</f>
        <v>200</v>
      </c>
      <c r="R338" s="171" t="s">
        <v>72</v>
      </c>
    </row>
    <row r="340" spans="2:19" x14ac:dyDescent="0.2">
      <c r="B340" s="179" t="s">
        <v>508</v>
      </c>
      <c r="C340" s="198" t="s">
        <v>235</v>
      </c>
      <c r="D340" s="198" t="s">
        <v>233</v>
      </c>
      <c r="F340" s="171" t="s">
        <v>509</v>
      </c>
      <c r="I340" s="168">
        <f>$F$27</f>
        <v>12</v>
      </c>
      <c r="J340" s="171" t="s">
        <v>24</v>
      </c>
    </row>
    <row r="341" spans="2:19" x14ac:dyDescent="0.2">
      <c r="B341" s="179" t="s">
        <v>510</v>
      </c>
      <c r="C341" s="198" t="s">
        <v>232</v>
      </c>
      <c r="D341" s="198" t="s">
        <v>232</v>
      </c>
      <c r="F341" s="171" t="s">
        <v>74</v>
      </c>
      <c r="I341" s="30">
        <f>E313</f>
        <v>700</v>
      </c>
      <c r="J341" s="171" t="s">
        <v>43</v>
      </c>
    </row>
    <row r="342" spans="2:19" x14ac:dyDescent="0.2">
      <c r="B342" s="179" t="s">
        <v>75</v>
      </c>
      <c r="C342" s="199">
        <v>1.5E-3</v>
      </c>
      <c r="D342" s="199">
        <v>1E-3</v>
      </c>
      <c r="F342" s="171" t="s">
        <v>511</v>
      </c>
      <c r="M342" s="171" t="s">
        <v>66</v>
      </c>
      <c r="O342" s="30">
        <v>12</v>
      </c>
      <c r="P342" s="30">
        <v>16</v>
      </c>
      <c r="Q342" s="30">
        <v>20</v>
      </c>
      <c r="R342" s="30">
        <v>22</v>
      </c>
      <c r="S342" s="30">
        <v>25</v>
      </c>
    </row>
    <row r="343" spans="2:19" x14ac:dyDescent="0.2">
      <c r="B343" s="179" t="s">
        <v>76</v>
      </c>
      <c r="C343" s="199">
        <v>2.5000000000000001E-3</v>
      </c>
      <c r="D343" s="199">
        <v>1.5E-3</v>
      </c>
      <c r="M343" s="171" t="s">
        <v>67</v>
      </c>
      <c r="O343" s="30">
        <f>IF(H347=0,100000000,TRUNC(785.4*O342^2/H347/25)*25)</f>
        <v>175</v>
      </c>
      <c r="P343" s="30">
        <f>IF(H347=0,100000000,TRUNC(785.4*P342^2/H347/25)*25)</f>
        <v>350</v>
      </c>
      <c r="Q343" s="30">
        <f>IF(H347=0,100000000,TRUNC(785.4*Q342^2/H347/25)*25)</f>
        <v>550</v>
      </c>
      <c r="R343" s="30">
        <f>IF(H347=0,100000000,TRUNC(785.4*R342^2/H347/25)*25)</f>
        <v>650</v>
      </c>
      <c r="S343" s="30">
        <f>IF(H347=0,100000000,TRUNC(785.4*S342^2/H347/25)*25)</f>
        <v>850</v>
      </c>
    </row>
    <row r="344" spans="2:19" x14ac:dyDescent="0.2">
      <c r="M344" s="171" t="s">
        <v>68</v>
      </c>
      <c r="O344" s="30">
        <f>785.4*O342^2/O343</f>
        <v>646.27199999999993</v>
      </c>
      <c r="P344" s="30">
        <f>785.4*P342^2/P343</f>
        <v>574.46399999999994</v>
      </c>
      <c r="Q344" s="30">
        <f>785.4*Q342^2/Q343</f>
        <v>571.20000000000005</v>
      </c>
      <c r="R344" s="30">
        <f>785.4*R342^2/R343</f>
        <v>584.82092307692301</v>
      </c>
      <c r="S344" s="30">
        <f>785.4*S342^2/S343</f>
        <v>577.5</v>
      </c>
    </row>
    <row r="345" spans="2:19" x14ac:dyDescent="0.2">
      <c r="B345" s="171" t="s">
        <v>77</v>
      </c>
      <c r="H345" s="39">
        <f>IF(I340&lt;=9,C342,C343)*IF(I341&lt;=380,I341,380)*1000</f>
        <v>950.00000000000011</v>
      </c>
      <c r="I345" s="171" t="s">
        <v>78</v>
      </c>
      <c r="M345" s="171" t="s">
        <v>69</v>
      </c>
      <c r="O345" s="30">
        <f>IF(OR(O343&gt;300,O343&lt;100),100000000,O344-H347)</f>
        <v>76.271999999999821</v>
      </c>
      <c r="P345" s="30">
        <f>IF(OR(P343&gt;300,P343&lt;100),100000001,P344-H347)</f>
        <v>100000001</v>
      </c>
      <c r="Q345" s="30">
        <f>IF(OR(Q343&gt;300,Q343&lt;100),100000001,Q344-H347)</f>
        <v>100000001</v>
      </c>
      <c r="R345" s="30">
        <f>IF(OR(R343&gt;300,R343&lt;100),100000001,R344-H347)</f>
        <v>100000001</v>
      </c>
      <c r="S345" s="30">
        <f>IF(OR(S343&gt;300,S343&lt;100),100000001,S344-H347)</f>
        <v>100000001</v>
      </c>
    </row>
    <row r="346" spans="2:19" x14ac:dyDescent="0.2">
      <c r="B346" s="171" t="s">
        <v>577</v>
      </c>
      <c r="C346" s="30">
        <v>12</v>
      </c>
      <c r="D346" s="171" t="s">
        <v>71</v>
      </c>
      <c r="E346" s="30">
        <v>150</v>
      </c>
      <c r="F346" s="171" t="s">
        <v>80</v>
      </c>
      <c r="H346" s="30">
        <f>785.4*C346^2/E346</f>
        <v>753.98399999999992</v>
      </c>
      <c r="I346" s="171" t="s">
        <v>81</v>
      </c>
      <c r="J346" s="30"/>
      <c r="M346" s="171" t="s">
        <v>70</v>
      </c>
      <c r="O346" s="30">
        <f>IF(S343&lt;100,25,IF(MIN(O345:S345)=O345,12,IF(MIN(O345:S345)=P345,16,IF(MIN(O345:S345)=Q345,20,IF(MIN(O345:S345)=R345,22,IF(MIN(O345:S345)=S345,25,0))))))</f>
        <v>12</v>
      </c>
      <c r="P346" s="171" t="s">
        <v>71</v>
      </c>
      <c r="Q346" s="30">
        <f>IF(O346=12,O343,IF(O346=16,P343,IF(O346=20,Q343,IF(O346=22,R343,IF(O346=25,S343,0)))))</f>
        <v>175</v>
      </c>
      <c r="R346" s="171" t="s">
        <v>72</v>
      </c>
    </row>
    <row r="347" spans="2:19" x14ac:dyDescent="0.2">
      <c r="B347" s="171" t="s">
        <v>238</v>
      </c>
      <c r="H347" s="39">
        <f>IF(I340&lt;=9,D342,D343)*IF(I341&lt;=380,I341,380)*1000</f>
        <v>570.00000000000011</v>
      </c>
      <c r="I347" s="171" t="s">
        <v>78</v>
      </c>
    </row>
    <row r="348" spans="2:19" x14ac:dyDescent="0.2">
      <c r="B348" s="171" t="s">
        <v>79</v>
      </c>
      <c r="C348" s="30">
        <v>12</v>
      </c>
      <c r="D348" s="171" t="s">
        <v>71</v>
      </c>
      <c r="E348" s="30">
        <v>200</v>
      </c>
      <c r="F348" s="171" t="s">
        <v>80</v>
      </c>
      <c r="H348" s="30">
        <f>785.4*C348^2/E348</f>
        <v>565.48799999999994</v>
      </c>
      <c r="I348" s="171" t="s">
        <v>81</v>
      </c>
    </row>
    <row r="350" spans="2:19" x14ac:dyDescent="0.2">
      <c r="B350" s="196" t="s">
        <v>578</v>
      </c>
      <c r="E350" s="31"/>
      <c r="F350" s="171"/>
      <c r="G350" s="30"/>
      <c r="H350" s="171"/>
    </row>
    <row r="352" spans="2:19" x14ac:dyDescent="0.2">
      <c r="B352" s="171" t="s">
        <v>579</v>
      </c>
      <c r="H352" s="39">
        <f>ABS(I316)/(G35*G54*H353)*1000000000</f>
        <v>2015.4275458242162</v>
      </c>
      <c r="I352" s="171" t="s">
        <v>78</v>
      </c>
    </row>
    <row r="353" spans="1:19" x14ac:dyDescent="0.2">
      <c r="B353" s="171" t="s">
        <v>580</v>
      </c>
      <c r="H353" s="39">
        <f>G331-G47</f>
        <v>625</v>
      </c>
      <c r="I353" s="169" t="s">
        <v>43</v>
      </c>
      <c r="J353" s="30"/>
    </row>
    <row r="355" spans="1:19" x14ac:dyDescent="0.2">
      <c r="B355" s="196" t="s">
        <v>87</v>
      </c>
    </row>
    <row r="357" spans="1:19" x14ac:dyDescent="0.2">
      <c r="B357" s="171" t="s">
        <v>581</v>
      </c>
      <c r="H357" s="168">
        <f>J312</f>
        <v>5.9</v>
      </c>
      <c r="I357" s="168" t="s">
        <v>24</v>
      </c>
    </row>
    <row r="358" spans="1:19" x14ac:dyDescent="0.2">
      <c r="B358" s="171" t="s">
        <v>74</v>
      </c>
      <c r="H358" s="30">
        <f>G331</f>
        <v>700</v>
      </c>
      <c r="I358" s="168" t="s">
        <v>43</v>
      </c>
    </row>
    <row r="359" spans="1:19" x14ac:dyDescent="0.2">
      <c r="B359" s="171" t="s">
        <v>582</v>
      </c>
      <c r="E359" s="31"/>
      <c r="H359" s="39">
        <f>IF(H357&lt;=9,D342,D343)*IF(H358&lt;=380,H358,380)*1000</f>
        <v>380</v>
      </c>
      <c r="I359" s="171" t="s">
        <v>78</v>
      </c>
    </row>
    <row r="361" spans="1:19" x14ac:dyDescent="0.2">
      <c r="A361" s="171"/>
      <c r="B361" s="168" t="str">
        <f>IF(H352&gt;H359,"Ast(moment) &gt; Ast(shrinkage)","Ast(moment) &lt; Ast(shrinkage)")</f>
        <v>Ast(moment) &gt; Ast(shrinkage)</v>
      </c>
      <c r="F361" s="171" t="s">
        <v>267</v>
      </c>
      <c r="H361" s="30">
        <f>IF(H352&gt;H359,H352,H359)</f>
        <v>2015.4275458242162</v>
      </c>
      <c r="I361" s="171" t="s">
        <v>89</v>
      </c>
      <c r="M361" s="171" t="s">
        <v>66</v>
      </c>
      <c r="O361" s="30">
        <v>12</v>
      </c>
      <c r="P361" s="30">
        <v>16</v>
      </c>
      <c r="Q361" s="30">
        <v>20</v>
      </c>
      <c r="R361" s="30">
        <v>22</v>
      </c>
      <c r="S361" s="30">
        <v>25</v>
      </c>
    </row>
    <row r="362" spans="1:19" x14ac:dyDescent="0.2">
      <c r="B362" s="614" t="s">
        <v>583</v>
      </c>
      <c r="C362" s="510">
        <v>20</v>
      </c>
      <c r="D362" s="614" t="s">
        <v>71</v>
      </c>
      <c r="E362" s="510">
        <v>150</v>
      </c>
      <c r="F362" s="614" t="s">
        <v>80</v>
      </c>
      <c r="G362" s="615"/>
      <c r="H362" s="510">
        <f>785.4*C362^2/E362</f>
        <v>2094.4</v>
      </c>
      <c r="I362" s="614" t="s">
        <v>81</v>
      </c>
      <c r="J362" s="615"/>
      <c r="K362" s="435"/>
      <c r="M362" s="171" t="s">
        <v>67</v>
      </c>
      <c r="O362" s="30">
        <f>IF(H361=0,100000000,TRUNC(785.4*O361^2/H361/25)*25)</f>
        <v>50</v>
      </c>
      <c r="P362" s="30">
        <f>IF(H361=0,100000000,TRUNC(785.4*P361^2/H361/25)*25)</f>
        <v>75</v>
      </c>
      <c r="Q362" s="30">
        <f>IF(H361=0,100000000,TRUNC(785.4*Q361^2/H361/25)*25)</f>
        <v>150</v>
      </c>
      <c r="R362" s="30">
        <f>IF(H361=0,100000000,TRUNC(785.4*R361^2/H361/25)*25)</f>
        <v>175</v>
      </c>
      <c r="S362" s="30">
        <f>IF(H361=0,100000000,TRUNC(785.4*S361^2/H361/25)*25)</f>
        <v>225</v>
      </c>
    </row>
    <row r="363" spans="1:19" x14ac:dyDescent="0.2">
      <c r="M363" s="171" t="s">
        <v>68</v>
      </c>
      <c r="O363" s="30">
        <f>785.4*O361^2/O362</f>
        <v>2261.9519999999998</v>
      </c>
      <c r="P363" s="30">
        <f>785.4*P361^2/P362</f>
        <v>2680.8319999999999</v>
      </c>
      <c r="Q363" s="30">
        <f>785.4*Q361^2/Q362</f>
        <v>2094.4</v>
      </c>
      <c r="R363" s="30">
        <f>785.4*R361^2/R362</f>
        <v>2172.192</v>
      </c>
      <c r="S363" s="30">
        <f>785.4*S361^2/S362</f>
        <v>2181.6666666666665</v>
      </c>
    </row>
    <row r="364" spans="1:19" x14ac:dyDescent="0.2">
      <c r="B364" s="196" t="s">
        <v>90</v>
      </c>
      <c r="M364" s="171" t="s">
        <v>69</v>
      </c>
      <c r="O364" s="30">
        <f>IF(OR(O362&gt;300,O362&lt;100),100000000,O363-H361)</f>
        <v>100000000</v>
      </c>
      <c r="P364" s="30">
        <f>IF(OR(P362&gt;300,P362&lt;100),100000001,P363-H361)</f>
        <v>100000001</v>
      </c>
      <c r="Q364" s="30">
        <f>IF(OR(Q362&gt;300,Q362&lt;100),100000001,Q363-H361)</f>
        <v>78.972454175783923</v>
      </c>
      <c r="R364" s="30">
        <f>IF(OR(R362&gt;300,R362&lt;100),100000001,R363-H361)</f>
        <v>156.76445417578384</v>
      </c>
      <c r="S364" s="30">
        <f>IF(OR(S362&gt;300,S362&lt;100),100000001,S363-H361)</f>
        <v>166.23912084245035</v>
      </c>
    </row>
    <row r="365" spans="1:19" x14ac:dyDescent="0.2">
      <c r="B365" s="171" t="s">
        <v>521</v>
      </c>
      <c r="D365" s="23"/>
      <c r="E365" s="171"/>
      <c r="F365" s="168">
        <f>G40/C362</f>
        <v>840.99690843664825</v>
      </c>
      <c r="G365" s="168" t="str">
        <f>IF(F365&lt;=G42,"KN/m²   &lt;","KN/m²   &gt;")</f>
        <v>KN/m²   &lt;</v>
      </c>
      <c r="H365" s="30">
        <f>G42</f>
        <v>1103</v>
      </c>
      <c r="I365" s="171" t="s">
        <v>35</v>
      </c>
      <c r="M365" s="171" t="s">
        <v>70</v>
      </c>
      <c r="O365" s="30">
        <f>IF(S362&lt;100,25,IF(MIN(O364:S364)=O364,12,IF(MIN(O364:S364)=P364,16,IF(MIN(O364:S364)=Q364,20,IF(MIN(O364:S364)=R364,22,IF(MIN(O364:S364)=S364,25,0))))))</f>
        <v>20</v>
      </c>
      <c r="P365" s="171" t="s">
        <v>71</v>
      </c>
      <c r="Q365" s="30">
        <f>IF(O365=12,O362,IF(O365=16,P362,IF(O365=20,Q362,IF(O365=22,R362,IF(O365=25,S362,0)))))</f>
        <v>150</v>
      </c>
      <c r="R365" s="171" t="s">
        <v>72</v>
      </c>
    </row>
    <row r="366" spans="1:19" x14ac:dyDescent="0.2">
      <c r="B366" s="171" t="s">
        <v>91</v>
      </c>
      <c r="F366" s="168">
        <f>IF(F365&lt;H365,F365,H365)</f>
        <v>840.99690843664825</v>
      </c>
      <c r="G366" s="171" t="s">
        <v>35</v>
      </c>
      <c r="H366" s="171" t="s">
        <v>64</v>
      </c>
    </row>
    <row r="368" spans="1:19" x14ac:dyDescent="0.2">
      <c r="B368" s="171" t="s">
        <v>584</v>
      </c>
      <c r="H368" s="168">
        <f>-(I319)</f>
        <v>-294.06148443508016</v>
      </c>
      <c r="I368" s="171" t="s">
        <v>57</v>
      </c>
    </row>
    <row r="369" spans="1:15" x14ac:dyDescent="0.2">
      <c r="B369" s="171" t="s">
        <v>585</v>
      </c>
      <c r="H369" s="30">
        <f>PI()*C362/E362*1000</f>
        <v>418.87902047863906</v>
      </c>
      <c r="I369" s="171" t="s">
        <v>43</v>
      </c>
    </row>
    <row r="370" spans="1:15" x14ac:dyDescent="0.2">
      <c r="B370" s="171" t="s">
        <v>586</v>
      </c>
      <c r="H370" s="169">
        <f>H368/(H369*G54*H353)*1000000</f>
        <v>-1256.6969156899308</v>
      </c>
      <c r="I370" s="171" t="s">
        <v>35</v>
      </c>
    </row>
    <row r="371" spans="1:15" x14ac:dyDescent="0.2">
      <c r="E371" s="171"/>
    </row>
    <row r="372" spans="1:15" x14ac:dyDescent="0.2">
      <c r="B372" s="168" t="str">
        <f>IF(F366&gt;=H370,"bs(allow) &gt; bs(actual)      Design is OK.  &lt;-----","bs(allow) &lt; bs(actual)      Design is not OK.  &lt;-----")</f>
        <v>bs(allow) &gt; bs(actual)      Design is OK.  &lt;-----</v>
      </c>
    </row>
    <row r="374" spans="1:15" x14ac:dyDescent="0.2">
      <c r="B374" s="197" t="s">
        <v>587</v>
      </c>
    </row>
    <row r="376" spans="1:15" x14ac:dyDescent="0.2">
      <c r="B376" s="171" t="s">
        <v>588</v>
      </c>
      <c r="E376" s="168">
        <f>$H$142</f>
        <v>98.184646661875163</v>
      </c>
      <c r="F376" s="171" t="s">
        <v>444</v>
      </c>
      <c r="G376" s="171" t="s">
        <v>558</v>
      </c>
      <c r="J376" s="168">
        <f>$H$143</f>
        <v>87.55196350761635</v>
      </c>
      <c r="K376" s="171" t="s">
        <v>35</v>
      </c>
    </row>
    <row r="377" spans="1:15" x14ac:dyDescent="0.2">
      <c r="B377" s="171" t="s">
        <v>589</v>
      </c>
      <c r="E377" s="168">
        <f>$F$29</f>
        <v>2</v>
      </c>
      <c r="F377" s="171" t="s">
        <v>24</v>
      </c>
      <c r="G377" s="338" t="s">
        <v>2338</v>
      </c>
      <c r="J377" s="168">
        <f>$F$30</f>
        <v>5.9</v>
      </c>
      <c r="K377" s="171" t="s">
        <v>24</v>
      </c>
    </row>
    <row r="378" spans="1:15" x14ac:dyDescent="0.2">
      <c r="B378" s="171" t="s">
        <v>590</v>
      </c>
      <c r="E378" s="30">
        <f>$F$22</f>
        <v>700</v>
      </c>
      <c r="F378" s="171" t="s">
        <v>591</v>
      </c>
    </row>
    <row r="379" spans="1:15" x14ac:dyDescent="0.2">
      <c r="A379" s="171"/>
    </row>
    <row r="380" spans="1:15" ht="13.5" thickBot="1" x14ac:dyDescent="0.25">
      <c r="B380" s="171" t="s">
        <v>592</v>
      </c>
    </row>
    <row r="381" spans="1:15" ht="15.75" x14ac:dyDescent="0.3">
      <c r="B381" s="171" t="s">
        <v>593</v>
      </c>
      <c r="F381" s="171"/>
      <c r="I381" s="169">
        <f>N387</f>
        <v>160.92642707420032</v>
      </c>
      <c r="J381" s="171" t="s">
        <v>58</v>
      </c>
      <c r="L381" s="217"/>
      <c r="M381" s="423"/>
      <c r="N381" s="424"/>
      <c r="O381" s="425"/>
    </row>
    <row r="382" spans="1:15" x14ac:dyDescent="0.2">
      <c r="E382" s="171"/>
      <c r="F382" s="168"/>
      <c r="G382" s="171"/>
      <c r="H382" s="171" t="s">
        <v>594</v>
      </c>
      <c r="L382" s="217"/>
      <c r="M382" s="426">
        <f>(J376*E377^2/2)</f>
        <v>175.1039270152327</v>
      </c>
      <c r="N382" s="422">
        <f>(E378/1000*E377^2/2*F9)</f>
        <v>33.04</v>
      </c>
      <c r="O382" s="427"/>
    </row>
    <row r="383" spans="1:15" ht="15.75" x14ac:dyDescent="0.3">
      <c r="B383" s="171" t="s">
        <v>595</v>
      </c>
      <c r="I383" s="169">
        <f>((E376-J376)*(J377-E377)/J377+J376+E376)*E377/2-E378/1000*E377*I9</f>
        <v>192.7649939494253</v>
      </c>
      <c r="J383" s="169" t="s">
        <v>596</v>
      </c>
      <c r="L383" s="217"/>
      <c r="M383" s="426">
        <f>(E376-J376)/J377*(J377-E377)*E377^2/2</f>
        <v>14.056767559867584</v>
      </c>
      <c r="N383" s="217"/>
      <c r="O383" s="427"/>
    </row>
    <row r="384" spans="1:15" x14ac:dyDescent="0.2">
      <c r="F384" s="171"/>
      <c r="I384" s="1482" t="s">
        <v>597</v>
      </c>
      <c r="J384" s="1482"/>
      <c r="L384" s="217"/>
      <c r="M384" s="426">
        <f>(E376-(J376+(E376-J376)/J377*(J377-E377)))*E377^2/3</f>
        <v>4.8057324991000314</v>
      </c>
      <c r="N384" s="217"/>
      <c r="O384" s="427"/>
    </row>
    <row r="385" spans="1:19" x14ac:dyDescent="0.2">
      <c r="B385" s="196" t="s">
        <v>59</v>
      </c>
      <c r="L385" s="217"/>
      <c r="M385" s="428">
        <f>SUM(M382:M384)</f>
        <v>193.96642707420031</v>
      </c>
      <c r="N385" s="217"/>
      <c r="O385" s="427"/>
    </row>
    <row r="386" spans="1:19" x14ac:dyDescent="0.2">
      <c r="E386" s="171"/>
      <c r="F386" s="168"/>
      <c r="G386" s="171"/>
      <c r="L386" s="217"/>
      <c r="M386" s="426"/>
      <c r="N386" s="217"/>
      <c r="O386" s="427"/>
    </row>
    <row r="387" spans="1:19" x14ac:dyDescent="0.2">
      <c r="B387" s="171" t="s">
        <v>499</v>
      </c>
      <c r="L387" s="217"/>
      <c r="M387" s="426"/>
      <c r="N387" s="422">
        <f>M385-N382</f>
        <v>160.92642707420032</v>
      </c>
      <c r="O387" s="427"/>
    </row>
    <row r="388" spans="1:19" ht="13.5" thickBot="1" x14ac:dyDescent="0.25">
      <c r="L388" s="217"/>
      <c r="M388" s="429"/>
      <c r="N388" s="430"/>
      <c r="O388" s="431"/>
    </row>
    <row r="389" spans="1:19" ht="14.25" x14ac:dyDescent="0.2">
      <c r="B389" s="171" t="s">
        <v>598</v>
      </c>
      <c r="F389" s="30">
        <f>(I381/G55)^0.5*1000</f>
        <v>358.37620389495453</v>
      </c>
      <c r="G389" s="171" t="s">
        <v>43</v>
      </c>
      <c r="L389" s="217"/>
      <c r="M389" s="217"/>
      <c r="N389" s="217"/>
      <c r="O389" s="217"/>
    </row>
    <row r="390" spans="1:19" x14ac:dyDescent="0.2">
      <c r="B390" s="171" t="s">
        <v>599</v>
      </c>
      <c r="F390" s="30">
        <f>I383/(G38)*1000</f>
        <v>449.69595989076203</v>
      </c>
      <c r="G390" s="171" t="s">
        <v>43</v>
      </c>
    </row>
    <row r="391" spans="1:19" x14ac:dyDescent="0.2">
      <c r="M391" s="171" t="s">
        <v>66</v>
      </c>
      <c r="O391" s="30">
        <v>12</v>
      </c>
      <c r="P391" s="30">
        <v>16</v>
      </c>
      <c r="Q391" s="30">
        <v>20</v>
      </c>
      <c r="R391" s="30">
        <v>22</v>
      </c>
      <c r="S391" s="30">
        <v>25</v>
      </c>
    </row>
    <row r="392" spans="1:19" x14ac:dyDescent="0.2">
      <c r="B392" s="168" t="str">
        <f>IF(F389&gt;=F390,"dr(moment)  &gt;  dr(shear)","dr(moment)  &lt;  dr(shear)")</f>
        <v>dr(moment)  &lt;  dr(shear)</v>
      </c>
      <c r="E392" s="171" t="s">
        <v>230</v>
      </c>
      <c r="G392" s="30">
        <f>IF(F389&gt;=F390,F389,F390)</f>
        <v>449.69595989076203</v>
      </c>
      <c r="H392" s="171" t="s">
        <v>62</v>
      </c>
      <c r="M392" s="171" t="s">
        <v>67</v>
      </c>
      <c r="O392" s="30">
        <f>IF(H403=0,100000000,TRUNC(785.4*O391^2/H403/25)*25)</f>
        <v>100</v>
      </c>
      <c r="P392" s="30">
        <f>IF(H403=0,100000000,TRUNC(785.4*P391^2/H403/25)*25)</f>
        <v>200</v>
      </c>
      <c r="Q392" s="30">
        <f>IF(H403=0,100000000,TRUNC(785.4*Q391^2/H403/25)*25)</f>
        <v>325</v>
      </c>
      <c r="R392" s="30">
        <f>IF(H403=0,100000000,TRUNC(785.4*R391^2/H403/25)*25)</f>
        <v>400</v>
      </c>
      <c r="S392" s="30">
        <f>IF(H403=0,100000000,TRUNC(785.4*S391^2/H403/25)*25)</f>
        <v>500</v>
      </c>
    </row>
    <row r="393" spans="1:19" x14ac:dyDescent="0.2">
      <c r="B393" s="171" t="s">
        <v>63</v>
      </c>
      <c r="D393" s="30"/>
      <c r="E393" s="171"/>
      <c r="F393" s="30"/>
      <c r="G393" s="205">
        <f>G392+G47</f>
        <v>524.69595989076197</v>
      </c>
      <c r="H393" s="171" t="s">
        <v>43</v>
      </c>
      <c r="M393" s="171" t="s">
        <v>68</v>
      </c>
      <c r="O393" s="30">
        <f>785.4*O391^2/O392</f>
        <v>1130.9759999999999</v>
      </c>
      <c r="P393" s="30">
        <f>785.4*P391^2/P392</f>
        <v>1005.312</v>
      </c>
      <c r="Q393" s="30">
        <f>785.4*Q391^2/Q392</f>
        <v>966.64615384615388</v>
      </c>
      <c r="R393" s="30">
        <f>785.4*R391^2/R392</f>
        <v>950.33399999999995</v>
      </c>
      <c r="S393" s="30">
        <f>785.4*S391^2/S392</f>
        <v>981.75</v>
      </c>
    </row>
    <row r="394" spans="1:19" x14ac:dyDescent="0.2">
      <c r="B394" s="171" t="s">
        <v>600</v>
      </c>
      <c r="G394" s="30">
        <f>E378</f>
        <v>700</v>
      </c>
      <c r="H394" s="171" t="s">
        <v>43</v>
      </c>
      <c r="M394" s="171" t="s">
        <v>69</v>
      </c>
      <c r="O394" s="30">
        <f>IF(OR(O392&gt;300,O392&lt;100),100000000,O393-H403)</f>
        <v>180.97599999999977</v>
      </c>
      <c r="P394" s="30">
        <f>IF(OR(P392&gt;300,P392&lt;100),100000001,P393-H403)</f>
        <v>55.311999999999898</v>
      </c>
      <c r="Q394" s="30">
        <f>IF(OR(Q392&gt;300,Q392&lt;100),100000001,Q393-H403)</f>
        <v>100000001</v>
      </c>
      <c r="R394" s="30">
        <f>IF(OR(R392&gt;300,R392&lt;100),100000001,R393-H403)</f>
        <v>100000001</v>
      </c>
      <c r="S394" s="30">
        <f>IF(OR(S392&gt;300,S392&lt;100),100000001,S393-H403)</f>
        <v>100000001</v>
      </c>
    </row>
    <row r="395" spans="1:19" x14ac:dyDescent="0.2">
      <c r="M395" s="171" t="s">
        <v>70</v>
      </c>
      <c r="O395" s="30">
        <f>IF(S392&lt;100,25,IF(MIN(O394:S394)=O394,12,IF(MIN(O394:S394)=P394,16,IF(MIN(O394:S394)=Q394,20,IF(MIN(O394:S394)=R394,22,IF(MIN(O394:S394)=S394,25,0))))))</f>
        <v>16</v>
      </c>
      <c r="P395" s="171" t="s">
        <v>71</v>
      </c>
      <c r="Q395" s="30">
        <f>IF(O395=12,O392,IF(O395=16,P392,IF(O395=20,Q392,IF(O395=22,R392,IF(O395=25,S392,0)))))</f>
        <v>200</v>
      </c>
      <c r="R395" s="171" t="s">
        <v>72</v>
      </c>
    </row>
    <row r="396" spans="1:19" x14ac:dyDescent="0.2">
      <c r="A396" s="171"/>
      <c r="B396" s="168" t="str">
        <f>IF(G394&gt;=G393,"ta  &gt;  tr     Design is OK.","ta  &lt;  tr     Design is Not OK.")</f>
        <v>ta  &gt;  tr     Design is OK.</v>
      </c>
      <c r="F396" s="171" t="s">
        <v>64</v>
      </c>
    </row>
    <row r="398" spans="1:19" x14ac:dyDescent="0.2">
      <c r="B398" s="196" t="s">
        <v>65</v>
      </c>
    </row>
    <row r="399" spans="1:19" x14ac:dyDescent="0.2">
      <c r="M399" s="171" t="s">
        <v>66</v>
      </c>
      <c r="O399" s="30">
        <v>12</v>
      </c>
      <c r="P399" s="30">
        <v>16</v>
      </c>
      <c r="Q399" s="30">
        <v>20</v>
      </c>
      <c r="R399" s="30">
        <v>22</v>
      </c>
      <c r="S399" s="30">
        <v>25</v>
      </c>
    </row>
    <row r="400" spans="1:19" x14ac:dyDescent="0.2">
      <c r="B400" s="171" t="s">
        <v>601</v>
      </c>
      <c r="F400" s="168">
        <f>$F$27</f>
        <v>12</v>
      </c>
      <c r="G400" s="171" t="s">
        <v>24</v>
      </c>
      <c r="M400" s="171" t="s">
        <v>67</v>
      </c>
      <c r="O400" s="30">
        <f>IF(H405=0,100000000,TRUNC(785.4*O399^2/H405/25)*25)</f>
        <v>175</v>
      </c>
      <c r="P400" s="30">
        <f>IF(H405=0,100000000,TRUNC(785.4*P399^2/H405/25)*25)</f>
        <v>350</v>
      </c>
      <c r="Q400" s="30">
        <f>IF(H405=0,100000000,TRUNC(785.4*Q399^2/H405/25)*25)</f>
        <v>550</v>
      </c>
      <c r="R400" s="30">
        <f>IF(H405=0,100000000,TRUNC(785.4*R399^2/H405/25)*25)</f>
        <v>650</v>
      </c>
      <c r="S400" s="30">
        <f>IF(H405=0,100000000,TRUNC(785.4*S399^2/H405/25)*25)</f>
        <v>850</v>
      </c>
    </row>
    <row r="401" spans="2:19" x14ac:dyDescent="0.2">
      <c r="B401" s="171" t="s">
        <v>602</v>
      </c>
      <c r="F401" s="30">
        <f>E378</f>
        <v>700</v>
      </c>
      <c r="G401" s="171" t="s">
        <v>43</v>
      </c>
      <c r="M401" s="171" t="s">
        <v>68</v>
      </c>
      <c r="O401" s="30">
        <f>785.4*O399^2/O400</f>
        <v>646.27199999999993</v>
      </c>
      <c r="P401" s="30">
        <f>785.4*P399^2/P400</f>
        <v>574.46399999999994</v>
      </c>
      <c r="Q401" s="30">
        <f>785.4*Q399^2/Q400</f>
        <v>571.20000000000005</v>
      </c>
      <c r="R401" s="30">
        <f>785.4*R399^2/R400</f>
        <v>584.82092307692301</v>
      </c>
      <c r="S401" s="30">
        <f>785.4*S399^2/S400</f>
        <v>577.5</v>
      </c>
    </row>
    <row r="402" spans="2:19" x14ac:dyDescent="0.2">
      <c r="B402" s="171"/>
      <c r="M402" s="171" t="s">
        <v>69</v>
      </c>
      <c r="O402" s="30">
        <f>IF(OR(O400&gt;300,O400&lt;100),100000000,O401-H405)</f>
        <v>76.271999999999821</v>
      </c>
      <c r="P402" s="30">
        <f>IF(OR(P400&gt;300,P400&lt;100),100000001,P401-H405)</f>
        <v>100000001</v>
      </c>
      <c r="Q402" s="30">
        <f>IF(OR(Q400&gt;300,Q400&lt;100),100000001,Q401-H405)</f>
        <v>100000001</v>
      </c>
      <c r="R402" s="30">
        <f>IF(OR(R400&gt;300,R400&lt;100),100000001,R401-H405)</f>
        <v>100000001</v>
      </c>
      <c r="S402" s="30">
        <f>IF(OR(S400&gt;300,S400&lt;100),100000001,S401-H405)</f>
        <v>100000001</v>
      </c>
    </row>
    <row r="403" spans="2:19" x14ac:dyDescent="0.2">
      <c r="B403" s="169" t="s">
        <v>265</v>
      </c>
      <c r="H403" s="39">
        <f>IF(F400&lt;=9,C342,C343)*IF(F401&lt;=380,F401,380)*1000</f>
        <v>950.00000000000011</v>
      </c>
      <c r="I403" s="171" t="s">
        <v>78</v>
      </c>
      <c r="M403" s="171" t="s">
        <v>70</v>
      </c>
      <c r="O403" s="30">
        <f>IF(S400&lt;100,25,IF(MIN(O402:S402)=O402,12,IF(MIN(O402:S402)=P402,16,IF(MIN(O402:S402)=Q402,20,IF(MIN(O402:S402)=R402,22,IF(MIN(O402:S402)=S402,25,0))))))</f>
        <v>12</v>
      </c>
      <c r="P403" s="171" t="s">
        <v>71</v>
      </c>
      <c r="Q403" s="30">
        <f>IF(O403=12,O400,IF(O403=16,P400,IF(O403=20,Q400,IF(O403=22,R400,IF(O403=25,S400,0)))))</f>
        <v>175</v>
      </c>
      <c r="R403" s="171" t="s">
        <v>72</v>
      </c>
    </row>
    <row r="404" spans="2:19" x14ac:dyDescent="0.2">
      <c r="B404" s="171" t="s">
        <v>79</v>
      </c>
      <c r="C404" s="30">
        <v>16</v>
      </c>
      <c r="D404" s="171" t="s">
        <v>71</v>
      </c>
      <c r="E404" s="30">
        <v>250</v>
      </c>
      <c r="F404" s="171" t="s">
        <v>80</v>
      </c>
      <c r="H404" s="30">
        <f>785.4*C404^2/E404</f>
        <v>804.24959999999999</v>
      </c>
      <c r="I404" s="171" t="s">
        <v>81</v>
      </c>
    </row>
    <row r="405" spans="2:19" x14ac:dyDescent="0.2">
      <c r="B405" s="171" t="s">
        <v>243</v>
      </c>
      <c r="H405" s="39">
        <f>IF(F400&lt;=9,D342,D343)*IF(F401&lt;=380,F401,380)*1000</f>
        <v>570.00000000000011</v>
      </c>
      <c r="I405" s="171" t="s">
        <v>78</v>
      </c>
    </row>
    <row r="406" spans="2:19" x14ac:dyDescent="0.2">
      <c r="B406" s="171" t="s">
        <v>577</v>
      </c>
      <c r="C406" s="30">
        <f>IF(H469=0,O403,H469)</f>
        <v>12</v>
      </c>
      <c r="D406" s="171" t="s">
        <v>71</v>
      </c>
      <c r="E406" s="30">
        <v>175</v>
      </c>
      <c r="F406" s="171" t="s">
        <v>80</v>
      </c>
      <c r="H406" s="30">
        <f>785.4*C406^2/E406</f>
        <v>646.27199999999993</v>
      </c>
      <c r="I406" s="171" t="s">
        <v>81</v>
      </c>
    </row>
    <row r="408" spans="2:19" x14ac:dyDescent="0.2">
      <c r="B408" s="196" t="s">
        <v>578</v>
      </c>
    </row>
    <row r="409" spans="2:19" x14ac:dyDescent="0.2">
      <c r="B409" s="196"/>
    </row>
    <row r="410" spans="2:19" x14ac:dyDescent="0.2">
      <c r="B410" s="171" t="s">
        <v>86</v>
      </c>
      <c r="H410" s="168">
        <f>I381</f>
        <v>160.92642707420032</v>
      </c>
      <c r="I410" s="171" t="s">
        <v>58</v>
      </c>
    </row>
    <row r="411" spans="2:19" x14ac:dyDescent="0.2">
      <c r="B411" s="171" t="s">
        <v>580</v>
      </c>
      <c r="H411" s="39">
        <f>E378-G47</f>
        <v>625</v>
      </c>
      <c r="I411" s="169" t="s">
        <v>43</v>
      </c>
    </row>
    <row r="412" spans="2:19" x14ac:dyDescent="0.2">
      <c r="F412" s="171"/>
    </row>
    <row r="413" spans="2:19" x14ac:dyDescent="0.2">
      <c r="B413" s="171" t="s">
        <v>603</v>
      </c>
      <c r="H413" s="39">
        <f>H410/(G35*G54*H411)*1000000000</f>
        <v>1546.3063076260489</v>
      </c>
      <c r="I413" s="171" t="s">
        <v>78</v>
      </c>
    </row>
    <row r="414" spans="2:19" x14ac:dyDescent="0.2">
      <c r="B414" s="171"/>
    </row>
    <row r="416" spans="2:19" x14ac:dyDescent="0.2">
      <c r="B416" s="196" t="s">
        <v>87</v>
      </c>
    </row>
    <row r="418" spans="2:19" x14ac:dyDescent="0.2">
      <c r="B418" s="171" t="s">
        <v>581</v>
      </c>
      <c r="H418" s="168">
        <f>J377</f>
        <v>5.9</v>
      </c>
      <c r="I418" s="168" t="s">
        <v>24</v>
      </c>
    </row>
    <row r="419" spans="2:19" x14ac:dyDescent="0.2">
      <c r="B419" s="171" t="s">
        <v>74</v>
      </c>
      <c r="H419" s="30">
        <f>G394</f>
        <v>700</v>
      </c>
      <c r="I419" s="168" t="s">
        <v>43</v>
      </c>
    </row>
    <row r="420" spans="2:19" x14ac:dyDescent="0.2">
      <c r="B420" s="171" t="s">
        <v>582</v>
      </c>
      <c r="H420" s="39">
        <f>IF(H418&lt;=9,D342,D343)*IF(H419&lt;=380,H419,380)*1000</f>
        <v>380</v>
      </c>
      <c r="I420" s="171" t="s">
        <v>78</v>
      </c>
      <c r="M420" s="171" t="s">
        <v>66</v>
      </c>
      <c r="O420" s="30">
        <v>12</v>
      </c>
      <c r="P420" s="30">
        <v>16</v>
      </c>
      <c r="Q420" s="30">
        <v>20</v>
      </c>
      <c r="R420" s="30">
        <v>22</v>
      </c>
      <c r="S420" s="30">
        <v>25</v>
      </c>
    </row>
    <row r="421" spans="2:19" x14ac:dyDescent="0.2">
      <c r="B421" s="168" t="str">
        <f>IF(H413&gt;H420,"Ast(moment)  &gt;  Ast(shrinkage)","Ast(moment)  &lt;  Ast(shrinkage)")</f>
        <v>Ast(moment)  &gt;  Ast(shrinkage)</v>
      </c>
      <c r="F421" s="171" t="s">
        <v>267</v>
      </c>
      <c r="H421" s="30">
        <f>IF(H413&gt;H420,H413,H420)</f>
        <v>1546.3063076260489</v>
      </c>
      <c r="I421" s="171" t="s">
        <v>89</v>
      </c>
      <c r="M421" s="171" t="s">
        <v>67</v>
      </c>
      <c r="O421" s="30">
        <f>IF(H421=0,100000000,TRUNC(785.4*O420^2/H421/25)*25)</f>
        <v>50</v>
      </c>
      <c r="P421" s="30">
        <f>IF(H421=0,100000000,TRUNC(785.4*P420^2/H421/25)*25)</f>
        <v>125</v>
      </c>
      <c r="Q421" s="30">
        <f>IF(H421=0,100000000,TRUNC(785.4*Q420^2/H421/25)*25)</f>
        <v>200</v>
      </c>
      <c r="R421" s="30">
        <f>IF(H421=0,100000000,TRUNC(785.4*R420^2/H421/25)*25)</f>
        <v>225</v>
      </c>
      <c r="S421" s="30">
        <f>IF(H421=0,100000000,TRUNC(785.4*S420^2/H421/25)*25)</f>
        <v>300</v>
      </c>
    </row>
    <row r="422" spans="2:19" x14ac:dyDescent="0.2">
      <c r="B422" s="614" t="s">
        <v>577</v>
      </c>
      <c r="C422" s="510">
        <v>20</v>
      </c>
      <c r="D422" s="614" t="s">
        <v>71</v>
      </c>
      <c r="E422" s="510">
        <v>175</v>
      </c>
      <c r="F422" s="614" t="s">
        <v>80</v>
      </c>
      <c r="G422" s="615"/>
      <c r="H422" s="510">
        <f>785.4*C422^2/E422</f>
        <v>1795.2</v>
      </c>
      <c r="I422" s="614" t="s">
        <v>81</v>
      </c>
      <c r="J422" s="615"/>
      <c r="K422" s="435"/>
      <c r="M422" s="171" t="s">
        <v>68</v>
      </c>
      <c r="O422" s="30">
        <f>785.4*O420^2/O421</f>
        <v>2261.9519999999998</v>
      </c>
      <c r="P422" s="30">
        <f>785.4*P420^2/P421</f>
        <v>1608.4992</v>
      </c>
      <c r="Q422" s="30">
        <f>785.4*Q420^2/Q421</f>
        <v>1570.8</v>
      </c>
      <c r="R422" s="30">
        <f>785.4*R420^2/R421</f>
        <v>1689.4826666666665</v>
      </c>
      <c r="S422" s="30">
        <f>785.4*S420^2/S421</f>
        <v>1636.25</v>
      </c>
    </row>
    <row r="423" spans="2:19" x14ac:dyDescent="0.2">
      <c r="M423" s="171" t="s">
        <v>69</v>
      </c>
      <c r="O423" s="30">
        <f>IF(OR(O421&gt;300,O421&lt;100),100000000,O422-H421)</f>
        <v>100000000</v>
      </c>
      <c r="P423" s="30">
        <f>IF(OR(P421&gt;300,P421&lt;100),100000001,P422-H421)</f>
        <v>62.192892373951054</v>
      </c>
      <c r="Q423" s="30">
        <f>IF(OR(Q421&gt;300,Q421&lt;100),100000001,Q422-H421)</f>
        <v>24.493692373951035</v>
      </c>
      <c r="R423" s="30">
        <f>IF(OR(R421&gt;300,R421&lt;100),100000001,R422-H421)</f>
        <v>143.17635904061763</v>
      </c>
      <c r="S423" s="30">
        <f>IF(OR(S421&gt;300,S421&lt;100),100000001,S422-H421)</f>
        <v>89.94369237395108</v>
      </c>
    </row>
    <row r="424" spans="2:19" x14ac:dyDescent="0.2">
      <c r="B424" s="196" t="s">
        <v>90</v>
      </c>
      <c r="M424" s="171" t="s">
        <v>70</v>
      </c>
      <c r="O424" s="30">
        <f>IF(S421&lt;100,25,IF(MIN(O423:S423)=O423,12,IF(MIN(O423:S423)=P423,16,IF(MIN(O423:S423)=Q423,20,IF(MIN(O423:S423)=R423,22,IF(MIN(O423:S423)=S423,25,0))))))</f>
        <v>20</v>
      </c>
      <c r="P424" s="171" t="s">
        <v>71</v>
      </c>
      <c r="Q424" s="30">
        <f>IF(O424=12,O421,IF(O424=16,P421,IF(O424=20,Q421,IF(O424=22,R421,IF(O424=25,S421,0)))))</f>
        <v>200</v>
      </c>
      <c r="R424" s="171" t="s">
        <v>72</v>
      </c>
    </row>
    <row r="426" spans="2:19" x14ac:dyDescent="0.2">
      <c r="B426" s="171" t="s">
        <v>521</v>
      </c>
      <c r="D426" s="23"/>
      <c r="E426" s="171"/>
      <c r="F426" s="30"/>
      <c r="G426" s="168">
        <f>G40/C422</f>
        <v>840.99690843664825</v>
      </c>
      <c r="H426" s="168" t="str">
        <f>IF(G426&lt;=G42,"KN/m²   &lt;","KN/m²   &gt;")</f>
        <v>KN/m²   &lt;</v>
      </c>
      <c r="I426" s="30">
        <f>G42</f>
        <v>1103</v>
      </c>
      <c r="J426" s="171" t="s">
        <v>35</v>
      </c>
    </row>
    <row r="427" spans="2:19" x14ac:dyDescent="0.2">
      <c r="B427" s="171" t="s">
        <v>91</v>
      </c>
      <c r="G427" s="168">
        <f>IF(G426&lt;I426,G426,I426)</f>
        <v>840.99690843664825</v>
      </c>
      <c r="H427" s="171" t="s">
        <v>35</v>
      </c>
      <c r="I427" s="171" t="s">
        <v>64</v>
      </c>
    </row>
    <row r="429" spans="2:19" x14ac:dyDescent="0.2">
      <c r="B429" s="171" t="s">
        <v>604</v>
      </c>
      <c r="G429" s="169">
        <f>I383/(G427*G54*H411)*1000000</f>
        <v>410.31253325201993</v>
      </c>
      <c r="H429" s="171" t="s">
        <v>35</v>
      </c>
    </row>
    <row r="430" spans="2:19" x14ac:dyDescent="0.2">
      <c r="B430" s="171" t="s">
        <v>605</v>
      </c>
      <c r="H430" s="30">
        <f>PI()*C422/E422*1000</f>
        <v>359.03916041026207</v>
      </c>
      <c r="I430" s="171" t="s">
        <v>43</v>
      </c>
    </row>
    <row r="431" spans="2:19" x14ac:dyDescent="0.2">
      <c r="B431" s="171"/>
      <c r="F431" s="168"/>
      <c r="G431" s="171"/>
      <c r="I431" s="23"/>
      <c r="J431" s="171"/>
    </row>
    <row r="432" spans="2:19" x14ac:dyDescent="0.2">
      <c r="B432" s="168" t="str">
        <f>IF(G427&gt;=G429,"bs(allow)  &gt;  bs(actual)    Design is OK.  &lt;-----","bs(allow)  &lt;  bs(actual)    Design is not OK.  &lt;-----")</f>
        <v>bs(allow)  &gt;  bs(actual)    Design is OK.  &lt;-----</v>
      </c>
      <c r="F432" s="168"/>
      <c r="G432" s="171"/>
      <c r="I432" s="23"/>
      <c r="J432" s="171"/>
    </row>
    <row r="433" spans="2:10" x14ac:dyDescent="0.2">
      <c r="B433" s="168"/>
      <c r="F433" s="168"/>
      <c r="G433" s="171"/>
      <c r="I433" s="23"/>
      <c r="J433" s="171"/>
    </row>
    <row r="434" spans="2:10" x14ac:dyDescent="0.2">
      <c r="B434" s="168"/>
      <c r="F434" s="168"/>
      <c r="G434" s="171"/>
      <c r="I434" s="23"/>
      <c r="J434" s="171"/>
    </row>
    <row r="435" spans="2:10" x14ac:dyDescent="0.2">
      <c r="B435" s="168"/>
      <c r="F435" s="168"/>
      <c r="G435" s="171"/>
      <c r="I435" s="23"/>
      <c r="J435" s="171"/>
    </row>
    <row r="436" spans="2:10" x14ac:dyDescent="0.2">
      <c r="B436" s="403" t="s">
        <v>2013</v>
      </c>
      <c r="C436" s="244"/>
      <c r="D436" s="244"/>
      <c r="E436" s="244"/>
      <c r="F436" s="263"/>
      <c r="G436" s="247"/>
      <c r="H436" s="244"/>
      <c r="I436" s="404"/>
      <c r="J436" s="171"/>
    </row>
    <row r="437" spans="2:10" x14ac:dyDescent="0.2">
      <c r="B437" s="240"/>
      <c r="C437" s="217"/>
      <c r="D437" s="217"/>
      <c r="E437" s="217"/>
      <c r="F437" s="217"/>
      <c r="G437" s="217"/>
      <c r="H437" s="217"/>
      <c r="I437" s="186"/>
      <c r="J437" s="171"/>
    </row>
    <row r="438" spans="2:10" ht="13.5" x14ac:dyDescent="0.2">
      <c r="B438" s="240"/>
      <c r="C438" s="217"/>
      <c r="D438" s="395" t="s">
        <v>2019</v>
      </c>
      <c r="E438" s="395" t="s">
        <v>2015</v>
      </c>
      <c r="F438" s="395" t="s">
        <v>2021</v>
      </c>
      <c r="G438" s="395" t="s">
        <v>2018</v>
      </c>
      <c r="H438" s="187"/>
      <c r="I438" s="694" t="s">
        <v>2444</v>
      </c>
      <c r="J438" s="171"/>
    </row>
    <row r="439" spans="2:10" x14ac:dyDescent="0.2">
      <c r="B439" s="240"/>
      <c r="C439" s="217"/>
      <c r="D439" s="217"/>
      <c r="E439" s="217"/>
      <c r="F439" s="395" t="s">
        <v>214</v>
      </c>
      <c r="G439" s="395" t="s">
        <v>2016</v>
      </c>
      <c r="H439" s="396" t="s">
        <v>2017</v>
      </c>
      <c r="I439" s="250"/>
      <c r="J439" s="171"/>
    </row>
    <row r="440" spans="2:10" x14ac:dyDescent="0.2">
      <c r="B440" s="240"/>
      <c r="C440" s="395" t="s">
        <v>2014</v>
      </c>
      <c r="D440" s="217">
        <f>F27</f>
        <v>12</v>
      </c>
      <c r="E440" s="217">
        <f>F24</f>
        <v>5.75</v>
      </c>
      <c r="F440" s="217"/>
      <c r="G440" s="217">
        <f>F21</f>
        <v>650</v>
      </c>
      <c r="H440" s="187">
        <f>F20</f>
        <v>300</v>
      </c>
      <c r="I440" s="398">
        <f>D440*E440*(G440+H440)/2000</f>
        <v>32.774999999999999</v>
      </c>
      <c r="J440" s="171"/>
    </row>
    <row r="441" spans="2:10" x14ac:dyDescent="0.2">
      <c r="B441" s="240"/>
      <c r="C441" s="395" t="s">
        <v>2020</v>
      </c>
      <c r="D441" s="217">
        <f>F27</f>
        <v>12</v>
      </c>
      <c r="E441" s="217"/>
      <c r="F441" s="187">
        <f>F30</f>
        <v>5.9</v>
      </c>
      <c r="G441" s="399">
        <f>F22</f>
        <v>700</v>
      </c>
      <c r="H441" s="217"/>
      <c r="I441" s="400">
        <f>D441*F441*G441/1000</f>
        <v>49.560000000000009</v>
      </c>
      <c r="J441" s="171"/>
    </row>
    <row r="442" spans="2:10" x14ac:dyDescent="0.2">
      <c r="B442" s="265"/>
      <c r="C442" s="194"/>
      <c r="D442" s="194"/>
      <c r="E442" s="401" t="s">
        <v>2022</v>
      </c>
      <c r="F442" s="191"/>
      <c r="G442" s="195"/>
      <c r="H442" s="194"/>
      <c r="I442" s="402">
        <f>SUM(I440:I441)</f>
        <v>82.335000000000008</v>
      </c>
      <c r="J442" s="171"/>
    </row>
    <row r="443" spans="2:10" x14ac:dyDescent="0.2">
      <c r="B443" s="168"/>
      <c r="F443" s="168"/>
      <c r="G443" s="171"/>
      <c r="I443" s="23"/>
      <c r="J443" s="171"/>
    </row>
    <row r="444" spans="2:10" x14ac:dyDescent="0.2">
      <c r="B444" s="168"/>
      <c r="F444" s="168"/>
      <c r="G444" s="171"/>
      <c r="I444" s="23"/>
      <c r="J444" s="171"/>
    </row>
    <row r="445" spans="2:10" x14ac:dyDescent="0.2">
      <c r="B445" s="168"/>
      <c r="F445" s="168"/>
      <c r="G445" s="171"/>
      <c r="I445" s="23"/>
      <c r="J445" s="171"/>
    </row>
    <row r="446" spans="2:10" x14ac:dyDescent="0.2">
      <c r="B446" s="168"/>
      <c r="F446" s="168"/>
      <c r="G446" s="171"/>
      <c r="I446" s="23"/>
      <c r="J446" s="171"/>
    </row>
    <row r="447" spans="2:10" x14ac:dyDescent="0.2">
      <c r="B447" s="168"/>
      <c r="F447" s="168"/>
      <c r="G447" s="171"/>
      <c r="I447" s="23"/>
      <c r="J447" s="171"/>
    </row>
    <row r="448" spans="2:10" x14ac:dyDescent="0.2">
      <c r="B448" s="168"/>
      <c r="F448" s="168"/>
      <c r="G448" s="171"/>
      <c r="I448" s="23"/>
      <c r="J448" s="171"/>
    </row>
    <row r="449" spans="1:20" x14ac:dyDescent="0.2">
      <c r="B449" s="168"/>
      <c r="F449" s="168"/>
      <c r="G449" s="171"/>
      <c r="I449" s="23"/>
      <c r="J449" s="171"/>
    </row>
    <row r="450" spans="1:20" x14ac:dyDescent="0.2">
      <c r="B450" s="168"/>
      <c r="F450" s="168"/>
      <c r="G450" s="171"/>
      <c r="I450" s="23"/>
      <c r="J450" s="171"/>
    </row>
    <row r="451" spans="1:20" x14ac:dyDescent="0.2">
      <c r="B451" s="168"/>
      <c r="F451" s="168"/>
      <c r="G451" s="171"/>
      <c r="I451" s="23"/>
      <c r="J451" s="171"/>
    </row>
    <row r="452" spans="1:20" x14ac:dyDescent="0.2">
      <c r="B452" s="168"/>
      <c r="F452" s="168"/>
      <c r="G452" s="171"/>
      <c r="I452" s="23"/>
      <c r="J452" s="171"/>
    </row>
    <row r="453" spans="1:20" x14ac:dyDescent="0.2">
      <c r="B453" s="168"/>
      <c r="F453" s="168"/>
      <c r="G453" s="171"/>
      <c r="I453" s="23"/>
      <c r="J453" s="171"/>
    </row>
    <row r="454" spans="1:20" x14ac:dyDescent="0.2">
      <c r="B454" s="168"/>
      <c r="F454" s="168"/>
      <c r="G454" s="171"/>
      <c r="I454" s="23"/>
      <c r="J454" s="171"/>
    </row>
    <row r="457" spans="1:20" x14ac:dyDescent="0.2">
      <c r="B457" s="342" t="str">
        <f>B4</f>
        <v xml:space="preserve">RETURN WALL (R/S) </v>
      </c>
      <c r="C457" s="171"/>
      <c r="D457" s="30"/>
      <c r="E457" s="171"/>
      <c r="G457" s="169" t="str">
        <f>D2</f>
        <v>DR-5</v>
      </c>
    </row>
    <row r="458" spans="1:20" x14ac:dyDescent="0.2">
      <c r="A458" s="171"/>
      <c r="B458" s="206" t="s">
        <v>197</v>
      </c>
      <c r="C458" s="89"/>
      <c r="D458" s="89"/>
      <c r="E458" s="89"/>
      <c r="F458" s="89"/>
      <c r="H458" s="365" t="s">
        <v>1966</v>
      </c>
      <c r="I458" s="339" t="str">
        <f>G4</f>
        <v>1.50m x 1.80m</v>
      </c>
      <c r="J458" s="67"/>
      <c r="K458" s="89"/>
      <c r="L458" s="89"/>
      <c r="M458" s="89"/>
      <c r="N458" s="89"/>
      <c r="O458" s="89"/>
      <c r="P458" s="142"/>
      <c r="Q458" s="142"/>
      <c r="R458" s="142"/>
      <c r="S458" s="67"/>
      <c r="T458" s="40"/>
    </row>
    <row r="459" spans="1:20" x14ac:dyDescent="0.2">
      <c r="A459" s="171"/>
      <c r="B459" s="207"/>
      <c r="C459" s="40"/>
      <c r="D459" s="40"/>
      <c r="E459" s="40"/>
      <c r="F459" s="67"/>
      <c r="G459" s="40"/>
      <c r="H459" s="40"/>
      <c r="L459" s="40"/>
      <c r="M459" s="40"/>
      <c r="N459" s="67"/>
      <c r="O459" s="40"/>
      <c r="P459" s="40"/>
      <c r="Q459" s="40"/>
      <c r="R459" s="40"/>
      <c r="S459" s="208"/>
      <c r="T459" s="67"/>
    </row>
    <row r="460" spans="1:20" x14ac:dyDescent="0.2">
      <c r="A460" s="171"/>
      <c r="B460" s="67" t="s">
        <v>186</v>
      </c>
      <c r="C460" s="40"/>
      <c r="D460" s="67"/>
      <c r="E460" s="1487" t="s">
        <v>123</v>
      </c>
      <c r="F460" s="1488"/>
      <c r="G460" s="1488"/>
      <c r="H460" s="1489"/>
      <c r="I460" s="40"/>
      <c r="J460" s="40"/>
      <c r="K460" s="67"/>
      <c r="L460" s="67"/>
      <c r="M460" s="292"/>
      <c r="N460" s="292"/>
      <c r="O460" s="292"/>
      <c r="P460" s="292"/>
      <c r="Q460" s="40"/>
      <c r="R460" s="40"/>
      <c r="S460" s="209"/>
      <c r="T460" s="67"/>
    </row>
    <row r="461" spans="1:20" x14ac:dyDescent="0.2">
      <c r="A461" s="171"/>
      <c r="B461" s="143"/>
      <c r="C461" s="119"/>
      <c r="D461" s="1488" t="s">
        <v>303</v>
      </c>
      <c r="E461" s="1488"/>
      <c r="F461" s="120"/>
      <c r="G461" s="119"/>
      <c r="H461" s="1488" t="s">
        <v>304</v>
      </c>
      <c r="I461" s="1488"/>
      <c r="J461" s="120"/>
      <c r="K461" s="159"/>
      <c r="L461" s="292"/>
      <c r="M461" s="292"/>
      <c r="N461" s="72"/>
      <c r="O461" s="159"/>
      <c r="P461" s="292"/>
      <c r="Q461" s="292"/>
      <c r="R461" s="72"/>
      <c r="S461" s="208"/>
      <c r="T461" s="67"/>
    </row>
    <row r="462" spans="1:20" x14ac:dyDescent="0.2">
      <c r="A462" s="171"/>
      <c r="B462" s="144"/>
      <c r="C462" s="210" t="s">
        <v>299</v>
      </c>
      <c r="D462" s="211" t="s">
        <v>606</v>
      </c>
      <c r="E462" s="211" t="s">
        <v>321</v>
      </c>
      <c r="F462" s="211" t="s">
        <v>302</v>
      </c>
      <c r="G462" s="210" t="s">
        <v>299</v>
      </c>
      <c r="H462" s="211" t="s">
        <v>606</v>
      </c>
      <c r="I462" s="211" t="s">
        <v>321</v>
      </c>
      <c r="J462" s="211" t="s">
        <v>302</v>
      </c>
      <c r="K462" s="212"/>
      <c r="L462" s="124"/>
      <c r="M462" s="124"/>
      <c r="N462" s="124"/>
      <c r="O462" s="212"/>
      <c r="P462" s="124"/>
      <c r="Q462" s="124"/>
      <c r="R462" s="124"/>
      <c r="S462" s="208"/>
      <c r="T462" s="67"/>
    </row>
    <row r="463" spans="1:20" x14ac:dyDescent="0.2">
      <c r="A463" s="171"/>
      <c r="B463" s="109"/>
      <c r="C463" s="213" t="s">
        <v>607</v>
      </c>
      <c r="D463" s="213" t="s">
        <v>215</v>
      </c>
      <c r="E463" s="213" t="s">
        <v>215</v>
      </c>
      <c r="F463" s="213" t="s">
        <v>607</v>
      </c>
      <c r="G463" s="213" t="s">
        <v>607</v>
      </c>
      <c r="H463" s="213" t="s">
        <v>215</v>
      </c>
      <c r="I463" s="213" t="s">
        <v>215</v>
      </c>
      <c r="J463" s="213" t="s">
        <v>607</v>
      </c>
      <c r="K463" s="214"/>
      <c r="L463" s="214"/>
      <c r="M463" s="214"/>
      <c r="N463" s="214"/>
      <c r="O463" s="214"/>
      <c r="P463" s="214"/>
      <c r="Q463" s="214"/>
      <c r="R463" s="214"/>
      <c r="S463" s="67"/>
      <c r="T463" s="40"/>
    </row>
    <row r="464" spans="1:20" x14ac:dyDescent="0.2">
      <c r="A464" s="171"/>
      <c r="B464" s="215"/>
      <c r="C464" s="216"/>
      <c r="D464" s="217"/>
      <c r="E464" s="217"/>
      <c r="F464" s="186"/>
      <c r="G464" s="216"/>
      <c r="H464" s="217"/>
      <c r="I464" s="217"/>
      <c r="J464" s="186"/>
      <c r="K464" s="217"/>
      <c r="L464" s="217"/>
      <c r="M464" s="217"/>
      <c r="N464" s="217"/>
      <c r="O464" s="217"/>
      <c r="P464" s="217"/>
      <c r="Q464" s="217"/>
      <c r="R464" s="217"/>
      <c r="S464" s="175"/>
      <c r="T464" s="171"/>
    </row>
    <row r="465" spans="1:20" x14ac:dyDescent="0.2">
      <c r="A465" s="171"/>
      <c r="B465" s="218" t="s">
        <v>608</v>
      </c>
      <c r="C465" s="85">
        <f>H186</f>
        <v>950.00000000000011</v>
      </c>
      <c r="D465" s="35">
        <v>12</v>
      </c>
      <c r="E465" s="35">
        <v>200</v>
      </c>
      <c r="F465" s="87">
        <f>IF(E465=0,0,785.4*D465^2/E465)</f>
        <v>565.48799999999994</v>
      </c>
      <c r="G465" s="85">
        <f>H188</f>
        <v>570.00000000000011</v>
      </c>
      <c r="H465" s="35">
        <v>12</v>
      </c>
      <c r="I465" s="35">
        <v>300</v>
      </c>
      <c r="J465" s="87">
        <f>IF(I465=0,0,785.4*H465^2/I465)</f>
        <v>376.99199999999996</v>
      </c>
      <c r="K465" s="86"/>
      <c r="L465" s="35"/>
      <c r="M465" s="35"/>
      <c r="N465" s="86"/>
      <c r="O465" s="86"/>
      <c r="P465" s="35"/>
      <c r="Q465" s="35"/>
      <c r="R465" s="86"/>
      <c r="S465" s="178"/>
      <c r="T465" s="171"/>
    </row>
    <row r="466" spans="1:20" x14ac:dyDescent="0.2">
      <c r="A466" s="171"/>
      <c r="B466" s="215"/>
      <c r="C466" s="85"/>
      <c r="D466" s="19" t="s">
        <v>199</v>
      </c>
      <c r="E466" s="19" t="s">
        <v>199</v>
      </c>
      <c r="F466" s="87"/>
      <c r="G466" s="85"/>
      <c r="H466" s="19" t="s">
        <v>199</v>
      </c>
      <c r="I466" s="19" t="s">
        <v>199</v>
      </c>
      <c r="J466" s="87"/>
      <c r="K466" s="86"/>
      <c r="L466" s="86"/>
      <c r="M466" s="86"/>
      <c r="N466" s="86"/>
      <c r="O466" s="86"/>
      <c r="P466" s="86"/>
      <c r="Q466" s="86"/>
      <c r="R466" s="86"/>
      <c r="S466" s="175"/>
      <c r="T466" s="171"/>
    </row>
    <row r="467" spans="1:20" x14ac:dyDescent="0.2">
      <c r="A467" s="171"/>
      <c r="B467" s="218" t="s">
        <v>609</v>
      </c>
      <c r="C467" s="85">
        <f>H345</f>
        <v>950.00000000000011</v>
      </c>
      <c r="D467" s="35">
        <v>12</v>
      </c>
      <c r="E467" s="35">
        <v>200</v>
      </c>
      <c r="F467" s="87">
        <f>IF(E467=0,0,785.4*D467^2/E467)</f>
        <v>565.48799999999994</v>
      </c>
      <c r="G467" s="85">
        <f>H347</f>
        <v>570.00000000000011</v>
      </c>
      <c r="H467" s="35">
        <v>12</v>
      </c>
      <c r="I467" s="35">
        <v>300</v>
      </c>
      <c r="J467" s="87">
        <f>IF(I467=0,0,785.4*H467^2/I467)</f>
        <v>376.99199999999996</v>
      </c>
      <c r="K467" s="86"/>
      <c r="L467" s="35"/>
      <c r="M467" s="35"/>
      <c r="N467" s="86"/>
      <c r="O467" s="219"/>
      <c r="P467" s="219"/>
      <c r="Q467" s="219"/>
      <c r="R467" s="219"/>
      <c r="S467" s="220"/>
      <c r="T467" s="171"/>
    </row>
    <row r="468" spans="1:20" x14ac:dyDescent="0.2">
      <c r="A468" s="171"/>
      <c r="B468" s="215"/>
      <c r="C468" s="85"/>
      <c r="D468" s="19" t="s">
        <v>199</v>
      </c>
      <c r="E468" s="86"/>
      <c r="F468" s="87"/>
      <c r="G468" s="85"/>
      <c r="H468" s="19" t="s">
        <v>199</v>
      </c>
      <c r="I468" s="19" t="s">
        <v>199</v>
      </c>
      <c r="J468" s="87"/>
      <c r="K468" s="86"/>
      <c r="L468" s="86"/>
      <c r="M468" s="19"/>
      <c r="N468" s="86"/>
      <c r="O468" s="86"/>
      <c r="P468" s="86"/>
      <c r="Q468" s="86"/>
      <c r="R468" s="86"/>
      <c r="S468" s="175"/>
      <c r="T468" s="171"/>
    </row>
    <row r="469" spans="1:20" x14ac:dyDescent="0.2">
      <c r="A469" s="171"/>
      <c r="B469" s="221" t="s">
        <v>610</v>
      </c>
      <c r="C469" s="74">
        <f>H403</f>
        <v>950.00000000000011</v>
      </c>
      <c r="D469" s="118">
        <v>12</v>
      </c>
      <c r="E469" s="118">
        <v>200</v>
      </c>
      <c r="F469" s="76">
        <f>IF(E469=0,0,785.4*D469^2/E469)</f>
        <v>565.48799999999994</v>
      </c>
      <c r="G469" s="74">
        <f>H405</f>
        <v>570.00000000000011</v>
      </c>
      <c r="H469" s="118">
        <v>12</v>
      </c>
      <c r="I469" s="118">
        <v>300</v>
      </c>
      <c r="J469" s="76">
        <f>IF(I469=0,0,785.4*H469^2/I469)</f>
        <v>376.99199999999996</v>
      </c>
      <c r="K469" s="219"/>
      <c r="L469" s="219"/>
      <c r="M469" s="219"/>
      <c r="N469" s="219"/>
      <c r="O469" s="86"/>
      <c r="P469" s="35"/>
      <c r="Q469" s="35"/>
      <c r="R469" s="86"/>
      <c r="S469" s="220"/>
      <c r="T469" s="171"/>
    </row>
    <row r="470" spans="1:20" x14ac:dyDescent="0.2">
      <c r="A470" s="171"/>
      <c r="B470" s="222"/>
      <c r="C470" s="86"/>
      <c r="D470" s="35"/>
      <c r="E470" s="35"/>
      <c r="F470" s="86"/>
      <c r="G470" s="86"/>
      <c r="H470" s="35"/>
      <c r="I470" s="35"/>
      <c r="J470" s="86"/>
      <c r="K470" s="219"/>
      <c r="L470" s="219"/>
      <c r="M470" s="219"/>
      <c r="N470" s="219"/>
      <c r="O470" s="86"/>
      <c r="P470" s="35"/>
      <c r="Q470" s="35"/>
      <c r="R470" s="86"/>
      <c r="S470" s="220"/>
      <c r="T470" s="171"/>
    </row>
    <row r="471" spans="1:20" x14ac:dyDescent="0.2">
      <c r="A471" s="171"/>
      <c r="B471" s="222"/>
      <c r="C471" s="86"/>
      <c r="D471" s="35"/>
      <c r="E471" s="35"/>
      <c r="F471" s="86"/>
      <c r="G471" s="86"/>
      <c r="H471" s="35"/>
      <c r="I471" s="35"/>
      <c r="J471" s="86"/>
      <c r="K471" s="219"/>
      <c r="L471" s="219"/>
      <c r="M471" s="219"/>
      <c r="N471" s="219"/>
      <c r="O471" s="86"/>
      <c r="P471" s="35"/>
      <c r="Q471" s="35"/>
      <c r="R471" s="86"/>
      <c r="S471" s="220"/>
      <c r="T471" s="171"/>
    </row>
    <row r="472" spans="1:20" x14ac:dyDescent="0.2">
      <c r="A472" s="171"/>
      <c r="B472" s="222"/>
      <c r="C472" s="86"/>
      <c r="D472" s="35"/>
      <c r="E472" s="1490" t="s">
        <v>305</v>
      </c>
      <c r="F472" s="1491"/>
      <c r="G472" s="1491"/>
      <c r="H472" s="1492"/>
      <c r="I472" s="35"/>
      <c r="J472" s="86"/>
      <c r="K472" s="219"/>
      <c r="L472" s="219"/>
      <c r="M472" s="219"/>
      <c r="N472" s="219"/>
      <c r="O472" s="86"/>
      <c r="P472" s="35"/>
      <c r="Q472" s="35"/>
      <c r="R472" s="86"/>
      <c r="S472" s="220"/>
      <c r="T472" s="171"/>
    </row>
    <row r="473" spans="1:20" x14ac:dyDescent="0.2">
      <c r="A473" s="171"/>
      <c r="B473" s="143"/>
      <c r="C473" s="1493" t="s">
        <v>611</v>
      </c>
      <c r="D473" s="1494"/>
      <c r="E473" s="1494"/>
      <c r="F473" s="1495"/>
      <c r="G473" s="1493" t="s">
        <v>612</v>
      </c>
      <c r="H473" s="1494"/>
      <c r="I473" s="1494"/>
      <c r="J473" s="1495"/>
      <c r="K473" s="219"/>
      <c r="L473" s="219"/>
      <c r="M473" s="219"/>
      <c r="N473" s="219"/>
      <c r="O473" s="86"/>
      <c r="P473" s="35"/>
      <c r="Q473" s="35"/>
      <c r="R473" s="86"/>
      <c r="S473" s="220"/>
      <c r="T473" s="171"/>
    </row>
    <row r="474" spans="1:20" x14ac:dyDescent="0.2">
      <c r="A474" s="171"/>
      <c r="B474" s="144"/>
      <c r="C474" s="210" t="s">
        <v>299</v>
      </c>
      <c r="D474" s="211" t="s">
        <v>606</v>
      </c>
      <c r="E474" s="211" t="s">
        <v>321</v>
      </c>
      <c r="F474" s="211" t="s">
        <v>302</v>
      </c>
      <c r="G474" s="210" t="s">
        <v>299</v>
      </c>
      <c r="H474" s="211" t="s">
        <v>606</v>
      </c>
      <c r="I474" s="211" t="s">
        <v>321</v>
      </c>
      <c r="J474" s="211" t="s">
        <v>302</v>
      </c>
      <c r="K474" s="219"/>
      <c r="L474" s="219"/>
      <c r="M474" s="219"/>
      <c r="N474" s="219"/>
      <c r="O474" s="86"/>
      <c r="P474" s="35"/>
      <c r="Q474" s="35"/>
      <c r="R474" s="86"/>
      <c r="S474" s="220"/>
      <c r="T474" s="171"/>
    </row>
    <row r="475" spans="1:20" x14ac:dyDescent="0.2">
      <c r="A475" s="171"/>
      <c r="B475" s="109"/>
      <c r="C475" s="223" t="s">
        <v>607</v>
      </c>
      <c r="D475" s="223" t="s">
        <v>215</v>
      </c>
      <c r="E475" s="223" t="s">
        <v>215</v>
      </c>
      <c r="F475" s="223" t="s">
        <v>607</v>
      </c>
      <c r="G475" s="213" t="s">
        <v>607</v>
      </c>
      <c r="H475" s="213" t="s">
        <v>215</v>
      </c>
      <c r="I475" s="213" t="s">
        <v>215</v>
      </c>
      <c r="J475" s="213" t="s">
        <v>607</v>
      </c>
      <c r="K475" s="219"/>
      <c r="L475" s="219"/>
      <c r="M475" s="219"/>
      <c r="N475" s="219"/>
      <c r="O475" s="86"/>
      <c r="P475" s="35"/>
      <c r="Q475" s="35"/>
      <c r="R475" s="86"/>
      <c r="S475" s="220"/>
      <c r="T475" s="171"/>
    </row>
    <row r="476" spans="1:20" x14ac:dyDescent="0.2">
      <c r="A476" s="171"/>
      <c r="B476" s="216"/>
      <c r="C476" s="82"/>
      <c r="D476" s="151"/>
      <c r="E476" s="151"/>
      <c r="F476" s="84"/>
      <c r="G476" s="83"/>
      <c r="H476" s="151"/>
      <c r="I476" s="151"/>
      <c r="J476" s="84"/>
      <c r="K476" s="219"/>
      <c r="L476" s="219"/>
      <c r="M476" s="219"/>
      <c r="N476" s="219"/>
      <c r="O476" s="86"/>
      <c r="P476" s="35"/>
      <c r="Q476" s="35"/>
      <c r="R476" s="86"/>
      <c r="S476" s="220"/>
      <c r="T476" s="171"/>
    </row>
    <row r="477" spans="1:20" x14ac:dyDescent="0.2">
      <c r="A477" s="171"/>
      <c r="B477" s="185" t="s">
        <v>608</v>
      </c>
      <c r="C477" s="85">
        <f>$H$198</f>
        <v>570.00000000000011</v>
      </c>
      <c r="D477" s="35">
        <v>12</v>
      </c>
      <c r="E477" s="35">
        <v>200</v>
      </c>
      <c r="F477" s="87">
        <f>IF(E477=0,0,785.4*D477^2/E477)</f>
        <v>565.48799999999994</v>
      </c>
      <c r="G477" s="85">
        <f>$H$213</f>
        <v>3423.8187620444023</v>
      </c>
      <c r="H477" s="35">
        <v>16</v>
      </c>
      <c r="I477" s="35">
        <v>125</v>
      </c>
      <c r="J477" s="87">
        <f>IF(I477=0,0,785.4*H477^2/I477)</f>
        <v>1608.4992</v>
      </c>
      <c r="K477" s="219"/>
      <c r="L477" s="219"/>
      <c r="M477" s="219"/>
      <c r="N477" s="219"/>
      <c r="O477" s="86"/>
      <c r="P477" s="35"/>
      <c r="Q477" s="35"/>
      <c r="R477" s="86"/>
      <c r="S477" s="220"/>
      <c r="T477" s="171"/>
    </row>
    <row r="478" spans="1:20" x14ac:dyDescent="0.2">
      <c r="A478" s="171"/>
      <c r="B478" s="216"/>
      <c r="C478" s="85"/>
      <c r="D478" s="86"/>
      <c r="E478" s="86"/>
      <c r="F478" s="87"/>
      <c r="G478" s="85"/>
      <c r="H478" s="86"/>
      <c r="I478" s="86"/>
      <c r="J478" s="87"/>
      <c r="K478" s="219"/>
      <c r="L478" s="219"/>
      <c r="M478" s="219"/>
      <c r="N478" s="219"/>
      <c r="O478" s="86"/>
      <c r="P478" s="35"/>
      <c r="Q478" s="35"/>
      <c r="R478" s="86"/>
      <c r="S478" s="220"/>
      <c r="T478" s="171"/>
    </row>
    <row r="479" spans="1:20" x14ac:dyDescent="0.2">
      <c r="A479" s="171"/>
      <c r="B479" s="185" t="s">
        <v>609</v>
      </c>
      <c r="C479" s="85">
        <f>$H$361</f>
        <v>2015.4275458242162</v>
      </c>
      <c r="D479" s="35">
        <v>16</v>
      </c>
      <c r="E479" s="35">
        <v>150</v>
      </c>
      <c r="F479" s="87">
        <f>IF(E479=0,0,785.4*D479^2/E479)</f>
        <v>1340.4159999999999</v>
      </c>
      <c r="G479" s="224" t="s">
        <v>10</v>
      </c>
      <c r="H479" s="219" t="s">
        <v>10</v>
      </c>
      <c r="I479" s="219" t="s">
        <v>10</v>
      </c>
      <c r="J479" s="225" t="s">
        <v>10</v>
      </c>
      <c r="K479" s="219"/>
      <c r="L479" s="219"/>
      <c r="M479" s="219"/>
      <c r="N479" s="219"/>
      <c r="O479" s="86"/>
      <c r="P479" s="35"/>
      <c r="Q479" s="35"/>
      <c r="R479" s="86"/>
      <c r="S479" s="220"/>
      <c r="T479" s="171"/>
    </row>
    <row r="480" spans="1:20" x14ac:dyDescent="0.2">
      <c r="A480" s="171"/>
      <c r="B480" s="216"/>
      <c r="C480" s="85"/>
      <c r="D480" s="86"/>
      <c r="E480" s="19" t="s">
        <v>199</v>
      </c>
      <c r="F480" s="87"/>
      <c r="G480" s="85"/>
      <c r="H480" s="86"/>
      <c r="I480" s="86"/>
      <c r="J480" s="87"/>
      <c r="K480" s="219"/>
      <c r="L480" s="219"/>
      <c r="M480" s="219"/>
      <c r="N480" s="219"/>
      <c r="O480" s="86"/>
      <c r="P480" s="35"/>
      <c r="Q480" s="35"/>
      <c r="R480" s="86"/>
      <c r="S480" s="220"/>
      <c r="T480" s="171"/>
    </row>
    <row r="481" spans="1:26" x14ac:dyDescent="0.2">
      <c r="A481" s="171"/>
      <c r="B481" s="189" t="s">
        <v>610</v>
      </c>
      <c r="C481" s="226" t="s">
        <v>10</v>
      </c>
      <c r="D481" s="227" t="s">
        <v>10</v>
      </c>
      <c r="E481" s="227" t="s">
        <v>10</v>
      </c>
      <c r="F481" s="228" t="s">
        <v>10</v>
      </c>
      <c r="G481" s="74">
        <f>$H$421</f>
        <v>1546.3063076260489</v>
      </c>
      <c r="H481" s="118">
        <v>16</v>
      </c>
      <c r="I481" s="118">
        <v>150</v>
      </c>
      <c r="J481" s="76">
        <f>IF(I481=0,0,785.4*H481^2/I481)</f>
        <v>1340.4159999999999</v>
      </c>
      <c r="K481" s="30"/>
      <c r="L481" s="30"/>
      <c r="M481" s="30"/>
      <c r="N481" s="177"/>
      <c r="O481" s="30"/>
      <c r="P481" s="30"/>
      <c r="Q481" s="30"/>
      <c r="R481" s="30"/>
    </row>
    <row r="482" spans="1:26" x14ac:dyDescent="0.2">
      <c r="A482" s="171"/>
      <c r="B482" s="222"/>
      <c r="C482" s="219"/>
      <c r="D482" s="219"/>
      <c r="E482" s="219"/>
      <c r="F482" s="219"/>
      <c r="G482" s="86"/>
      <c r="H482" s="35"/>
      <c r="I482" s="35"/>
      <c r="J482" s="86"/>
      <c r="K482" s="30"/>
      <c r="L482" s="30"/>
      <c r="M482" s="30"/>
      <c r="N482" s="177"/>
      <c r="O482" s="30"/>
      <c r="P482" s="30"/>
      <c r="Q482" s="30"/>
      <c r="R482" s="30"/>
    </row>
    <row r="483" spans="1:26" ht="13.5" thickBot="1" x14ac:dyDescent="0.25">
      <c r="A483" s="171"/>
      <c r="B483" s="222"/>
      <c r="C483" s="86"/>
      <c r="D483" s="86"/>
      <c r="E483" s="86"/>
      <c r="F483" s="86"/>
      <c r="G483" s="30"/>
      <c r="H483" s="30"/>
      <c r="I483" s="30"/>
      <c r="J483" s="30"/>
      <c r="K483" s="30"/>
      <c r="L483" s="30"/>
      <c r="M483" s="30"/>
      <c r="N483" s="177"/>
      <c r="O483" s="30"/>
      <c r="P483" s="30"/>
      <c r="Q483" s="30"/>
      <c r="R483" s="30"/>
    </row>
    <row r="484" spans="1:26" x14ac:dyDescent="0.2">
      <c r="A484" s="423"/>
      <c r="B484" s="653" t="s">
        <v>613</v>
      </c>
      <c r="C484" s="424"/>
      <c r="D484" s="424"/>
      <c r="E484" s="424"/>
      <c r="F484" s="424"/>
      <c r="G484" s="424"/>
      <c r="H484" s="424"/>
      <c r="I484" s="424"/>
      <c r="J484" s="424"/>
      <c r="K484" s="425"/>
      <c r="O484" s="170"/>
      <c r="P484" s="170"/>
      <c r="Q484" s="170"/>
      <c r="R484" s="170"/>
      <c r="S484" s="170"/>
      <c r="T484" s="170"/>
      <c r="U484" s="170"/>
      <c r="V484" s="170"/>
      <c r="W484" s="170"/>
      <c r="X484" s="170"/>
      <c r="Y484" s="170"/>
      <c r="Z484" s="170"/>
    </row>
    <row r="485" spans="1:26" x14ac:dyDescent="0.2">
      <c r="A485" s="426"/>
      <c r="B485" s="217"/>
      <c r="C485" s="217"/>
      <c r="D485" s="217"/>
      <c r="E485" s="217"/>
      <c r="F485" s="217"/>
      <c r="G485" s="217"/>
      <c r="H485" s="217"/>
      <c r="I485" s="217"/>
      <c r="J485" s="217"/>
      <c r="K485" s="427"/>
    </row>
    <row r="486" spans="1:26" x14ac:dyDescent="0.2">
      <c r="A486" s="426"/>
      <c r="B486" s="654" t="s">
        <v>614</v>
      </c>
      <c r="C486" s="217"/>
      <c r="D486" s="217"/>
      <c r="E486" s="217"/>
      <c r="F486" s="217"/>
      <c r="G486" s="217"/>
      <c r="H486" s="217"/>
      <c r="I486" s="217"/>
      <c r="J486" s="217"/>
      <c r="K486" s="427"/>
      <c r="O486" s="170"/>
      <c r="P486" s="170"/>
      <c r="Q486" s="170"/>
      <c r="R486" s="170"/>
      <c r="S486" s="170"/>
      <c r="T486" s="170"/>
      <c r="U486" s="170"/>
      <c r="V486" s="170"/>
      <c r="W486" s="170"/>
      <c r="X486" s="170"/>
      <c r="Y486" s="170"/>
      <c r="Z486" s="170"/>
    </row>
    <row r="487" spans="1:26" x14ac:dyDescent="0.2">
      <c r="A487" s="426"/>
      <c r="B487" s="217"/>
      <c r="C487" s="222" t="s">
        <v>615</v>
      </c>
      <c r="D487" s="217"/>
      <c r="E487" s="217"/>
      <c r="F487" s="222"/>
      <c r="G487" s="187">
        <f>G114</f>
        <v>547.923</v>
      </c>
      <c r="H487" s="222" t="s">
        <v>57</v>
      </c>
      <c r="I487" s="217"/>
      <c r="J487" s="217"/>
      <c r="K487" s="427"/>
      <c r="O487" s="170"/>
      <c r="P487" s="170"/>
      <c r="Q487" s="170"/>
      <c r="R487" s="170"/>
      <c r="S487" s="170"/>
      <c r="T487" s="170"/>
      <c r="U487" s="170"/>
      <c r="V487" s="170"/>
      <c r="W487" s="170"/>
      <c r="X487" s="170"/>
      <c r="Y487" s="170"/>
      <c r="Z487" s="170"/>
    </row>
    <row r="488" spans="1:26" x14ac:dyDescent="0.2">
      <c r="A488" s="426"/>
      <c r="B488" s="217"/>
      <c r="C488" s="222" t="s">
        <v>616</v>
      </c>
      <c r="D488" s="217"/>
      <c r="E488" s="217"/>
      <c r="F488" s="222"/>
      <c r="G488" s="187">
        <f>I114</f>
        <v>2048.2361833333334</v>
      </c>
      <c r="H488" s="222" t="s">
        <v>58</v>
      </c>
      <c r="I488" s="217"/>
      <c r="J488" s="217"/>
      <c r="K488" s="427"/>
      <c r="O488" s="170"/>
      <c r="P488" s="170"/>
      <c r="Q488" s="170"/>
      <c r="R488" s="170"/>
      <c r="S488" s="170"/>
      <c r="T488" s="170"/>
      <c r="U488" s="170"/>
      <c r="V488" s="170"/>
      <c r="W488" s="170"/>
      <c r="X488" s="170"/>
      <c r="Y488" s="170"/>
      <c r="Z488" s="170"/>
    </row>
    <row r="489" spans="1:26" x14ac:dyDescent="0.2">
      <c r="A489" s="426"/>
      <c r="B489" s="217"/>
      <c r="C489" s="222" t="s">
        <v>617</v>
      </c>
      <c r="D489" s="217"/>
      <c r="E489" s="217"/>
      <c r="F489" s="222"/>
      <c r="G489" s="187">
        <f>H119</f>
        <v>462.70697504997906</v>
      </c>
      <c r="H489" s="222" t="s">
        <v>58</v>
      </c>
      <c r="I489" s="217"/>
      <c r="J489" s="217"/>
      <c r="K489" s="427"/>
      <c r="O489" s="170"/>
      <c r="P489" s="170"/>
      <c r="Q489" s="170"/>
      <c r="R489" s="170"/>
      <c r="S489" s="170"/>
      <c r="T489" s="170"/>
      <c r="U489" s="170"/>
      <c r="V489" s="170"/>
      <c r="W489" s="170"/>
      <c r="X489" s="170"/>
      <c r="Y489" s="170"/>
      <c r="Z489" s="170"/>
    </row>
    <row r="490" spans="1:26" x14ac:dyDescent="0.2">
      <c r="A490" s="426"/>
      <c r="B490" s="217"/>
      <c r="C490" s="217"/>
      <c r="D490" s="217"/>
      <c r="E490" s="217"/>
      <c r="F490" s="217"/>
      <c r="G490" s="217"/>
      <c r="H490" s="217"/>
      <c r="I490" s="217"/>
      <c r="J490" s="217"/>
      <c r="K490" s="427"/>
      <c r="O490" s="170"/>
      <c r="P490" s="170"/>
      <c r="Q490" s="170"/>
      <c r="R490" s="170"/>
      <c r="S490" s="170"/>
      <c r="T490" s="170"/>
      <c r="U490" s="170"/>
      <c r="V490" s="170"/>
      <c r="W490" s="170"/>
      <c r="X490" s="170"/>
      <c r="Y490" s="170"/>
      <c r="Z490" s="170"/>
    </row>
    <row r="491" spans="1:26" x14ac:dyDescent="0.2">
      <c r="A491" s="426"/>
      <c r="B491" s="217"/>
      <c r="C491" s="222" t="s">
        <v>618</v>
      </c>
      <c r="D491" s="217"/>
      <c r="E491" s="217"/>
      <c r="F491" s="222"/>
      <c r="G491" s="187">
        <f>H121</f>
        <v>4.4266377940641464</v>
      </c>
      <c r="H491" s="222" t="s">
        <v>619</v>
      </c>
      <c r="I491" s="217"/>
      <c r="J491" s="217"/>
      <c r="K491" s="427"/>
      <c r="O491" s="170"/>
      <c r="P491" s="170"/>
      <c r="Q491" s="170"/>
      <c r="R491" s="170"/>
      <c r="S491" s="170"/>
      <c r="T491" s="170"/>
      <c r="U491" s="170"/>
      <c r="V491" s="170"/>
      <c r="W491" s="170"/>
      <c r="X491" s="170"/>
      <c r="Y491" s="170"/>
      <c r="Z491" s="170"/>
    </row>
    <row r="492" spans="1:26" x14ac:dyDescent="0.2">
      <c r="A492" s="426"/>
      <c r="B492" s="217"/>
      <c r="C492" s="222" t="s">
        <v>620</v>
      </c>
      <c r="D492" s="217"/>
      <c r="E492" s="217"/>
      <c r="F492" s="222"/>
      <c r="G492" s="187">
        <f>H123</f>
        <v>1.2729810803832762</v>
      </c>
      <c r="H492" s="222" t="s">
        <v>619</v>
      </c>
      <c r="I492" s="217"/>
      <c r="J492" s="217"/>
      <c r="K492" s="427"/>
      <c r="O492" s="170"/>
      <c r="P492" s="170"/>
      <c r="Q492" s="170"/>
      <c r="R492" s="170"/>
      <c r="S492" s="170"/>
      <c r="T492" s="170"/>
      <c r="U492" s="170"/>
      <c r="V492" s="170"/>
      <c r="W492" s="170"/>
      <c r="X492" s="170"/>
      <c r="Y492" s="170"/>
      <c r="Z492" s="170"/>
    </row>
    <row r="493" spans="1:26" x14ac:dyDescent="0.2">
      <c r="A493" s="426"/>
      <c r="B493" s="217"/>
      <c r="C493" s="217"/>
      <c r="D493" s="217"/>
      <c r="E493" s="217"/>
      <c r="F493" s="217"/>
      <c r="G493" s="217"/>
      <c r="H493" s="217"/>
      <c r="I493" s="217"/>
      <c r="J493" s="217"/>
      <c r="K493" s="427"/>
      <c r="O493" s="170"/>
      <c r="P493" s="170"/>
      <c r="Q493" s="170"/>
      <c r="R493" s="170"/>
      <c r="S493" s="170"/>
      <c r="T493" s="170"/>
      <c r="U493" s="170"/>
      <c r="V493" s="170"/>
      <c r="W493" s="170"/>
      <c r="X493" s="170"/>
      <c r="Y493" s="170"/>
      <c r="Z493" s="170"/>
    </row>
    <row r="494" spans="1:26" x14ac:dyDescent="0.2">
      <c r="A494" s="426"/>
      <c r="B494" s="654" t="s">
        <v>621</v>
      </c>
      <c r="C494" s="217"/>
      <c r="D494" s="217"/>
      <c r="E494" s="217"/>
      <c r="F494" s="217"/>
      <c r="G494" s="217"/>
      <c r="H494" s="217"/>
      <c r="I494" s="217"/>
      <c r="J494" s="217"/>
      <c r="K494" s="427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</row>
    <row r="495" spans="1:26" x14ac:dyDescent="0.2">
      <c r="A495" s="426"/>
      <c r="B495" s="217"/>
      <c r="C495" s="222" t="s">
        <v>622</v>
      </c>
      <c r="D495" s="217"/>
      <c r="E495" s="217"/>
      <c r="F495" s="217"/>
      <c r="G495" s="187">
        <f>H134</f>
        <v>2.8937080726367652</v>
      </c>
      <c r="H495" s="222" t="s">
        <v>24</v>
      </c>
      <c r="I495" s="217"/>
      <c r="J495" s="217"/>
      <c r="K495" s="427"/>
      <c r="O495" s="170"/>
      <c r="P495" s="170"/>
      <c r="Q495" s="170"/>
      <c r="R495" s="170"/>
      <c r="S495" s="170"/>
      <c r="T495" s="170"/>
      <c r="U495" s="170"/>
      <c r="V495" s="170"/>
      <c r="W495" s="170"/>
      <c r="X495" s="170"/>
      <c r="Y495" s="170"/>
      <c r="Z495" s="170"/>
    </row>
    <row r="496" spans="1:26" x14ac:dyDescent="0.2">
      <c r="A496" s="426"/>
      <c r="B496" s="217"/>
      <c r="C496" s="222" t="s">
        <v>623</v>
      </c>
      <c r="D496" s="217"/>
      <c r="E496" s="217"/>
      <c r="F496" s="222"/>
      <c r="G496" s="187">
        <f>H135</f>
        <v>5.6291927363234961E-2</v>
      </c>
      <c r="H496" s="222" t="s">
        <v>24</v>
      </c>
      <c r="I496" s="217"/>
      <c r="J496" s="217"/>
      <c r="K496" s="427"/>
      <c r="O496" s="170"/>
      <c r="P496" s="170"/>
      <c r="Q496" s="170"/>
      <c r="R496" s="170"/>
      <c r="S496" s="170"/>
      <c r="T496" s="170"/>
      <c r="U496" s="170"/>
      <c r="V496" s="170"/>
      <c r="W496" s="170"/>
      <c r="X496" s="170"/>
      <c r="Y496" s="170"/>
      <c r="Z496" s="170"/>
    </row>
    <row r="497" spans="1:26" x14ac:dyDescent="0.2">
      <c r="A497" s="426"/>
      <c r="B497" s="217"/>
      <c r="C497" s="217"/>
      <c r="D497" s="217"/>
      <c r="E497" s="217"/>
      <c r="F497" s="217"/>
      <c r="G497" s="217"/>
      <c r="H497" s="217"/>
      <c r="I497" s="217"/>
      <c r="J497" s="217"/>
      <c r="K497" s="427"/>
      <c r="O497" s="170"/>
      <c r="P497" s="170"/>
      <c r="Q497" s="170"/>
      <c r="R497" s="170"/>
      <c r="S497" s="170"/>
      <c r="T497" s="170"/>
      <c r="U497" s="170"/>
      <c r="V497" s="170"/>
      <c r="W497" s="170"/>
      <c r="X497" s="170"/>
      <c r="Y497" s="170"/>
      <c r="Z497" s="170"/>
    </row>
    <row r="498" spans="1:26" x14ac:dyDescent="0.2">
      <c r="A498" s="426"/>
      <c r="B498" s="217"/>
      <c r="C498" s="222" t="s">
        <v>624</v>
      </c>
      <c r="D498" s="217"/>
      <c r="E498" s="217"/>
      <c r="F498" s="222"/>
      <c r="G498" s="187">
        <f>H142</f>
        <v>98.184646661875163</v>
      </c>
      <c r="H498" s="222" t="s">
        <v>35</v>
      </c>
      <c r="I498" s="217"/>
      <c r="J498" s="217"/>
      <c r="K498" s="427"/>
      <c r="O498" s="170"/>
      <c r="P498" s="170"/>
      <c r="Q498" s="170"/>
      <c r="R498" s="170"/>
      <c r="S498" s="170"/>
      <c r="T498" s="170"/>
      <c r="U498" s="170"/>
      <c r="V498" s="170"/>
      <c r="W498" s="170"/>
      <c r="X498" s="170"/>
      <c r="Y498" s="170"/>
      <c r="Z498" s="170"/>
    </row>
    <row r="499" spans="1:26" x14ac:dyDescent="0.2">
      <c r="A499" s="426"/>
      <c r="B499" s="217"/>
      <c r="C499" s="222" t="s">
        <v>625</v>
      </c>
      <c r="D499" s="217"/>
      <c r="E499" s="217"/>
      <c r="F499" s="222"/>
      <c r="G499" s="187">
        <f>H143</f>
        <v>87.55196350761635</v>
      </c>
      <c r="H499" s="222" t="s">
        <v>35</v>
      </c>
      <c r="I499" s="217"/>
      <c r="J499" s="217"/>
      <c r="K499" s="427"/>
      <c r="O499" s="170"/>
      <c r="P499" s="170"/>
      <c r="Q499" s="170"/>
      <c r="R499" s="170"/>
      <c r="S499" s="170"/>
      <c r="T499" s="170"/>
      <c r="U499" s="170"/>
      <c r="V499" s="170"/>
      <c r="W499" s="170"/>
      <c r="X499" s="170"/>
      <c r="Y499" s="170"/>
      <c r="Z499" s="170"/>
    </row>
    <row r="500" spans="1:26" x14ac:dyDescent="0.2">
      <c r="A500" s="655"/>
      <c r="B500" s="217"/>
      <c r="C500" s="217"/>
      <c r="D500" s="217"/>
      <c r="E500" s="217"/>
      <c r="F500" s="217"/>
      <c r="G500" s="217"/>
      <c r="H500" s="217"/>
      <c r="I500" s="217"/>
      <c r="J500" s="217"/>
      <c r="K500" s="427"/>
      <c r="O500" s="170"/>
      <c r="P500" s="170"/>
      <c r="Q500" s="170"/>
      <c r="R500" s="170"/>
      <c r="S500" s="170"/>
      <c r="T500" s="170"/>
      <c r="U500" s="170"/>
      <c r="V500" s="170"/>
      <c r="W500" s="170"/>
      <c r="X500" s="170"/>
      <c r="Y500" s="170"/>
      <c r="Z500" s="170"/>
    </row>
    <row r="501" spans="1:26" x14ac:dyDescent="0.2">
      <c r="A501" s="426"/>
      <c r="B501" s="654" t="s">
        <v>59</v>
      </c>
      <c r="C501" s="72"/>
      <c r="D501" s="72"/>
      <c r="E501" s="72"/>
      <c r="F501" s="72"/>
      <c r="G501" s="159"/>
      <c r="H501" s="72"/>
      <c r="I501" s="72"/>
      <c r="J501" s="217"/>
      <c r="K501" s="427"/>
      <c r="O501" s="170"/>
      <c r="P501" s="170"/>
      <c r="Q501" s="170"/>
      <c r="R501" s="170"/>
      <c r="S501" s="170"/>
      <c r="T501" s="170"/>
      <c r="U501" s="170"/>
      <c r="V501" s="170"/>
      <c r="W501" s="170"/>
      <c r="X501" s="170"/>
      <c r="Y501" s="170"/>
      <c r="Z501" s="170"/>
    </row>
    <row r="502" spans="1:26" x14ac:dyDescent="0.2">
      <c r="A502" s="426"/>
      <c r="B502" s="217"/>
      <c r="C502" s="72"/>
      <c r="D502" s="217"/>
      <c r="E502" s="217"/>
      <c r="F502" s="161"/>
      <c r="G502" s="1483" t="s">
        <v>626</v>
      </c>
      <c r="H502" s="1484"/>
      <c r="I502" s="161"/>
      <c r="J502" s="217"/>
      <c r="K502" s="427"/>
      <c r="O502" s="170"/>
      <c r="P502" s="170"/>
      <c r="Q502" s="170"/>
      <c r="R502" s="170"/>
      <c r="S502" s="170"/>
      <c r="T502" s="170"/>
      <c r="U502" s="170"/>
      <c r="V502" s="170"/>
      <c r="W502" s="170"/>
      <c r="X502" s="170"/>
      <c r="Y502" s="170"/>
      <c r="Z502" s="170"/>
    </row>
    <row r="503" spans="1:26" x14ac:dyDescent="0.2">
      <c r="A503" s="426"/>
      <c r="B503" s="161" t="s">
        <v>196</v>
      </c>
      <c r="C503" s="72"/>
      <c r="D503" s="68" t="s">
        <v>627</v>
      </c>
      <c r="E503" s="182" t="s">
        <v>628</v>
      </c>
      <c r="F503" s="229" t="s">
        <v>629</v>
      </c>
      <c r="G503" s="230"/>
      <c r="H503" s="231"/>
      <c r="I503" s="232" t="s">
        <v>630</v>
      </c>
      <c r="J503" s="217"/>
      <c r="K503" s="427"/>
      <c r="O503" s="170"/>
      <c r="P503" s="170"/>
      <c r="Q503" s="170"/>
      <c r="R503" s="170"/>
      <c r="S503" s="170"/>
      <c r="T503" s="170"/>
      <c r="U503" s="170"/>
      <c r="V503" s="170"/>
      <c r="W503" s="170"/>
      <c r="X503" s="170"/>
      <c r="Y503" s="170"/>
      <c r="Z503" s="170"/>
    </row>
    <row r="504" spans="1:26" x14ac:dyDescent="0.2">
      <c r="A504" s="426"/>
      <c r="B504" s="233"/>
      <c r="C504" s="116"/>
      <c r="D504" s="233"/>
      <c r="E504" s="69"/>
      <c r="F504" s="587" t="s">
        <v>631</v>
      </c>
      <c r="G504" s="234" t="s">
        <v>632</v>
      </c>
      <c r="H504" s="588" t="s">
        <v>633</v>
      </c>
      <c r="I504" s="235" t="s">
        <v>634</v>
      </c>
      <c r="J504" s="217"/>
      <c r="K504" s="427"/>
      <c r="O504" s="170"/>
      <c r="P504" s="170"/>
      <c r="Q504" s="170"/>
      <c r="R504" s="170"/>
      <c r="S504" s="170"/>
      <c r="T504" s="170"/>
      <c r="U504" s="170"/>
      <c r="V504" s="170"/>
      <c r="W504" s="170"/>
      <c r="X504" s="170"/>
      <c r="Y504" s="170"/>
      <c r="Z504" s="170"/>
    </row>
    <row r="505" spans="1:26" x14ac:dyDescent="0.2">
      <c r="A505" s="426"/>
      <c r="B505" s="236"/>
      <c r="C505" s="72"/>
      <c r="D505" s="237" t="s">
        <v>469</v>
      </c>
      <c r="E505" s="238" t="s">
        <v>468</v>
      </c>
      <c r="F505" s="237" t="s">
        <v>215</v>
      </c>
      <c r="G505" s="161" t="s">
        <v>215</v>
      </c>
      <c r="H505" s="238" t="s">
        <v>215</v>
      </c>
      <c r="I505" s="235" t="s">
        <v>215</v>
      </c>
      <c r="J505" s="217"/>
      <c r="K505" s="427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</row>
    <row r="506" spans="1:26" x14ac:dyDescent="0.2">
      <c r="A506" s="426"/>
      <c r="B506" s="239" t="s">
        <v>635</v>
      </c>
      <c r="C506" s="217"/>
      <c r="D506" s="240">
        <f>H155</f>
        <v>327.81621868800602</v>
      </c>
      <c r="E506" s="188">
        <f>H154</f>
        <v>171.03454888069879</v>
      </c>
      <c r="F506" s="85">
        <f>H162</f>
        <v>511.49418245561327</v>
      </c>
      <c r="G506" s="86">
        <f>H165</f>
        <v>399.00162398557023</v>
      </c>
      <c r="H506" s="87">
        <f>H168</f>
        <v>586.49418245561333</v>
      </c>
      <c r="I506" s="241">
        <f>H169</f>
        <v>650</v>
      </c>
      <c r="J506" s="217"/>
      <c r="K506" s="427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</row>
    <row r="507" spans="1:26" x14ac:dyDescent="0.2">
      <c r="A507" s="426"/>
      <c r="B507" s="239" t="s">
        <v>636</v>
      </c>
      <c r="C507" s="217"/>
      <c r="D507" s="240">
        <f>I316</f>
        <v>209.74858110379705</v>
      </c>
      <c r="E507" s="188">
        <f>I319</f>
        <v>294.06148443508016</v>
      </c>
      <c r="F507" s="85">
        <f>F325</f>
        <v>409.14287836819369</v>
      </c>
      <c r="G507" s="86">
        <f>F326</f>
        <v>686.00765523137659</v>
      </c>
      <c r="H507" s="87">
        <f>G330</f>
        <v>761.00765523137659</v>
      </c>
      <c r="I507" s="241">
        <f>G331</f>
        <v>700</v>
      </c>
      <c r="J507" s="217"/>
      <c r="K507" s="427"/>
      <c r="O507" s="170"/>
      <c r="P507" s="170"/>
      <c r="Q507" s="170"/>
      <c r="R507" s="170"/>
      <c r="S507" s="170"/>
      <c r="T507" s="170"/>
      <c r="U507" s="170"/>
      <c r="V507" s="170"/>
      <c r="W507" s="170"/>
      <c r="X507" s="170"/>
      <c r="Y507" s="170"/>
      <c r="Z507" s="170"/>
    </row>
    <row r="508" spans="1:26" x14ac:dyDescent="0.2">
      <c r="A508" s="426"/>
      <c r="B508" s="239" t="s">
        <v>610</v>
      </c>
      <c r="C508" s="217"/>
      <c r="D508" s="240">
        <f>I381</f>
        <v>160.92642707420032</v>
      </c>
      <c r="E508" s="188">
        <f>I383</f>
        <v>192.7649939494253</v>
      </c>
      <c r="F508" s="85">
        <f>F389</f>
        <v>358.37620389495453</v>
      </c>
      <c r="G508" s="86">
        <f>F390</f>
        <v>449.69595989076203</v>
      </c>
      <c r="H508" s="87">
        <f>G393</f>
        <v>524.69595989076197</v>
      </c>
      <c r="I508" s="241">
        <f>G394</f>
        <v>700</v>
      </c>
      <c r="J508" s="217"/>
      <c r="K508" s="427"/>
      <c r="O508" s="170"/>
      <c r="P508" s="170"/>
      <c r="Q508" s="170"/>
      <c r="R508" s="170"/>
      <c r="S508" s="170"/>
      <c r="T508" s="170"/>
      <c r="U508" s="170"/>
      <c r="V508" s="170"/>
      <c r="W508" s="170"/>
      <c r="X508" s="170"/>
      <c r="Y508" s="170"/>
      <c r="Z508" s="170"/>
    </row>
    <row r="509" spans="1:26" x14ac:dyDescent="0.2">
      <c r="A509" s="426"/>
      <c r="B509" s="183"/>
      <c r="C509" s="194"/>
      <c r="D509" s="183"/>
      <c r="E509" s="190"/>
      <c r="F509" s="74"/>
      <c r="G509" s="75"/>
      <c r="H509" s="76"/>
      <c r="I509" s="242"/>
      <c r="J509" s="217"/>
      <c r="K509" s="427"/>
      <c r="O509" s="170"/>
      <c r="P509" s="170"/>
      <c r="Q509" s="170"/>
      <c r="R509" s="170"/>
      <c r="S509" s="170"/>
      <c r="T509" s="170"/>
      <c r="U509" s="170"/>
      <c r="V509" s="170"/>
      <c r="W509" s="170"/>
      <c r="X509" s="170"/>
      <c r="Y509" s="170"/>
      <c r="Z509" s="170"/>
    </row>
    <row r="510" spans="1:26" x14ac:dyDescent="0.2">
      <c r="A510" s="426"/>
      <c r="B510" s="217"/>
      <c r="C510" s="222" t="s">
        <v>637</v>
      </c>
      <c r="D510" s="222" t="s">
        <v>638</v>
      </c>
      <c r="E510" s="217"/>
      <c r="F510" s="217"/>
      <c r="G510" s="217"/>
      <c r="H510" s="217"/>
      <c r="I510" s="217"/>
      <c r="J510" s="217"/>
      <c r="K510" s="427"/>
      <c r="O510" s="170"/>
      <c r="P510" s="170"/>
      <c r="Q510" s="170"/>
      <c r="R510" s="170"/>
      <c r="S510" s="170"/>
      <c r="T510" s="170"/>
      <c r="U510" s="170"/>
      <c r="V510" s="170"/>
      <c r="W510" s="170"/>
      <c r="X510" s="170"/>
      <c r="Y510" s="170"/>
      <c r="Z510" s="170"/>
    </row>
    <row r="511" spans="1:26" x14ac:dyDescent="0.2">
      <c r="A511" s="426"/>
      <c r="B511" s="217"/>
      <c r="C511" s="217"/>
      <c r="D511" s="222" t="s">
        <v>639</v>
      </c>
      <c r="E511" s="217"/>
      <c r="F511" s="217"/>
      <c r="G511" s="217"/>
      <c r="H511" s="217"/>
      <c r="I511" s="217"/>
      <c r="J511" s="217"/>
      <c r="K511" s="427"/>
      <c r="O511" s="170"/>
      <c r="P511" s="170"/>
      <c r="Q511" s="170"/>
      <c r="R511" s="170"/>
      <c r="S511" s="170"/>
      <c r="T511" s="170"/>
      <c r="U511" s="170"/>
      <c r="V511" s="170"/>
      <c r="W511" s="170"/>
      <c r="X511" s="170"/>
      <c r="Y511" s="170"/>
      <c r="Z511" s="170"/>
    </row>
    <row r="512" spans="1:26" x14ac:dyDescent="0.2">
      <c r="A512" s="426"/>
      <c r="B512" s="217"/>
      <c r="C512" s="217"/>
      <c r="D512" s="222"/>
      <c r="E512" s="217"/>
      <c r="F512" s="217"/>
      <c r="G512" s="217"/>
      <c r="H512" s="217"/>
      <c r="I512" s="217"/>
      <c r="J512" s="217"/>
      <c r="K512" s="427"/>
      <c r="O512" s="170"/>
      <c r="P512" s="170"/>
      <c r="Q512" s="170"/>
      <c r="R512" s="170"/>
      <c r="S512" s="170"/>
      <c r="T512" s="170"/>
      <c r="U512" s="170"/>
      <c r="V512" s="170"/>
      <c r="W512" s="170"/>
      <c r="X512" s="170"/>
      <c r="Y512" s="170"/>
      <c r="Z512" s="170"/>
    </row>
    <row r="513" spans="1:26" x14ac:dyDescent="0.2">
      <c r="A513" s="426"/>
      <c r="B513" s="217"/>
      <c r="C513" s="217"/>
      <c r="D513" s="222"/>
      <c r="E513" s="217"/>
      <c r="F513" s="217"/>
      <c r="G513" s="217"/>
      <c r="H513" s="217"/>
      <c r="I513" s="217"/>
      <c r="J513" s="217"/>
      <c r="K513" s="427"/>
      <c r="O513" s="170"/>
      <c r="P513" s="170"/>
      <c r="Q513" s="170"/>
      <c r="R513" s="170"/>
      <c r="S513" s="170"/>
      <c r="T513" s="170"/>
      <c r="U513" s="170"/>
      <c r="V513" s="170"/>
      <c r="W513" s="170"/>
      <c r="X513" s="170"/>
      <c r="Y513" s="170"/>
      <c r="Z513" s="170"/>
    </row>
    <row r="514" spans="1:26" ht="13.5" thickBot="1" x14ac:dyDescent="0.25">
      <c r="A514" s="429"/>
      <c r="B514" s="430"/>
      <c r="C514" s="430"/>
      <c r="D514" s="467"/>
      <c r="E514" s="430"/>
      <c r="F514" s="430"/>
      <c r="G514" s="430"/>
      <c r="H514" s="430"/>
      <c r="I514" s="430"/>
      <c r="J514" s="430"/>
      <c r="K514" s="489" t="s">
        <v>2426</v>
      </c>
      <c r="O514" s="170"/>
      <c r="P514" s="170"/>
      <c r="Q514" s="170"/>
      <c r="R514" s="170"/>
      <c r="S514" s="170"/>
      <c r="T514" s="170"/>
      <c r="U514" s="170"/>
      <c r="V514" s="170"/>
      <c r="W514" s="170"/>
      <c r="X514" s="170"/>
      <c r="Y514" s="170"/>
      <c r="Z514" s="170"/>
    </row>
    <row r="515" spans="1:26" x14ac:dyDescent="0.2">
      <c r="D515" s="171"/>
      <c r="O515" s="170"/>
      <c r="P515" s="170"/>
      <c r="Q515" s="170"/>
      <c r="R515" s="170"/>
      <c r="S515" s="170"/>
      <c r="T515" s="170"/>
      <c r="U515" s="170"/>
      <c r="V515" s="170"/>
      <c r="W515" s="170"/>
      <c r="X515" s="170"/>
      <c r="Y515" s="170"/>
      <c r="Z515" s="170"/>
    </row>
    <row r="516" spans="1:26" x14ac:dyDescent="0.2">
      <c r="D516" s="171"/>
      <c r="O516" s="170"/>
      <c r="P516" s="170"/>
      <c r="Q516" s="170"/>
      <c r="R516" s="170"/>
      <c r="S516" s="170"/>
      <c r="T516" s="170"/>
      <c r="U516" s="170"/>
      <c r="V516" s="170"/>
      <c r="W516" s="170"/>
      <c r="X516" s="170"/>
      <c r="Y516" s="170"/>
      <c r="Z516" s="170"/>
    </row>
    <row r="517" spans="1:26" x14ac:dyDescent="0.2">
      <c r="D517" s="171"/>
      <c r="O517" s="170"/>
      <c r="P517" s="170"/>
      <c r="Q517" s="170"/>
      <c r="R517" s="170"/>
      <c r="S517" s="170"/>
      <c r="T517" s="170"/>
      <c r="U517" s="170"/>
      <c r="V517" s="170"/>
      <c r="W517" s="170"/>
      <c r="X517" s="170"/>
      <c r="Y517" s="170"/>
      <c r="Z517" s="170"/>
    </row>
    <row r="518" spans="1:26" x14ac:dyDescent="0.2">
      <c r="D518" s="171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</row>
    <row r="519" spans="1:26" x14ac:dyDescent="0.2">
      <c r="D519" s="171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</row>
    <row r="520" spans="1:26" ht="13.5" thickBot="1" x14ac:dyDescent="0.25">
      <c r="D520" s="171"/>
      <c r="O520" s="170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</row>
    <row r="521" spans="1:26" x14ac:dyDescent="0.2">
      <c r="A521" s="423"/>
      <c r="B521" s="424"/>
      <c r="C521" s="424"/>
      <c r="D521" s="466"/>
      <c r="E521" s="424"/>
      <c r="F521" s="424"/>
      <c r="G521" s="424"/>
      <c r="H521" s="424"/>
      <c r="I521" s="424"/>
      <c r="J521" s="424"/>
      <c r="K521" s="425"/>
      <c r="O521" s="170"/>
      <c r="P521" s="170"/>
      <c r="Q521" s="170"/>
      <c r="R521" s="170"/>
      <c r="S521" s="170"/>
      <c r="T521" s="170"/>
      <c r="U521" s="170"/>
      <c r="V521" s="170"/>
      <c r="W521" s="170"/>
      <c r="X521" s="170"/>
      <c r="Y521" s="170"/>
      <c r="Z521" s="170"/>
    </row>
    <row r="522" spans="1:26" x14ac:dyDescent="0.2">
      <c r="A522" s="426"/>
      <c r="B522" s="654" t="s">
        <v>640</v>
      </c>
      <c r="C522" s="217"/>
      <c r="D522" s="217"/>
      <c r="E522" s="217"/>
      <c r="F522" s="217"/>
      <c r="G522" s="217"/>
      <c r="H522" s="217" t="str">
        <f>B457</f>
        <v xml:space="preserve">RETURN WALL (R/S) </v>
      </c>
      <c r="I522" s="217"/>
      <c r="J522" s="217"/>
      <c r="K522" s="427"/>
      <c r="O522" s="170"/>
      <c r="P522" s="170"/>
      <c r="Q522" s="170"/>
      <c r="R522" s="170"/>
      <c r="S522" s="170"/>
      <c r="T522" s="170"/>
      <c r="U522" s="170"/>
      <c r="V522" s="170"/>
      <c r="W522" s="170"/>
      <c r="X522" s="170"/>
      <c r="Y522" s="170"/>
      <c r="Z522" s="170"/>
    </row>
    <row r="523" spans="1:26" x14ac:dyDescent="0.2">
      <c r="A523" s="426"/>
      <c r="B523" s="217"/>
      <c r="C523" s="217"/>
      <c r="D523" s="217"/>
      <c r="E523" s="217"/>
      <c r="F523" s="217"/>
      <c r="G523" s="217"/>
      <c r="H523" s="217"/>
      <c r="I523" s="217"/>
      <c r="J523" s="217"/>
      <c r="K523" s="427"/>
      <c r="O523" s="170"/>
      <c r="P523" s="170"/>
      <c r="Q523" s="170"/>
      <c r="R523" s="170"/>
      <c r="S523" s="170"/>
      <c r="T523" s="170"/>
      <c r="U523" s="170"/>
      <c r="V523" s="170"/>
      <c r="W523" s="170"/>
      <c r="X523" s="170"/>
      <c r="Y523" s="170"/>
      <c r="Z523" s="170"/>
    </row>
    <row r="524" spans="1:26" x14ac:dyDescent="0.2">
      <c r="A524" s="426"/>
      <c r="B524" s="528" t="s">
        <v>641</v>
      </c>
      <c r="C524" s="244"/>
      <c r="D524" s="244"/>
      <c r="E524" s="1485" t="s">
        <v>642</v>
      </c>
      <c r="F524" s="1486"/>
      <c r="G524" s="244"/>
      <c r="H524" s="529" t="s">
        <v>2368</v>
      </c>
      <c r="I524" s="245"/>
      <c r="J524" s="217"/>
      <c r="K524" s="427"/>
      <c r="O524" s="170"/>
      <c r="P524" s="170"/>
      <c r="Q524" s="170"/>
      <c r="R524" s="170"/>
      <c r="S524" s="170"/>
      <c r="T524" s="170"/>
      <c r="U524" s="170"/>
      <c r="V524" s="170"/>
      <c r="W524" s="170"/>
      <c r="X524" s="170"/>
      <c r="Y524" s="170"/>
      <c r="Z524" s="170"/>
    </row>
    <row r="525" spans="1:26" x14ac:dyDescent="0.2">
      <c r="A525" s="426"/>
      <c r="B525" s="216"/>
      <c r="C525" s="217"/>
      <c r="D525" s="217"/>
      <c r="E525" s="243" t="s">
        <v>643</v>
      </c>
      <c r="F525" s="246" t="s">
        <v>644</v>
      </c>
      <c r="G525" s="243" t="s">
        <v>645</v>
      </c>
      <c r="H525" s="247" t="s">
        <v>646</v>
      </c>
      <c r="I525" s="248" t="s">
        <v>647</v>
      </c>
      <c r="J525" s="217"/>
      <c r="K525" s="427"/>
      <c r="O525" s="170"/>
      <c r="P525" s="170"/>
      <c r="Q525" s="170"/>
      <c r="R525" s="170"/>
      <c r="S525" s="170"/>
      <c r="T525" s="170"/>
      <c r="U525" s="170"/>
      <c r="V525" s="170"/>
      <c r="W525" s="170"/>
      <c r="X525" s="170"/>
      <c r="Y525" s="170"/>
      <c r="Z525" s="170"/>
    </row>
    <row r="526" spans="1:26" x14ac:dyDescent="0.2">
      <c r="A526" s="426"/>
      <c r="B526" s="216"/>
      <c r="C526" s="217"/>
      <c r="D526" s="217"/>
      <c r="E526" s="216"/>
      <c r="F526" s="217"/>
      <c r="G526" s="185" t="s">
        <v>648</v>
      </c>
      <c r="H526" s="249" t="s">
        <v>649</v>
      </c>
      <c r="I526" s="250" t="s">
        <v>650</v>
      </c>
      <c r="J526" s="217"/>
      <c r="K526" s="427"/>
      <c r="O526" s="170"/>
      <c r="P526" s="170"/>
      <c r="Q526" s="170"/>
      <c r="R526" s="170"/>
      <c r="S526" s="170"/>
      <c r="T526" s="170"/>
      <c r="U526" s="170"/>
      <c r="V526" s="170"/>
      <c r="W526" s="170"/>
      <c r="X526" s="170"/>
      <c r="Y526" s="170"/>
      <c r="Z526" s="170"/>
    </row>
    <row r="527" spans="1:26" x14ac:dyDescent="0.2">
      <c r="A527" s="426"/>
      <c r="B527" s="251"/>
      <c r="C527" s="217"/>
      <c r="D527" s="217"/>
      <c r="E527" s="252" t="s">
        <v>651</v>
      </c>
      <c r="F527" s="253" t="s">
        <v>651</v>
      </c>
      <c r="G527" s="252" t="s">
        <v>215</v>
      </c>
      <c r="H527" s="195" t="s">
        <v>652</v>
      </c>
      <c r="I527" s="254" t="s">
        <v>651</v>
      </c>
      <c r="J527" s="217"/>
      <c r="K527" s="427"/>
      <c r="O527" s="170"/>
      <c r="P527" s="170"/>
      <c r="Q527" s="170"/>
      <c r="R527" s="170"/>
      <c r="S527" s="170"/>
      <c r="T527" s="170"/>
      <c r="U527" s="170"/>
      <c r="V527" s="170"/>
      <c r="W527" s="170"/>
      <c r="X527" s="170"/>
      <c r="Y527" s="170"/>
      <c r="Z527" s="170"/>
    </row>
    <row r="528" spans="1:26" x14ac:dyDescent="0.2">
      <c r="A528" s="426"/>
      <c r="B528" s="239" t="s">
        <v>635</v>
      </c>
      <c r="C528" s="255" t="s">
        <v>653</v>
      </c>
      <c r="D528" s="245"/>
      <c r="E528" s="86"/>
      <c r="F528" s="86">
        <f>H198</f>
        <v>570.00000000000011</v>
      </c>
      <c r="G528" s="85">
        <f>C199</f>
        <v>16</v>
      </c>
      <c r="H528" s="86">
        <f>E199</f>
        <v>200</v>
      </c>
      <c r="I528" s="87">
        <f>H199</f>
        <v>1005.312</v>
      </c>
      <c r="J528" s="217"/>
      <c r="K528" s="427"/>
      <c r="O528" s="170"/>
      <c r="P528" s="170"/>
      <c r="Q528" s="170"/>
      <c r="R528" s="170"/>
      <c r="S528" s="170"/>
      <c r="T528" s="170"/>
      <c r="U528" s="170"/>
      <c r="V528" s="170"/>
      <c r="W528" s="170"/>
      <c r="X528" s="170"/>
      <c r="Y528" s="170"/>
      <c r="Z528" s="170"/>
    </row>
    <row r="529" spans="1:26" x14ac:dyDescent="0.2">
      <c r="A529" s="426"/>
      <c r="B529" s="216"/>
      <c r="C529" s="185" t="s">
        <v>654</v>
      </c>
      <c r="D529" s="186"/>
      <c r="E529" s="86">
        <f>H213</f>
        <v>3423.8187620444023</v>
      </c>
      <c r="F529" s="256" t="s">
        <v>10</v>
      </c>
      <c r="G529" s="611">
        <f>C215</f>
        <v>25</v>
      </c>
      <c r="H529" s="612">
        <f>E215</f>
        <v>125</v>
      </c>
      <c r="I529" s="613">
        <f>H215</f>
        <v>3927</v>
      </c>
      <c r="J529" s="217"/>
      <c r="K529" s="427"/>
      <c r="O529" s="170"/>
      <c r="P529" s="170"/>
      <c r="Q529" s="170"/>
      <c r="R529" s="170"/>
      <c r="S529" s="170"/>
      <c r="T529" s="170"/>
      <c r="U529" s="170"/>
      <c r="V529" s="170"/>
      <c r="W529" s="170"/>
      <c r="X529" s="170"/>
      <c r="Y529" s="170"/>
      <c r="Z529" s="170"/>
    </row>
    <row r="530" spans="1:26" x14ac:dyDescent="0.2">
      <c r="A530" s="426"/>
      <c r="B530" s="216"/>
      <c r="C530" s="185" t="s">
        <v>655</v>
      </c>
      <c r="D530" s="186"/>
      <c r="E530" s="86"/>
      <c r="F530" s="86">
        <f>H186</f>
        <v>950.00000000000011</v>
      </c>
      <c r="G530" s="85">
        <f>C187</f>
        <v>16</v>
      </c>
      <c r="H530" s="86">
        <f>E187</f>
        <v>200</v>
      </c>
      <c r="I530" s="87">
        <f>H187</f>
        <v>1005.312</v>
      </c>
      <c r="J530" s="217"/>
      <c r="K530" s="427"/>
      <c r="O530" s="170"/>
      <c r="P530" s="170"/>
      <c r="Q530" s="170"/>
      <c r="R530" s="170"/>
      <c r="S530" s="170"/>
      <c r="T530" s="170"/>
      <c r="U530" s="170"/>
      <c r="V530" s="170"/>
      <c r="W530" s="170"/>
      <c r="X530" s="170"/>
      <c r="Y530" s="170"/>
      <c r="Z530" s="170"/>
    </row>
    <row r="531" spans="1:26" x14ac:dyDescent="0.2">
      <c r="A531" s="426"/>
      <c r="B531" s="216"/>
      <c r="C531" s="185" t="s">
        <v>656</v>
      </c>
      <c r="D531" s="186"/>
      <c r="E531" s="86"/>
      <c r="F531" s="86">
        <f>H188</f>
        <v>570.00000000000011</v>
      </c>
      <c r="G531" s="85">
        <f>C189</f>
        <v>16</v>
      </c>
      <c r="H531" s="86">
        <f>E189</f>
        <v>250</v>
      </c>
      <c r="I531" s="87">
        <f>H189</f>
        <v>804.24959999999999</v>
      </c>
      <c r="J531" s="217"/>
      <c r="K531" s="427"/>
      <c r="O531" s="170"/>
      <c r="P531" s="170"/>
      <c r="Q531" s="170"/>
      <c r="R531" s="170"/>
      <c r="S531" s="170"/>
      <c r="T531" s="170"/>
      <c r="U531" s="170"/>
      <c r="V531" s="170"/>
      <c r="W531" s="170"/>
      <c r="X531" s="170"/>
      <c r="Y531" s="170"/>
      <c r="Z531" s="170"/>
    </row>
    <row r="532" spans="1:26" x14ac:dyDescent="0.2">
      <c r="A532" s="426"/>
      <c r="B532" s="216"/>
      <c r="C532" s="216"/>
      <c r="D532" s="186"/>
      <c r="E532" s="217"/>
      <c r="F532" s="217"/>
      <c r="G532" s="216"/>
      <c r="H532" s="217"/>
      <c r="I532" s="186"/>
      <c r="J532" s="217"/>
      <c r="K532" s="427"/>
      <c r="O532" s="170"/>
      <c r="P532" s="170"/>
      <c r="Q532" s="170"/>
      <c r="R532" s="170"/>
      <c r="S532" s="170"/>
      <c r="T532" s="170"/>
      <c r="U532" s="170"/>
      <c r="V532" s="170"/>
      <c r="W532" s="170"/>
      <c r="X532" s="170"/>
      <c r="Y532" s="170"/>
      <c r="Z532" s="170"/>
    </row>
    <row r="533" spans="1:26" x14ac:dyDescent="0.2">
      <c r="A533" s="426"/>
      <c r="B533" s="239" t="s">
        <v>636</v>
      </c>
      <c r="C533" s="185" t="s">
        <v>657</v>
      </c>
      <c r="D533" s="186"/>
      <c r="E533" s="86">
        <f>H361</f>
        <v>2015.4275458242162</v>
      </c>
      <c r="F533" s="256" t="s">
        <v>10</v>
      </c>
      <c r="G533" s="611">
        <f>C362</f>
        <v>20</v>
      </c>
      <c r="H533" s="612">
        <f>E362</f>
        <v>150</v>
      </c>
      <c r="I533" s="613">
        <f>H362</f>
        <v>2094.4</v>
      </c>
      <c r="J533" s="217"/>
      <c r="K533" s="427"/>
      <c r="O533" s="170"/>
      <c r="P533" s="170"/>
      <c r="Q533" s="170"/>
      <c r="R533" s="170"/>
      <c r="S533" s="170"/>
      <c r="T533" s="170"/>
      <c r="U533" s="170"/>
      <c r="V533" s="170"/>
      <c r="W533" s="170"/>
      <c r="X533" s="170"/>
      <c r="Y533" s="170"/>
      <c r="Z533" s="170"/>
    </row>
    <row r="534" spans="1:26" x14ac:dyDescent="0.2">
      <c r="A534" s="426"/>
      <c r="B534" s="216"/>
      <c r="C534" s="185" t="s">
        <v>658</v>
      </c>
      <c r="D534" s="186"/>
      <c r="E534" s="86"/>
      <c r="F534" s="86">
        <f>H345</f>
        <v>950.00000000000011</v>
      </c>
      <c r="G534" s="85">
        <f>C348</f>
        <v>12</v>
      </c>
      <c r="H534" s="86">
        <f>E348</f>
        <v>200</v>
      </c>
      <c r="I534" s="87">
        <f>H348</f>
        <v>565.48799999999994</v>
      </c>
      <c r="J534" s="217"/>
      <c r="K534" s="427"/>
      <c r="O534" s="170"/>
      <c r="P534" s="170"/>
      <c r="Q534" s="170"/>
      <c r="R534" s="170"/>
      <c r="S534" s="170"/>
      <c r="T534" s="170"/>
      <c r="U534" s="170"/>
      <c r="V534" s="170"/>
      <c r="W534" s="170"/>
      <c r="X534" s="170"/>
      <c r="Y534" s="170"/>
      <c r="Z534" s="170"/>
    </row>
    <row r="535" spans="1:26" x14ac:dyDescent="0.2">
      <c r="A535" s="426"/>
      <c r="B535" s="216"/>
      <c r="C535" s="185" t="s">
        <v>659</v>
      </c>
      <c r="D535" s="186"/>
      <c r="E535" s="86"/>
      <c r="F535" s="86">
        <f>H359</f>
        <v>380</v>
      </c>
      <c r="G535" s="85">
        <v>12</v>
      </c>
      <c r="H535" s="86">
        <f>E362</f>
        <v>150</v>
      </c>
      <c r="I535" s="87">
        <f>785.4*G535^2/H535</f>
        <v>753.98399999999992</v>
      </c>
      <c r="J535" s="217"/>
      <c r="K535" s="427"/>
      <c r="O535" s="170"/>
      <c r="P535" s="170"/>
      <c r="Q535" s="170"/>
      <c r="R535" s="170"/>
      <c r="S535" s="170"/>
      <c r="T535" s="170"/>
      <c r="U535" s="170"/>
      <c r="V535" s="170"/>
      <c r="W535" s="170"/>
      <c r="X535" s="170"/>
      <c r="Y535" s="170"/>
      <c r="Z535" s="170"/>
    </row>
    <row r="536" spans="1:26" x14ac:dyDescent="0.2">
      <c r="A536" s="426"/>
      <c r="B536" s="216"/>
      <c r="C536" s="185" t="s">
        <v>660</v>
      </c>
      <c r="D536" s="186"/>
      <c r="E536" s="86"/>
      <c r="F536" s="86">
        <f>H347</f>
        <v>570.00000000000011</v>
      </c>
      <c r="G536" s="85">
        <f>C348</f>
        <v>12</v>
      </c>
      <c r="H536" s="86">
        <f>E348</f>
        <v>200</v>
      </c>
      <c r="I536" s="87">
        <f>H348</f>
        <v>565.48799999999994</v>
      </c>
      <c r="J536" s="217"/>
      <c r="K536" s="427"/>
      <c r="O536" s="170"/>
      <c r="P536" s="170"/>
      <c r="Q536" s="170"/>
      <c r="R536" s="170"/>
      <c r="S536" s="170"/>
      <c r="T536" s="170"/>
      <c r="U536" s="170"/>
      <c r="V536" s="170"/>
      <c r="W536" s="170"/>
      <c r="X536" s="170"/>
      <c r="Y536" s="170"/>
      <c r="Z536" s="170"/>
    </row>
    <row r="537" spans="1:26" x14ac:dyDescent="0.2">
      <c r="A537" s="426"/>
      <c r="B537" s="216"/>
      <c r="C537" s="216"/>
      <c r="D537" s="186"/>
      <c r="E537" s="86"/>
      <c r="F537" s="217"/>
      <c r="G537" s="216"/>
      <c r="H537" s="217"/>
      <c r="I537" s="186"/>
      <c r="J537" s="217"/>
      <c r="K537" s="427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</row>
    <row r="538" spans="1:26" x14ac:dyDescent="0.2">
      <c r="A538" s="426"/>
      <c r="B538" s="185" t="s">
        <v>661</v>
      </c>
      <c r="C538" s="185" t="s">
        <v>662</v>
      </c>
      <c r="D538" s="186"/>
      <c r="E538" s="86">
        <f>H421</f>
        <v>1546.3063076260489</v>
      </c>
      <c r="F538" s="256" t="s">
        <v>10</v>
      </c>
      <c r="G538" s="611">
        <f>C422</f>
        <v>20</v>
      </c>
      <c r="H538" s="612">
        <f>E422</f>
        <v>175</v>
      </c>
      <c r="I538" s="613">
        <f>H422</f>
        <v>1795.2</v>
      </c>
      <c r="J538" s="217"/>
      <c r="K538" s="427"/>
      <c r="O538" s="170"/>
      <c r="P538" s="170"/>
      <c r="Q538" s="170"/>
      <c r="R538" s="170"/>
      <c r="S538" s="170"/>
      <c r="T538" s="170"/>
      <c r="U538" s="170"/>
      <c r="V538" s="170"/>
      <c r="W538" s="170"/>
      <c r="X538" s="170"/>
      <c r="Y538" s="170"/>
      <c r="Z538" s="170"/>
    </row>
    <row r="539" spans="1:26" x14ac:dyDescent="0.2">
      <c r="A539" s="426"/>
      <c r="B539" s="216"/>
      <c r="C539" s="185" t="s">
        <v>658</v>
      </c>
      <c r="D539" s="186"/>
      <c r="E539" s="86"/>
      <c r="F539" s="86">
        <f>H403</f>
        <v>950.00000000000011</v>
      </c>
      <c r="G539" s="85">
        <f>C404</f>
        <v>16</v>
      </c>
      <c r="H539" s="86">
        <f>E404</f>
        <v>250</v>
      </c>
      <c r="I539" s="87">
        <f>H404</f>
        <v>804.24959999999999</v>
      </c>
      <c r="J539" s="217"/>
      <c r="K539" s="427"/>
      <c r="O539" s="170"/>
      <c r="P539" s="170"/>
      <c r="Q539" s="170"/>
      <c r="R539" s="170"/>
      <c r="S539" s="170"/>
      <c r="T539" s="170"/>
      <c r="U539" s="170"/>
      <c r="V539" s="170"/>
      <c r="W539" s="170"/>
      <c r="X539" s="170"/>
      <c r="Y539" s="170"/>
      <c r="Z539" s="170"/>
    </row>
    <row r="540" spans="1:26" x14ac:dyDescent="0.2">
      <c r="A540" s="426"/>
      <c r="B540" s="216"/>
      <c r="C540" s="185" t="s">
        <v>663</v>
      </c>
      <c r="D540" s="186"/>
      <c r="E540" s="86"/>
      <c r="F540" s="86">
        <f>H420</f>
        <v>380</v>
      </c>
      <c r="G540" s="85">
        <v>12</v>
      </c>
      <c r="H540" s="86">
        <f>E422</f>
        <v>175</v>
      </c>
      <c r="I540" s="87">
        <f>785.4*G540^2/H540</f>
        <v>646.27199999999993</v>
      </c>
      <c r="J540" s="217"/>
      <c r="K540" s="427"/>
      <c r="O540" s="170"/>
      <c r="P540" s="170"/>
      <c r="Q540" s="170"/>
      <c r="R540" s="170"/>
      <c r="S540" s="170"/>
      <c r="T540" s="170"/>
      <c r="U540" s="170"/>
      <c r="V540" s="170"/>
      <c r="W540" s="170"/>
      <c r="X540" s="170"/>
      <c r="Y540" s="170"/>
      <c r="Z540" s="170"/>
    </row>
    <row r="541" spans="1:26" x14ac:dyDescent="0.2">
      <c r="A541" s="426"/>
      <c r="B541" s="183"/>
      <c r="C541" s="189" t="s">
        <v>660</v>
      </c>
      <c r="D541" s="190"/>
      <c r="E541" s="75"/>
      <c r="F541" s="75">
        <f>H405</f>
        <v>570.00000000000011</v>
      </c>
      <c r="G541" s="74">
        <f>C406</f>
        <v>12</v>
      </c>
      <c r="H541" s="75">
        <f>E406</f>
        <v>175</v>
      </c>
      <c r="I541" s="76">
        <f>H406</f>
        <v>646.27199999999993</v>
      </c>
      <c r="J541" s="217"/>
      <c r="K541" s="427"/>
      <c r="O541" s="170"/>
      <c r="P541" s="170"/>
      <c r="Q541" s="170"/>
      <c r="R541" s="170"/>
      <c r="S541" s="170"/>
      <c r="T541" s="170"/>
      <c r="U541" s="170"/>
      <c r="V541" s="170"/>
      <c r="W541" s="170"/>
      <c r="X541" s="170"/>
      <c r="Y541" s="170"/>
      <c r="Z541" s="170"/>
    </row>
    <row r="542" spans="1:26" x14ac:dyDescent="0.2">
      <c r="A542" s="426"/>
      <c r="B542" s="217"/>
      <c r="C542" s="217"/>
      <c r="D542" s="217"/>
      <c r="E542" s="217"/>
      <c r="F542" s="217"/>
      <c r="G542" s="217"/>
      <c r="H542" s="217"/>
      <c r="I542" s="217"/>
      <c r="J542" s="217"/>
      <c r="K542" s="427"/>
      <c r="O542" s="170"/>
      <c r="P542" s="170"/>
      <c r="Q542" s="170"/>
      <c r="R542" s="170"/>
      <c r="S542" s="170"/>
      <c r="T542" s="170"/>
      <c r="U542" s="170"/>
      <c r="V542" s="170"/>
      <c r="W542" s="170"/>
      <c r="X542" s="170"/>
      <c r="Y542" s="170"/>
      <c r="Z542" s="170"/>
    </row>
    <row r="543" spans="1:26" x14ac:dyDescent="0.2">
      <c r="A543" s="655"/>
      <c r="B543" s="217"/>
      <c r="C543" s="217"/>
      <c r="D543" s="217"/>
      <c r="E543" s="217"/>
      <c r="F543" s="217"/>
      <c r="G543" s="217"/>
      <c r="H543" s="217"/>
      <c r="I543" s="217"/>
      <c r="J543" s="217"/>
      <c r="K543" s="427"/>
      <c r="O543" s="170"/>
      <c r="P543" s="170"/>
      <c r="Q543" s="170"/>
      <c r="R543" s="170"/>
      <c r="S543" s="170"/>
      <c r="T543" s="170"/>
      <c r="U543" s="170"/>
      <c r="V543" s="170"/>
      <c r="W543" s="170"/>
      <c r="X543" s="170"/>
      <c r="Y543" s="170"/>
      <c r="Z543" s="170"/>
    </row>
    <row r="544" spans="1:26" x14ac:dyDescent="0.2">
      <c r="A544" s="426"/>
      <c r="B544" s="654" t="s">
        <v>664</v>
      </c>
      <c r="C544" s="217"/>
      <c r="D544" s="217"/>
      <c r="E544" s="217"/>
      <c r="F544" s="217"/>
      <c r="G544" s="217"/>
      <c r="H544" s="217"/>
      <c r="I544" s="217"/>
      <c r="J544" s="217"/>
      <c r="K544" s="427"/>
      <c r="O544" s="170"/>
      <c r="P544" s="170"/>
      <c r="Q544" s="170"/>
      <c r="R544" s="170"/>
      <c r="S544" s="170"/>
      <c r="T544" s="170"/>
      <c r="U544" s="170"/>
      <c r="V544" s="170"/>
      <c r="W544" s="170"/>
      <c r="X544" s="170"/>
      <c r="Y544" s="170"/>
      <c r="Z544" s="170"/>
    </row>
    <row r="545" spans="1:26" x14ac:dyDescent="0.2">
      <c r="A545" s="426"/>
      <c r="B545" s="217"/>
      <c r="C545" s="217"/>
      <c r="D545" s="217"/>
      <c r="E545" s="217"/>
      <c r="F545" s="217"/>
      <c r="G545" s="217"/>
      <c r="H545" s="217"/>
      <c r="I545" s="217"/>
      <c r="J545" s="217"/>
      <c r="K545" s="427"/>
      <c r="O545" s="170"/>
      <c r="P545" s="170"/>
      <c r="Q545" s="170"/>
      <c r="R545" s="170"/>
      <c r="S545" s="170"/>
      <c r="T545" s="170"/>
      <c r="U545" s="170"/>
      <c r="V545" s="170"/>
      <c r="W545" s="170"/>
      <c r="X545" s="170"/>
      <c r="Y545" s="170"/>
      <c r="Z545" s="170"/>
    </row>
    <row r="546" spans="1:26" x14ac:dyDescent="0.2">
      <c r="A546" s="426"/>
      <c r="B546" s="257" t="s">
        <v>196</v>
      </c>
      <c r="C546" s="258"/>
      <c r="D546" s="245"/>
      <c r="E546" s="255" t="s">
        <v>665</v>
      </c>
      <c r="F546" s="247" t="s">
        <v>666</v>
      </c>
      <c r="G546" s="244"/>
      <c r="H546" s="247" t="s">
        <v>667</v>
      </c>
      <c r="I546" s="244"/>
      <c r="J546" s="245"/>
      <c r="K546" s="427"/>
      <c r="O546" s="170"/>
      <c r="P546" s="170"/>
      <c r="Q546" s="170"/>
      <c r="R546" s="170"/>
      <c r="S546" s="170"/>
      <c r="T546" s="170"/>
      <c r="U546" s="170"/>
      <c r="V546" s="170"/>
      <c r="W546" s="170"/>
      <c r="X546" s="170"/>
      <c r="Y546" s="170"/>
      <c r="Z546" s="170"/>
    </row>
    <row r="547" spans="1:26" x14ac:dyDescent="0.2">
      <c r="A547" s="426"/>
      <c r="B547" s="215"/>
      <c r="C547" s="216"/>
      <c r="D547" s="186"/>
      <c r="E547" s="185" t="s">
        <v>668</v>
      </c>
      <c r="F547" s="222" t="s">
        <v>669</v>
      </c>
      <c r="G547" s="222" t="s">
        <v>670</v>
      </c>
      <c r="H547" s="222" t="s">
        <v>671</v>
      </c>
      <c r="I547" s="249" t="s">
        <v>647</v>
      </c>
      <c r="J547" s="259" t="s">
        <v>647</v>
      </c>
      <c r="K547" s="427"/>
      <c r="O547" s="170"/>
      <c r="P547" s="170"/>
      <c r="Q547" s="170"/>
      <c r="R547" s="170"/>
      <c r="S547" s="170"/>
      <c r="T547" s="170"/>
      <c r="U547" s="170"/>
      <c r="V547" s="170"/>
      <c r="W547" s="170"/>
      <c r="X547" s="170"/>
      <c r="Y547" s="170"/>
      <c r="Z547" s="170"/>
    </row>
    <row r="548" spans="1:26" x14ac:dyDescent="0.2">
      <c r="A548" s="426"/>
      <c r="B548" s="215"/>
      <c r="C548" s="216"/>
      <c r="D548" s="186"/>
      <c r="E548" s="239" t="s">
        <v>98</v>
      </c>
      <c r="F548" s="222" t="s">
        <v>672</v>
      </c>
      <c r="G548" s="217"/>
      <c r="H548" s="222" t="s">
        <v>673</v>
      </c>
      <c r="I548" s="249" t="s">
        <v>674</v>
      </c>
      <c r="J548" s="259" t="s">
        <v>644</v>
      </c>
      <c r="K548" s="427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</row>
    <row r="549" spans="1:26" x14ac:dyDescent="0.2">
      <c r="A549" s="426"/>
      <c r="B549" s="260"/>
      <c r="C549" s="216"/>
      <c r="D549" s="186"/>
      <c r="E549" s="252" t="s">
        <v>214</v>
      </c>
      <c r="F549" s="195" t="s">
        <v>675</v>
      </c>
      <c r="G549" s="253" t="s">
        <v>215</v>
      </c>
      <c r="H549" s="195" t="s">
        <v>676</v>
      </c>
      <c r="I549" s="253" t="s">
        <v>651</v>
      </c>
      <c r="J549" s="254" t="s">
        <v>651</v>
      </c>
      <c r="K549" s="427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</row>
    <row r="550" spans="1:26" x14ac:dyDescent="0.2">
      <c r="A550" s="426"/>
      <c r="B550" s="261" t="s">
        <v>635</v>
      </c>
      <c r="C550" s="185" t="s">
        <v>677</v>
      </c>
      <c r="D550" s="186"/>
      <c r="E550" s="262">
        <f>G247</f>
        <v>4.5632000000000001</v>
      </c>
      <c r="F550" s="83">
        <f>G254</f>
        <v>502.76</v>
      </c>
      <c r="G550" s="83">
        <f>G255</f>
        <v>600</v>
      </c>
      <c r="H550" s="263">
        <f>H268</f>
        <v>1.7867999999999999</v>
      </c>
      <c r="I550" s="83">
        <f>H266</f>
        <v>1963.5</v>
      </c>
      <c r="J550" s="84">
        <f>H267</f>
        <v>380</v>
      </c>
      <c r="K550" s="427"/>
      <c r="O550" s="170"/>
      <c r="P550" s="170"/>
      <c r="Q550" s="170"/>
      <c r="R550" s="170"/>
      <c r="S550" s="170"/>
      <c r="T550" s="170"/>
      <c r="U550" s="170"/>
      <c r="V550" s="170"/>
      <c r="W550" s="170"/>
      <c r="X550" s="170"/>
      <c r="Y550" s="170"/>
      <c r="Z550" s="170"/>
    </row>
    <row r="551" spans="1:26" x14ac:dyDescent="0.2">
      <c r="A551" s="426"/>
      <c r="B551" s="264"/>
      <c r="C551" s="189" t="s">
        <v>678</v>
      </c>
      <c r="D551" s="190"/>
      <c r="E551" s="265">
        <f>G283</f>
        <v>3.4499999999999997</v>
      </c>
      <c r="F551" s="75">
        <f>G289</f>
        <v>435</v>
      </c>
      <c r="G551" s="75">
        <f>G290</f>
        <v>600</v>
      </c>
      <c r="H551" s="191">
        <f>H303</f>
        <v>2.9000000000000004</v>
      </c>
      <c r="I551" s="75">
        <f>F301</f>
        <v>981.75</v>
      </c>
      <c r="J551" s="76">
        <f>F302</f>
        <v>380</v>
      </c>
      <c r="K551" s="427"/>
      <c r="O551" s="170"/>
      <c r="P551" s="170"/>
      <c r="Q551" s="170"/>
      <c r="R551" s="170"/>
      <c r="S551" s="170"/>
      <c r="T551" s="170"/>
      <c r="U551" s="170"/>
      <c r="V551" s="170"/>
      <c r="W551" s="170"/>
      <c r="X551" s="170"/>
      <c r="Y551" s="170"/>
      <c r="Z551" s="170"/>
    </row>
    <row r="552" spans="1:26" x14ac:dyDescent="0.2">
      <c r="A552" s="426"/>
      <c r="B552" s="217"/>
      <c r="C552" s="217"/>
      <c r="D552" s="217"/>
      <c r="E552" s="217"/>
      <c r="F552" s="217"/>
      <c r="G552" s="217"/>
      <c r="H552" s="217"/>
      <c r="I552" s="217"/>
      <c r="J552" s="217"/>
      <c r="K552" s="427"/>
      <c r="O552" s="170"/>
      <c r="P552" s="170"/>
      <c r="Q552" s="170"/>
      <c r="R552" s="170"/>
      <c r="S552" s="170"/>
      <c r="T552" s="170"/>
      <c r="U552" s="170"/>
      <c r="V552" s="170"/>
      <c r="W552" s="170"/>
      <c r="X552" s="170"/>
      <c r="Y552" s="170"/>
      <c r="Z552" s="170"/>
    </row>
    <row r="553" spans="1:26" x14ac:dyDescent="0.2">
      <c r="A553" s="655"/>
      <c r="B553" s="217"/>
      <c r="C553" s="217"/>
      <c r="D553" s="217"/>
      <c r="E553" s="217"/>
      <c r="F553" s="217"/>
      <c r="G553" s="217"/>
      <c r="H553" s="217"/>
      <c r="I553" s="217"/>
      <c r="J553" s="217"/>
      <c r="K553" s="427"/>
      <c r="O553" s="170"/>
      <c r="P553" s="170"/>
      <c r="Q553" s="170"/>
      <c r="R553" s="170"/>
      <c r="S553" s="170"/>
      <c r="T553" s="170"/>
      <c r="U553" s="170"/>
      <c r="V553" s="170"/>
      <c r="W553" s="170"/>
      <c r="X553" s="170"/>
      <c r="Y553" s="170"/>
      <c r="Z553" s="170"/>
    </row>
    <row r="554" spans="1:26" x14ac:dyDescent="0.2">
      <c r="A554" s="426"/>
      <c r="B554" s="654" t="s">
        <v>679</v>
      </c>
      <c r="C554" s="217"/>
      <c r="D554" s="217"/>
      <c r="E554" s="217"/>
      <c r="F554" s="217"/>
      <c r="G554" s="217"/>
      <c r="H554" s="217"/>
      <c r="I554" s="217"/>
      <c r="J554" s="217"/>
      <c r="K554" s="427"/>
      <c r="O554" s="170"/>
      <c r="P554" s="170"/>
      <c r="Q554" s="170"/>
      <c r="R554" s="170"/>
      <c r="S554" s="170"/>
      <c r="T554" s="170"/>
      <c r="U554" s="170"/>
      <c r="V554" s="170"/>
      <c r="W554" s="170"/>
      <c r="X554" s="170"/>
      <c r="Y554" s="170"/>
      <c r="Z554" s="170"/>
    </row>
    <row r="555" spans="1:26" x14ac:dyDescent="0.2">
      <c r="A555" s="426"/>
      <c r="B555" s="258"/>
      <c r="C555" s="245"/>
      <c r="D555" s="243" t="s">
        <v>680</v>
      </c>
      <c r="E555" s="246" t="s">
        <v>317</v>
      </c>
      <c r="F555" s="246" t="s">
        <v>681</v>
      </c>
      <c r="G555" s="246" t="s">
        <v>682</v>
      </c>
      <c r="H555" s="247" t="s">
        <v>683</v>
      </c>
      <c r="I555" s="248" t="s">
        <v>317</v>
      </c>
      <c r="J555" s="217"/>
      <c r="K555" s="427"/>
      <c r="O555" s="170"/>
      <c r="P555" s="170"/>
      <c r="Q555" s="170"/>
      <c r="R555" s="170"/>
      <c r="S555" s="170"/>
      <c r="T555" s="170"/>
      <c r="U555" s="170"/>
      <c r="V555" s="170"/>
      <c r="W555" s="170"/>
      <c r="X555" s="170"/>
      <c r="Y555" s="170"/>
      <c r="Z555" s="170"/>
    </row>
    <row r="556" spans="1:26" x14ac:dyDescent="0.2">
      <c r="A556" s="426"/>
      <c r="B556" s="239" t="s">
        <v>196</v>
      </c>
      <c r="C556" s="186"/>
      <c r="D556" s="239" t="s">
        <v>684</v>
      </c>
      <c r="E556" s="222" t="s">
        <v>685</v>
      </c>
      <c r="F556" s="249" t="s">
        <v>686</v>
      </c>
      <c r="G556" s="249" t="s">
        <v>687</v>
      </c>
      <c r="H556" s="222" t="s">
        <v>688</v>
      </c>
      <c r="I556" s="250" t="s">
        <v>689</v>
      </c>
      <c r="J556" s="217"/>
      <c r="K556" s="427"/>
      <c r="O556" s="170"/>
      <c r="P556" s="170"/>
      <c r="Q556" s="170"/>
      <c r="R556" s="170"/>
      <c r="S556" s="170"/>
      <c r="T556" s="170"/>
      <c r="U556" s="170"/>
      <c r="V556" s="170"/>
      <c r="W556" s="170"/>
      <c r="X556" s="170"/>
      <c r="Y556" s="170"/>
      <c r="Z556" s="170"/>
    </row>
    <row r="557" spans="1:26" x14ac:dyDescent="0.2">
      <c r="A557" s="426"/>
      <c r="B557" s="216"/>
      <c r="C557" s="186"/>
      <c r="D557" s="185" t="s">
        <v>648</v>
      </c>
      <c r="E557" s="222" t="s">
        <v>690</v>
      </c>
      <c r="F557" s="249" t="s">
        <v>691</v>
      </c>
      <c r="G557" s="249" t="s">
        <v>692</v>
      </c>
      <c r="H557" s="249" t="s">
        <v>693</v>
      </c>
      <c r="I557" s="250" t="s">
        <v>694</v>
      </c>
      <c r="J557" s="217"/>
      <c r="K557" s="427"/>
      <c r="O557" s="170"/>
      <c r="P557" s="170"/>
      <c r="Q557" s="170"/>
      <c r="R557" s="170"/>
      <c r="S557" s="170"/>
      <c r="T557" s="170"/>
      <c r="U557" s="170"/>
      <c r="V557" s="170"/>
      <c r="W557" s="170"/>
      <c r="X557" s="170"/>
      <c r="Y557" s="170"/>
      <c r="Z557" s="170"/>
    </row>
    <row r="558" spans="1:26" x14ac:dyDescent="0.2">
      <c r="A558" s="426"/>
      <c r="B558" s="216"/>
      <c r="C558" s="186"/>
      <c r="D558" s="239" t="s">
        <v>215</v>
      </c>
      <c r="E558" s="249" t="s">
        <v>695</v>
      </c>
      <c r="F558" s="249" t="s">
        <v>695</v>
      </c>
      <c r="G558" s="249" t="s">
        <v>468</v>
      </c>
      <c r="H558" s="249" t="s">
        <v>215</v>
      </c>
      <c r="I558" s="259" t="s">
        <v>695</v>
      </c>
      <c r="J558" s="217"/>
      <c r="K558" s="427"/>
      <c r="O558" s="170"/>
      <c r="P558" s="170"/>
      <c r="Q558" s="170"/>
      <c r="R558" s="170"/>
      <c r="S558" s="170"/>
      <c r="T558" s="170"/>
      <c r="U558" s="170"/>
      <c r="V558" s="170"/>
      <c r="W558" s="170"/>
      <c r="X558" s="170"/>
      <c r="Y558" s="170"/>
      <c r="Z558" s="170"/>
    </row>
    <row r="559" spans="1:26" x14ac:dyDescent="0.2">
      <c r="A559" s="426"/>
      <c r="B559" s="251"/>
      <c r="C559" s="186"/>
      <c r="D559" s="189"/>
      <c r="E559" s="195"/>
      <c r="F559" s="195"/>
      <c r="G559" s="195"/>
      <c r="H559" s="195"/>
      <c r="I559" s="193"/>
      <c r="J559" s="217"/>
      <c r="K559" s="427"/>
      <c r="O559" s="170"/>
      <c r="P559" s="170"/>
      <c r="Q559" s="170"/>
      <c r="R559" s="170"/>
      <c r="S559" s="170"/>
      <c r="T559" s="170"/>
      <c r="U559" s="170"/>
      <c r="V559" s="170"/>
      <c r="W559" s="170"/>
      <c r="X559" s="170"/>
      <c r="Y559" s="170"/>
      <c r="Z559" s="170"/>
    </row>
    <row r="560" spans="1:26" x14ac:dyDescent="0.2">
      <c r="A560" s="426"/>
      <c r="B560" s="239" t="s">
        <v>635</v>
      </c>
      <c r="C560" s="186"/>
      <c r="D560" s="82">
        <f>C215</f>
        <v>25</v>
      </c>
      <c r="E560" s="83">
        <f>F219</f>
        <v>672.79752674931865</v>
      </c>
      <c r="F560" s="83">
        <f>H219</f>
        <v>1103</v>
      </c>
      <c r="G560" s="263">
        <f>H222</f>
        <v>171.03454888069879</v>
      </c>
      <c r="H560" s="83">
        <f>H223</f>
        <v>628.31853071795865</v>
      </c>
      <c r="I560" s="84">
        <f>H224</f>
        <v>529.65998518369645</v>
      </c>
      <c r="J560" s="217"/>
      <c r="K560" s="427"/>
      <c r="O560" s="170"/>
      <c r="P560" s="170"/>
      <c r="Q560" s="170"/>
      <c r="R560" s="170"/>
      <c r="S560" s="170"/>
      <c r="T560" s="170"/>
      <c r="U560" s="170"/>
      <c r="V560" s="170"/>
      <c r="W560" s="170"/>
      <c r="X560" s="170"/>
      <c r="Y560" s="170"/>
      <c r="Z560" s="170"/>
    </row>
    <row r="561" spans="1:26" x14ac:dyDescent="0.2">
      <c r="A561" s="426"/>
      <c r="B561" s="239" t="s">
        <v>636</v>
      </c>
      <c r="C561" s="186"/>
      <c r="D561" s="85">
        <f>C362</f>
        <v>20</v>
      </c>
      <c r="E561" s="86">
        <f>F365</f>
        <v>840.99690843664825</v>
      </c>
      <c r="F561" s="86">
        <f>H365</f>
        <v>1103</v>
      </c>
      <c r="G561" s="187">
        <f>H368</f>
        <v>-294.06148443508016</v>
      </c>
      <c r="H561" s="86">
        <f>H369</f>
        <v>418.87902047863906</v>
      </c>
      <c r="I561" s="87">
        <f>H370</f>
        <v>-1256.6969156899308</v>
      </c>
      <c r="J561" s="217"/>
      <c r="K561" s="427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</row>
    <row r="562" spans="1:26" x14ac:dyDescent="0.2">
      <c r="A562" s="426"/>
      <c r="B562" s="239" t="s">
        <v>696</v>
      </c>
      <c r="C562" s="186"/>
      <c r="D562" s="85">
        <f>C422</f>
        <v>20</v>
      </c>
      <c r="E562" s="86">
        <f>G426</f>
        <v>840.99690843664825</v>
      </c>
      <c r="F562" s="86">
        <f>I426</f>
        <v>1103</v>
      </c>
      <c r="G562" s="187">
        <f>I383</f>
        <v>192.7649939494253</v>
      </c>
      <c r="H562" s="86">
        <f>H430</f>
        <v>359.03916041026207</v>
      </c>
      <c r="I562" s="87">
        <f>G429</f>
        <v>410.31253325201993</v>
      </c>
      <c r="J562" s="217"/>
      <c r="K562" s="427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</row>
    <row r="563" spans="1:26" x14ac:dyDescent="0.2">
      <c r="A563" s="426"/>
      <c r="B563" s="251"/>
      <c r="C563" s="186"/>
      <c r="D563" s="251"/>
      <c r="E563" s="266"/>
      <c r="F563" s="266"/>
      <c r="G563" s="266"/>
      <c r="H563" s="266"/>
      <c r="I563" s="267"/>
      <c r="J563" s="217"/>
      <c r="K563" s="427"/>
      <c r="O563" s="170"/>
      <c r="P563" s="170"/>
      <c r="Q563" s="170"/>
      <c r="R563" s="170"/>
      <c r="S563" s="170"/>
      <c r="T563" s="170"/>
      <c r="U563" s="170"/>
      <c r="V563" s="170"/>
      <c r="W563" s="170"/>
      <c r="X563" s="170"/>
      <c r="Y563" s="170"/>
      <c r="Z563" s="170"/>
    </row>
    <row r="564" spans="1:26" x14ac:dyDescent="0.2">
      <c r="A564" s="426"/>
      <c r="B564" s="216"/>
      <c r="C564" s="259" t="s">
        <v>637</v>
      </c>
      <c r="D564" s="240" t="str">
        <f>B219</f>
        <v>bs(allow)    =</v>
      </c>
      <c r="E564" s="217"/>
      <c r="F564" s="217">
        <f>F219</f>
        <v>672.79752674931865</v>
      </c>
      <c r="G564" s="217" t="str">
        <f>G219</f>
        <v>KN/m²   &lt;</v>
      </c>
      <c r="H564" s="187">
        <f>H219</f>
        <v>1103</v>
      </c>
      <c r="I564" s="188" t="str">
        <f>I219</f>
        <v>KN/m²</v>
      </c>
      <c r="J564" s="217"/>
      <c r="K564" s="458" t="s">
        <v>199</v>
      </c>
      <c r="O564" s="170"/>
      <c r="P564" s="170"/>
      <c r="Q564" s="170"/>
      <c r="R564" s="170"/>
      <c r="S564" s="170"/>
      <c r="T564" s="170"/>
      <c r="U564" s="170"/>
      <c r="V564" s="170"/>
      <c r="W564" s="170"/>
      <c r="X564" s="170"/>
      <c r="Y564" s="170"/>
      <c r="Z564" s="170"/>
    </row>
    <row r="565" spans="1:26" x14ac:dyDescent="0.2">
      <c r="A565" s="426"/>
      <c r="B565" s="183"/>
      <c r="C565" s="190"/>
      <c r="D565" s="268" t="str">
        <f>B220</f>
        <v>Use   bs(allow)  =</v>
      </c>
      <c r="E565" s="191"/>
      <c r="F565" s="191">
        <f>F220</f>
        <v>672.79752674931865</v>
      </c>
      <c r="G565" s="75" t="str">
        <f>G220</f>
        <v>KN/m²</v>
      </c>
      <c r="H565" s="191" t="str">
        <f>H220</f>
        <v>&lt;-----</v>
      </c>
      <c r="I565" s="190"/>
      <c r="J565" s="217"/>
      <c r="K565" s="427"/>
      <c r="O565" s="170"/>
      <c r="P565" s="170"/>
      <c r="Q565" s="170"/>
      <c r="R565" s="170"/>
      <c r="S565" s="170"/>
      <c r="T565" s="170"/>
      <c r="U565" s="170"/>
      <c r="V565" s="170"/>
      <c r="W565" s="170"/>
      <c r="X565" s="170"/>
      <c r="Y565" s="170"/>
      <c r="Z565" s="170"/>
    </row>
    <row r="566" spans="1:26" x14ac:dyDescent="0.2">
      <c r="A566" s="426"/>
      <c r="B566" s="217"/>
      <c r="C566" s="217"/>
      <c r="D566" s="217"/>
      <c r="E566" s="217"/>
      <c r="F566" s="217"/>
      <c r="G566" s="217"/>
      <c r="H566" s="217"/>
      <c r="I566" s="217"/>
      <c r="J566" s="217"/>
      <c r="K566" s="427"/>
      <c r="O566" s="170"/>
      <c r="P566" s="170"/>
      <c r="Q566" s="170"/>
      <c r="R566" s="170"/>
      <c r="S566" s="170"/>
      <c r="T566" s="170"/>
      <c r="U566" s="170"/>
      <c r="V566" s="170"/>
      <c r="W566" s="170"/>
      <c r="X566" s="170"/>
      <c r="Y566" s="170"/>
      <c r="Z566" s="170"/>
    </row>
    <row r="567" spans="1:26" x14ac:dyDescent="0.2">
      <c r="A567" s="426"/>
      <c r="B567" s="217"/>
      <c r="C567" s="217"/>
      <c r="D567" s="217"/>
      <c r="E567" s="217"/>
      <c r="F567" s="217"/>
      <c r="G567" s="217"/>
      <c r="H567" s="217"/>
      <c r="I567" s="217"/>
      <c r="J567" s="217"/>
      <c r="K567" s="427"/>
      <c r="O567" s="170"/>
      <c r="P567" s="170"/>
      <c r="Q567" s="170"/>
      <c r="R567" s="170"/>
      <c r="S567" s="170"/>
      <c r="T567" s="170"/>
      <c r="U567" s="170"/>
      <c r="V567" s="170"/>
      <c r="W567" s="170"/>
      <c r="X567" s="170"/>
      <c r="Y567" s="170"/>
      <c r="Z567" s="170"/>
    </row>
    <row r="568" spans="1:26" ht="13.5" thickBot="1" x14ac:dyDescent="0.25">
      <c r="A568" s="429"/>
      <c r="B568" s="430"/>
      <c r="C568" s="430"/>
      <c r="D568" s="430"/>
      <c r="E568" s="430"/>
      <c r="F568" s="430"/>
      <c r="G568" s="430"/>
      <c r="H568" s="430"/>
      <c r="I568" s="430"/>
      <c r="J568" s="430"/>
      <c r="K568" s="489" t="s">
        <v>2427</v>
      </c>
      <c r="O568" s="170"/>
      <c r="P568" s="170"/>
      <c r="Q568" s="170"/>
      <c r="R568" s="170"/>
      <c r="S568" s="170"/>
      <c r="T568" s="170"/>
      <c r="U568" s="170"/>
      <c r="V568" s="170"/>
      <c r="W568" s="170"/>
      <c r="X568" s="170"/>
      <c r="Y568" s="170"/>
      <c r="Z568" s="170"/>
    </row>
    <row r="569" spans="1:26" x14ac:dyDescent="0.2">
      <c r="O569" s="170"/>
      <c r="P569" s="170"/>
      <c r="Q569" s="170"/>
      <c r="R569" s="170"/>
      <c r="S569" s="170"/>
      <c r="T569" s="170"/>
      <c r="U569" s="170"/>
      <c r="V569" s="170"/>
      <c r="W569" s="170"/>
      <c r="X569" s="170"/>
      <c r="Y569" s="170"/>
      <c r="Z569" s="170"/>
    </row>
    <row r="570" spans="1:26" x14ac:dyDescent="0.2">
      <c r="O570" s="170"/>
      <c r="P570" s="170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</row>
    <row r="571" spans="1:26" x14ac:dyDescent="0.2">
      <c r="O571" s="170"/>
      <c r="P571" s="170"/>
      <c r="Q571" s="170"/>
      <c r="R571" s="170"/>
      <c r="S571" s="170"/>
      <c r="T571" s="170"/>
      <c r="U571" s="170"/>
      <c r="V571" s="170"/>
      <c r="W571" s="170"/>
      <c r="X571" s="170"/>
      <c r="Y571" s="170"/>
      <c r="Z571" s="170"/>
    </row>
    <row r="572" spans="1:26" x14ac:dyDescent="0.2">
      <c r="O572" s="170"/>
      <c r="P572" s="170"/>
      <c r="Q572" s="170"/>
      <c r="R572" s="170"/>
      <c r="S572" s="170"/>
      <c r="T572" s="170"/>
      <c r="U572" s="170"/>
      <c r="V572" s="170"/>
      <c r="W572" s="170"/>
      <c r="X572" s="170"/>
      <c r="Y572" s="170"/>
      <c r="Z572" s="170"/>
    </row>
    <row r="573" spans="1:26" x14ac:dyDescent="0.2">
      <c r="O573" s="170"/>
      <c r="P573" s="170"/>
      <c r="Q573" s="170"/>
      <c r="R573" s="170"/>
      <c r="S573" s="170"/>
      <c r="T573" s="170"/>
      <c r="U573" s="170"/>
      <c r="V573" s="170"/>
      <c r="W573" s="170"/>
      <c r="X573" s="170"/>
      <c r="Y573" s="170"/>
      <c r="Z573" s="170"/>
    </row>
    <row r="574" spans="1:26" x14ac:dyDescent="0.2">
      <c r="O574" s="170"/>
      <c r="P574" s="170"/>
      <c r="Q574" s="170"/>
      <c r="R574" s="170"/>
      <c r="S574" s="170"/>
      <c r="T574" s="170"/>
      <c r="U574" s="170"/>
      <c r="V574" s="170"/>
      <c r="W574" s="170"/>
      <c r="X574" s="170"/>
      <c r="Y574" s="170"/>
      <c r="Z574" s="170"/>
    </row>
    <row r="575" spans="1:26" x14ac:dyDescent="0.2">
      <c r="O575" s="170"/>
      <c r="P575" s="170"/>
      <c r="Q575" s="170"/>
      <c r="R575" s="170"/>
      <c r="S575" s="170"/>
      <c r="T575" s="170"/>
      <c r="U575" s="170"/>
      <c r="V575" s="170"/>
      <c r="W575" s="170"/>
      <c r="X575" s="170"/>
      <c r="Y575" s="170"/>
      <c r="Z575" s="170"/>
    </row>
    <row r="576" spans="1:26" x14ac:dyDescent="0.2">
      <c r="O576" s="170"/>
      <c r="P576" s="170"/>
      <c r="Q576" s="170"/>
      <c r="R576" s="170"/>
      <c r="S576" s="170"/>
      <c r="T576" s="170"/>
      <c r="U576" s="170"/>
      <c r="V576" s="170"/>
      <c r="W576" s="170"/>
      <c r="X576" s="170"/>
      <c r="Y576" s="170"/>
      <c r="Z576" s="170"/>
    </row>
    <row r="577" spans="1:26" x14ac:dyDescent="0.2">
      <c r="O577" s="170"/>
      <c r="P577" s="170"/>
      <c r="Q577" s="170"/>
      <c r="R577" s="170"/>
      <c r="S577" s="170"/>
      <c r="T577" s="170"/>
      <c r="U577" s="170"/>
      <c r="V577" s="170"/>
      <c r="W577" s="170"/>
      <c r="X577" s="170"/>
      <c r="Y577" s="170"/>
      <c r="Z577" s="170"/>
    </row>
    <row r="578" spans="1:26" x14ac:dyDescent="0.2">
      <c r="O578" s="170"/>
      <c r="P578" s="170"/>
      <c r="Q578" s="170"/>
      <c r="R578" s="170"/>
      <c r="S578" s="170"/>
      <c r="T578" s="170"/>
      <c r="U578" s="170"/>
      <c r="V578" s="170"/>
      <c r="W578" s="170"/>
      <c r="X578" s="170"/>
      <c r="Y578" s="170"/>
      <c r="Z578" s="170"/>
    </row>
    <row r="579" spans="1:26" x14ac:dyDescent="0.2">
      <c r="O579" s="170"/>
      <c r="P579" s="170"/>
      <c r="Q579" s="170"/>
      <c r="R579" s="170"/>
      <c r="S579" s="170"/>
      <c r="T579" s="170"/>
      <c r="U579" s="170"/>
      <c r="V579" s="170"/>
      <c r="W579" s="170"/>
      <c r="X579" s="170"/>
      <c r="Y579" s="170"/>
      <c r="Z579" s="170"/>
    </row>
    <row r="580" spans="1:26" x14ac:dyDescent="0.2"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</row>
    <row r="581" spans="1:26" x14ac:dyDescent="0.2">
      <c r="O581" s="170"/>
      <c r="P581" s="170"/>
      <c r="Q581" s="170"/>
      <c r="R581" s="170"/>
      <c r="S581" s="170"/>
      <c r="T581" s="170"/>
      <c r="U581" s="170"/>
      <c r="V581" s="170"/>
      <c r="W581" s="170"/>
      <c r="X581" s="170"/>
      <c r="Y581" s="170"/>
      <c r="Z581" s="170"/>
    </row>
    <row r="582" spans="1:26" x14ac:dyDescent="0.2">
      <c r="O582" s="170"/>
      <c r="P582" s="170"/>
      <c r="Q582" s="170"/>
      <c r="R582" s="170"/>
      <c r="S582" s="170"/>
      <c r="T582" s="170"/>
      <c r="U582" s="170"/>
      <c r="V582" s="170"/>
      <c r="W582" s="170"/>
      <c r="X582" s="170"/>
      <c r="Y582" s="170"/>
      <c r="Z582" s="170"/>
    </row>
    <row r="583" spans="1:26" x14ac:dyDescent="0.2">
      <c r="O583" s="170"/>
      <c r="P583" s="170"/>
      <c r="Q583" s="170"/>
      <c r="R583" s="170"/>
      <c r="S583" s="170"/>
      <c r="T583" s="170"/>
      <c r="U583" s="170"/>
      <c r="V583" s="170"/>
      <c r="W583" s="170"/>
      <c r="X583" s="170"/>
      <c r="Y583" s="170"/>
      <c r="Z583" s="170"/>
    </row>
    <row r="584" spans="1:26" x14ac:dyDescent="0.2">
      <c r="A584" s="170"/>
      <c r="B584" s="170"/>
      <c r="C584" s="170"/>
      <c r="D584" s="170"/>
      <c r="E584" s="170"/>
      <c r="F584" s="170"/>
      <c r="G584" s="170"/>
      <c r="H584" s="170"/>
      <c r="I584" s="170"/>
      <c r="J584" s="170"/>
      <c r="K584" s="170"/>
      <c r="L584" s="170"/>
      <c r="M584" s="170"/>
      <c r="N584" s="170"/>
      <c r="O584" s="170"/>
      <c r="P584" s="170"/>
      <c r="Q584" s="170"/>
      <c r="R584" s="170"/>
      <c r="S584" s="170"/>
      <c r="T584" s="170"/>
      <c r="U584" s="170"/>
      <c r="V584" s="170"/>
      <c r="W584" s="170"/>
      <c r="X584" s="170"/>
      <c r="Y584" s="170"/>
      <c r="Z584" s="170"/>
    </row>
  </sheetData>
  <mergeCells count="11">
    <mergeCell ref="I320:J320"/>
    <mergeCell ref="I317:J317"/>
    <mergeCell ref="I384:J384"/>
    <mergeCell ref="G502:H502"/>
    <mergeCell ref="E524:F524"/>
    <mergeCell ref="E460:H460"/>
    <mergeCell ref="D461:E461"/>
    <mergeCell ref="H461:I461"/>
    <mergeCell ref="E472:H472"/>
    <mergeCell ref="C473:F473"/>
    <mergeCell ref="G473:J473"/>
  </mergeCells>
  <pageMargins left="0.75" right="0.25" top="0.75" bottom="0.75" header="0.3" footer="0.3"/>
  <pageSetup paperSize="9" scale="95" orientation="portrait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Z612"/>
  <sheetViews>
    <sheetView topLeftCell="A106" workbookViewId="0">
      <selection activeCell="E424" sqref="E424"/>
    </sheetView>
  </sheetViews>
  <sheetFormatPr defaultColWidth="9.7109375" defaultRowHeight="12.75" x14ac:dyDescent="0.2"/>
  <cols>
    <col min="1" max="1" width="5.7109375" style="169" customWidth="1"/>
    <col min="2" max="2" width="6.85546875" style="169" customWidth="1"/>
    <col min="3" max="3" width="9.7109375" style="169" customWidth="1"/>
    <col min="4" max="4" width="10" style="169" customWidth="1"/>
    <col min="5" max="5" width="9.85546875" style="169" customWidth="1"/>
    <col min="6" max="6" width="10.85546875" style="169" customWidth="1"/>
    <col min="7" max="7" width="9.42578125" style="169" customWidth="1"/>
    <col min="8" max="8" width="9.7109375" style="169" customWidth="1"/>
    <col min="9" max="9" width="10.28515625" style="169" customWidth="1"/>
    <col min="10" max="10" width="8.42578125" style="169" customWidth="1"/>
    <col min="11" max="11" width="9.85546875" style="169" customWidth="1"/>
    <col min="12" max="13" width="9.7109375" style="169"/>
    <col min="14" max="14" width="10.85546875" style="169" customWidth="1"/>
    <col min="15" max="15" width="10.7109375" style="169" customWidth="1"/>
    <col min="16" max="18" width="10.28515625" style="169" customWidth="1"/>
    <col min="19" max="19" width="10.42578125" style="169" customWidth="1"/>
    <col min="20" max="16384" width="9.7109375" style="169"/>
  </cols>
  <sheetData>
    <row r="1" spans="1:24" x14ac:dyDescent="0.2">
      <c r="A1" s="423"/>
      <c r="B1" s="438" t="s">
        <v>2031</v>
      </c>
      <c r="C1" s="656"/>
      <c r="D1" s="656" t="str">
        <f>'Design Data'!C2</f>
        <v>Coastal Embankment Improvement Project Phase-1, CEIP-1.</v>
      </c>
      <c r="E1" s="424"/>
      <c r="F1" s="424"/>
      <c r="G1" s="424"/>
      <c r="H1" s="424"/>
      <c r="I1" s="424"/>
      <c r="J1" s="424"/>
      <c r="K1" s="425"/>
      <c r="N1" s="170"/>
      <c r="O1" s="171"/>
      <c r="X1" s="171"/>
    </row>
    <row r="2" spans="1:24" x14ac:dyDescent="0.2">
      <c r="A2" s="647"/>
      <c r="B2" s="682" t="s">
        <v>1861</v>
      </c>
      <c r="C2" s="217"/>
      <c r="D2" s="217"/>
      <c r="E2" s="217" t="str">
        <f>'Basin (RS)'!D2</f>
        <v>DR-5</v>
      </c>
      <c r="F2" s="217"/>
      <c r="G2" s="217"/>
      <c r="H2" s="217"/>
      <c r="I2" s="217"/>
      <c r="J2" s="217"/>
      <c r="K2" s="427"/>
      <c r="O2" s="171"/>
    </row>
    <row r="3" spans="1:24" x14ac:dyDescent="0.2">
      <c r="A3" s="647"/>
      <c r="B3" s="682"/>
      <c r="C3" s="217"/>
      <c r="D3" s="217"/>
      <c r="E3" s="217"/>
      <c r="F3" s="217"/>
      <c r="G3" s="217"/>
      <c r="H3" s="646" t="s">
        <v>1966</v>
      </c>
      <c r="I3" s="217" t="str">
        <f>'Struct4 wing(RS)'!I4</f>
        <v>1.50m x 1.80m</v>
      </c>
      <c r="J3" s="217"/>
      <c r="K3" s="427"/>
      <c r="O3" s="171"/>
    </row>
    <row r="4" spans="1:24" ht="15" x14ac:dyDescent="0.3">
      <c r="A4" s="647"/>
      <c r="B4" s="955" t="s">
        <v>697</v>
      </c>
      <c r="C4" s="217"/>
      <c r="D4" s="217"/>
      <c r="E4" s="446"/>
      <c r="F4" s="217"/>
      <c r="G4" s="217"/>
      <c r="H4" s="395" t="s">
        <v>2375</v>
      </c>
      <c r="I4" s="217"/>
      <c r="J4" s="719">
        <f>'Design Data'!D22</f>
        <v>1</v>
      </c>
      <c r="K4" s="427"/>
      <c r="O4" s="171"/>
    </row>
    <row r="5" spans="1:24" x14ac:dyDescent="0.2">
      <c r="A5" s="426"/>
      <c r="B5" s="426"/>
      <c r="C5" s="217"/>
      <c r="D5" s="217"/>
      <c r="E5" s="217"/>
      <c r="F5" s="217"/>
      <c r="G5" s="217"/>
      <c r="H5" s="217"/>
      <c r="I5" s="217"/>
      <c r="J5" s="217"/>
      <c r="K5" s="427"/>
      <c r="O5" s="171"/>
      <c r="W5" s="171"/>
      <c r="X5" s="171"/>
    </row>
    <row r="6" spans="1:24" x14ac:dyDescent="0.2">
      <c r="A6" s="426"/>
      <c r="B6" s="956" t="s">
        <v>223</v>
      </c>
      <c r="C6" s="217"/>
      <c r="D6" s="217"/>
      <c r="E6" s="217"/>
      <c r="F6" s="217"/>
      <c r="G6" s="217"/>
      <c r="H6" s="217"/>
      <c r="I6" s="217"/>
      <c r="J6" s="217"/>
      <c r="K6" s="427"/>
      <c r="O6" s="171"/>
      <c r="W6" s="171"/>
      <c r="X6" s="171"/>
    </row>
    <row r="7" spans="1:24" x14ac:dyDescent="0.2">
      <c r="A7" s="426"/>
      <c r="B7" s="426"/>
      <c r="C7" s="217"/>
      <c r="D7" s="217"/>
      <c r="E7" s="217"/>
      <c r="F7" s="217"/>
      <c r="G7" s="217"/>
      <c r="H7" s="217"/>
      <c r="I7" s="217"/>
      <c r="J7" s="217"/>
      <c r="K7" s="427"/>
      <c r="O7" s="171"/>
    </row>
    <row r="8" spans="1:24" ht="15.75" x14ac:dyDescent="0.3">
      <c r="A8" s="426"/>
      <c r="B8" s="655" t="s">
        <v>419</v>
      </c>
      <c r="C8" s="217"/>
      <c r="D8" s="217"/>
      <c r="E8" s="217"/>
      <c r="F8" s="217">
        <f>'Struct2(Barrel)'!E21</f>
        <v>77</v>
      </c>
      <c r="G8" s="217" t="s">
        <v>420</v>
      </c>
      <c r="H8" s="217"/>
      <c r="I8" s="407"/>
      <c r="J8" s="222"/>
      <c r="K8" s="427"/>
      <c r="O8" s="171"/>
    </row>
    <row r="9" spans="1:24" ht="15.75" x14ac:dyDescent="0.3">
      <c r="A9" s="426"/>
      <c r="B9" s="655" t="s">
        <v>421</v>
      </c>
      <c r="C9" s="217"/>
      <c r="D9" s="217"/>
      <c r="E9" s="217"/>
      <c r="F9" s="217">
        <f>'Struct2(Barrel)'!E22</f>
        <v>23.6</v>
      </c>
      <c r="G9" s="217" t="s">
        <v>420</v>
      </c>
      <c r="H9" s="217"/>
      <c r="I9" s="407"/>
      <c r="J9" s="222"/>
      <c r="K9" s="427"/>
      <c r="O9" s="171"/>
    </row>
    <row r="10" spans="1:24" ht="15.75" x14ac:dyDescent="0.3">
      <c r="A10" s="426"/>
      <c r="B10" s="655" t="s">
        <v>422</v>
      </c>
      <c r="C10" s="217"/>
      <c r="D10" s="217"/>
      <c r="E10" s="217"/>
      <c r="F10" s="217">
        <f>'Struct2(Barrel)'!E23</f>
        <v>19.600000000000001</v>
      </c>
      <c r="G10" s="217" t="s">
        <v>420</v>
      </c>
      <c r="H10" s="217"/>
      <c r="I10" s="407"/>
      <c r="J10" s="222"/>
      <c r="K10" s="427"/>
      <c r="O10" s="171"/>
    </row>
    <row r="11" spans="1:24" ht="15.75" x14ac:dyDescent="0.3">
      <c r="A11" s="426"/>
      <c r="B11" s="655" t="s">
        <v>423</v>
      </c>
      <c r="C11" s="217"/>
      <c r="D11" s="217"/>
      <c r="E11" s="217"/>
      <c r="F11" s="217">
        <f>'Struct2(Barrel)'!E24</f>
        <v>9.81</v>
      </c>
      <c r="G11" s="217" t="s">
        <v>424</v>
      </c>
      <c r="H11" s="217"/>
      <c r="I11" s="407"/>
      <c r="J11" s="222"/>
      <c r="K11" s="427"/>
      <c r="O11" s="171"/>
      <c r="S11" s="171"/>
    </row>
    <row r="12" spans="1:24" x14ac:dyDescent="0.2">
      <c r="A12" s="426"/>
      <c r="B12" s="426"/>
      <c r="C12" s="217"/>
      <c r="D12" s="217"/>
      <c r="E12" s="217"/>
      <c r="F12" s="217"/>
      <c r="G12" s="217"/>
      <c r="H12" s="217"/>
      <c r="I12" s="217"/>
      <c r="J12" s="217"/>
      <c r="K12" s="427"/>
      <c r="O12" s="171"/>
    </row>
    <row r="13" spans="1:24" x14ac:dyDescent="0.2">
      <c r="A13" s="426"/>
      <c r="B13" s="655" t="s">
        <v>31</v>
      </c>
      <c r="C13" s="217"/>
      <c r="D13" s="217"/>
      <c r="E13" s="217"/>
      <c r="F13" s="86">
        <f>'Design Data'!D45</f>
        <v>18</v>
      </c>
      <c r="G13" s="222" t="s">
        <v>32</v>
      </c>
      <c r="H13" s="217"/>
      <c r="I13" s="217"/>
      <c r="J13" s="217"/>
      <c r="K13" s="427"/>
      <c r="O13" s="171"/>
    </row>
    <row r="14" spans="1:24" x14ac:dyDescent="0.2">
      <c r="A14" s="426"/>
      <c r="B14" s="655" t="s">
        <v>33</v>
      </c>
      <c r="C14" s="217"/>
      <c r="D14" s="217"/>
      <c r="E14" s="217"/>
      <c r="F14" s="187"/>
      <c r="G14" s="187">
        <f>(1-SIN(F13*PI()/180))/(1+SIN(F13*PI()/180))</f>
        <v>0.52786404500042061</v>
      </c>
      <c r="H14" s="217"/>
      <c r="I14" s="217"/>
      <c r="J14" s="217"/>
      <c r="K14" s="427"/>
    </row>
    <row r="15" spans="1:24" x14ac:dyDescent="0.2">
      <c r="A15" s="426"/>
      <c r="B15" s="655" t="s">
        <v>425</v>
      </c>
      <c r="C15" s="217"/>
      <c r="D15" s="217"/>
      <c r="E15" s="217"/>
      <c r="F15" s="187">
        <v>0.5</v>
      </c>
      <c r="G15" s="187"/>
      <c r="H15" s="217"/>
      <c r="I15" s="217"/>
      <c r="J15" s="217"/>
      <c r="K15" s="427"/>
    </row>
    <row r="16" spans="1:24" x14ac:dyDescent="0.2">
      <c r="A16" s="426"/>
      <c r="B16" s="426"/>
      <c r="C16" s="217"/>
      <c r="D16" s="217"/>
      <c r="E16" s="217"/>
      <c r="F16" s="217"/>
      <c r="G16" s="217"/>
      <c r="H16" s="217"/>
      <c r="I16" s="217"/>
      <c r="J16" s="217"/>
      <c r="K16" s="427"/>
    </row>
    <row r="17" spans="1:11" x14ac:dyDescent="0.2">
      <c r="A17" s="426"/>
      <c r="B17" s="655" t="s">
        <v>426</v>
      </c>
      <c r="C17" s="217"/>
      <c r="D17" s="217"/>
      <c r="E17" s="217"/>
      <c r="F17" s="187">
        <f>'Basin (CS)'!F26</f>
        <v>3</v>
      </c>
      <c r="G17" s="222" t="s">
        <v>345</v>
      </c>
      <c r="H17" s="217"/>
      <c r="I17" s="217"/>
      <c r="J17" s="217"/>
      <c r="K17" s="427"/>
    </row>
    <row r="18" spans="1:11" x14ac:dyDescent="0.2">
      <c r="A18" s="426"/>
      <c r="B18" s="655" t="s">
        <v>427</v>
      </c>
      <c r="C18" s="217"/>
      <c r="D18" s="217"/>
      <c r="E18" s="217"/>
      <c r="F18" s="187">
        <f>'Basin (CS)'!F19</f>
        <v>-2.1</v>
      </c>
      <c r="G18" s="222" t="s">
        <v>345</v>
      </c>
      <c r="H18" s="217"/>
      <c r="I18" s="217"/>
      <c r="J18" s="217"/>
      <c r="K18" s="427"/>
    </row>
    <row r="19" spans="1:11" x14ac:dyDescent="0.2">
      <c r="A19" s="426"/>
      <c r="B19" s="426"/>
      <c r="C19" s="217"/>
      <c r="D19" s="217"/>
      <c r="E19" s="217"/>
      <c r="F19" s="217"/>
      <c r="G19" s="217"/>
      <c r="H19" s="217"/>
      <c r="I19" s="217"/>
      <c r="J19" s="217"/>
      <c r="K19" s="427"/>
    </row>
    <row r="20" spans="1:11" x14ac:dyDescent="0.2">
      <c r="A20" s="426"/>
      <c r="B20" s="655" t="s">
        <v>428</v>
      </c>
      <c r="C20" s="217"/>
      <c r="D20" s="217"/>
      <c r="E20" s="217"/>
      <c r="F20" s="35">
        <v>300</v>
      </c>
      <c r="G20" s="222" t="s">
        <v>43</v>
      </c>
      <c r="H20" s="217"/>
      <c r="I20" s="217"/>
      <c r="J20" s="217"/>
      <c r="K20" s="427"/>
    </row>
    <row r="21" spans="1:11" x14ac:dyDescent="0.2">
      <c r="A21" s="426"/>
      <c r="B21" s="655" t="s">
        <v>429</v>
      </c>
      <c r="C21" s="217"/>
      <c r="D21" s="217"/>
      <c r="E21" s="217"/>
      <c r="F21" s="35">
        <f>'Struct4 wing(CS)'!E35</f>
        <v>650</v>
      </c>
      <c r="G21" s="222" t="s">
        <v>43</v>
      </c>
      <c r="H21" s="217"/>
      <c r="I21" s="217"/>
      <c r="J21" s="217"/>
      <c r="K21" s="427"/>
    </row>
    <row r="22" spans="1:11" x14ac:dyDescent="0.2">
      <c r="A22" s="426"/>
      <c r="B22" s="655" t="s">
        <v>430</v>
      </c>
      <c r="C22" s="217"/>
      <c r="D22" s="217"/>
      <c r="E22" s="217"/>
      <c r="F22" s="86">
        <f>'Struct4 wing(CS)'!G35</f>
        <v>700</v>
      </c>
      <c r="G22" s="222" t="s">
        <v>43</v>
      </c>
      <c r="H22" s="217"/>
      <c r="I22" s="217"/>
      <c r="J22" s="217"/>
      <c r="K22" s="427"/>
    </row>
    <row r="23" spans="1:11" x14ac:dyDescent="0.2">
      <c r="A23" s="426"/>
      <c r="B23" s="426"/>
      <c r="C23" s="217"/>
      <c r="D23" s="217"/>
      <c r="E23" s="217"/>
      <c r="F23" s="217"/>
      <c r="G23" s="217"/>
      <c r="H23" s="217"/>
      <c r="I23" s="217"/>
      <c r="J23" s="217"/>
      <c r="K23" s="427"/>
    </row>
    <row r="24" spans="1:11" x14ac:dyDescent="0.2">
      <c r="A24" s="426"/>
      <c r="B24" s="655" t="s">
        <v>431</v>
      </c>
      <c r="C24" s="217"/>
      <c r="D24" s="217"/>
      <c r="E24" s="217"/>
      <c r="F24" s="187">
        <f>F17-F18</f>
        <v>5.0999999999999996</v>
      </c>
      <c r="G24" s="222" t="s">
        <v>24</v>
      </c>
      <c r="H24" s="217"/>
      <c r="I24" s="217"/>
      <c r="J24" s="217"/>
      <c r="K24" s="427"/>
    </row>
    <row r="25" spans="1:11" x14ac:dyDescent="0.2">
      <c r="A25" s="426"/>
      <c r="B25" s="426" t="s">
        <v>432</v>
      </c>
      <c r="C25" s="217"/>
      <c r="D25" s="217"/>
      <c r="E25" s="217"/>
      <c r="F25" s="217">
        <f>F24+F22/1000</f>
        <v>5.8</v>
      </c>
      <c r="G25" s="217" t="s">
        <v>24</v>
      </c>
      <c r="H25" s="217"/>
      <c r="I25" s="217"/>
      <c r="J25" s="217"/>
      <c r="K25" s="427"/>
    </row>
    <row r="26" spans="1:11" x14ac:dyDescent="0.2">
      <c r="A26" s="426"/>
      <c r="B26" s="426"/>
      <c r="C26" s="217"/>
      <c r="D26" s="217"/>
      <c r="E26" s="217"/>
      <c r="F26" s="217"/>
      <c r="G26" s="217"/>
      <c r="H26" s="217"/>
      <c r="I26" s="217"/>
      <c r="J26" s="217"/>
      <c r="K26" s="427"/>
    </row>
    <row r="27" spans="1:11" x14ac:dyDescent="0.2">
      <c r="A27" s="426"/>
      <c r="B27" s="655" t="s">
        <v>433</v>
      </c>
      <c r="C27" s="217"/>
      <c r="D27" s="217"/>
      <c r="E27" s="217"/>
      <c r="F27" s="187">
        <f>(F24*2)+0.5</f>
        <v>10.7</v>
      </c>
      <c r="G27" s="222" t="s">
        <v>24</v>
      </c>
      <c r="H27" s="217"/>
      <c r="I27" s="217"/>
      <c r="J27" s="217"/>
      <c r="K27" s="427"/>
    </row>
    <row r="28" spans="1:11" x14ac:dyDescent="0.2">
      <c r="A28" s="426"/>
      <c r="B28" s="655" t="s">
        <v>434</v>
      </c>
      <c r="C28" s="217"/>
      <c r="D28" s="217"/>
      <c r="E28" s="217"/>
      <c r="F28" s="407">
        <v>2.5</v>
      </c>
      <c r="G28" s="222" t="s">
        <v>24</v>
      </c>
      <c r="H28" s="222" t="s">
        <v>435</v>
      </c>
      <c r="I28" s="187">
        <f>H143</f>
        <v>85.137711269419981</v>
      </c>
      <c r="J28" s="217" t="s">
        <v>1827</v>
      </c>
      <c r="K28" s="427"/>
    </row>
    <row r="29" spans="1:11" x14ac:dyDescent="0.2">
      <c r="A29" s="426"/>
      <c r="B29" s="655" t="s">
        <v>436</v>
      </c>
      <c r="C29" s="217"/>
      <c r="D29" s="217"/>
      <c r="E29" s="217"/>
      <c r="F29" s="407">
        <v>2</v>
      </c>
      <c r="G29" s="222" t="s">
        <v>24</v>
      </c>
      <c r="H29" s="222" t="s">
        <v>437</v>
      </c>
      <c r="I29" s="187">
        <f>H144</f>
        <v>73.946560575240198</v>
      </c>
      <c r="J29" s="217" t="s">
        <v>1827</v>
      </c>
      <c r="K29" s="427"/>
    </row>
    <row r="30" spans="1:11" x14ac:dyDescent="0.2">
      <c r="A30" s="217"/>
      <c r="B30" s="655" t="s">
        <v>438</v>
      </c>
      <c r="C30" s="217"/>
      <c r="D30" s="217"/>
      <c r="E30" s="217"/>
      <c r="F30" s="187">
        <f>F28+F29+F21/1000</f>
        <v>5.15</v>
      </c>
      <c r="G30" s="222" t="s">
        <v>24</v>
      </c>
      <c r="H30" s="951">
        <f>F30/F25</f>
        <v>0.88793103448275867</v>
      </c>
      <c r="I30" s="217"/>
      <c r="J30" s="217"/>
      <c r="K30" s="427"/>
    </row>
    <row r="31" spans="1:11" x14ac:dyDescent="0.2">
      <c r="B31" s="426"/>
      <c r="C31" s="217"/>
      <c r="D31" s="217"/>
      <c r="E31" s="217"/>
      <c r="F31" s="217"/>
      <c r="G31" s="217"/>
      <c r="H31" s="217"/>
      <c r="I31" s="217"/>
      <c r="J31" s="217"/>
      <c r="K31" s="427"/>
    </row>
    <row r="32" spans="1:11" x14ac:dyDescent="0.2">
      <c r="B32" s="655" t="s">
        <v>439</v>
      </c>
      <c r="C32" s="217"/>
      <c r="D32" s="217"/>
      <c r="E32" s="217"/>
      <c r="F32" s="217"/>
      <c r="G32" s="952">
        <f>'Struct2(Barrel)'!F42</f>
        <v>414000</v>
      </c>
      <c r="H32" s="222" t="s">
        <v>35</v>
      </c>
      <c r="I32" s="545">
        <f>G32/6.895</f>
        <v>60043.509789702686</v>
      </c>
      <c r="J32" s="290" t="s">
        <v>413</v>
      </c>
      <c r="K32" s="427"/>
    </row>
    <row r="33" spans="2:12" x14ac:dyDescent="0.2">
      <c r="B33" s="655" t="s">
        <v>440</v>
      </c>
      <c r="C33" s="217"/>
      <c r="D33" s="217"/>
      <c r="E33" s="217"/>
      <c r="F33" s="217"/>
      <c r="G33" s="952">
        <f>'Struct2(Barrel)'!F43</f>
        <v>22000</v>
      </c>
      <c r="H33" s="222" t="s">
        <v>35</v>
      </c>
      <c r="I33" s="545">
        <f>G33/6.895</f>
        <v>3190.7179115300946</v>
      </c>
      <c r="J33" s="290" t="s">
        <v>413</v>
      </c>
      <c r="K33" s="427"/>
    </row>
    <row r="34" spans="2:12" x14ac:dyDescent="0.2">
      <c r="B34" s="426"/>
      <c r="C34" s="217"/>
      <c r="D34" s="217"/>
      <c r="E34" s="217"/>
      <c r="F34" s="217"/>
      <c r="G34" s="217"/>
      <c r="H34" s="217"/>
      <c r="I34" s="217"/>
      <c r="J34" s="217"/>
      <c r="K34" s="427"/>
    </row>
    <row r="35" spans="2:12" x14ac:dyDescent="0.2">
      <c r="B35" s="655" t="s">
        <v>348</v>
      </c>
      <c r="C35" s="217"/>
      <c r="D35" s="217"/>
      <c r="E35" s="217"/>
      <c r="F35" s="217"/>
      <c r="G35" s="952">
        <f>0.45*G32</f>
        <v>186300</v>
      </c>
      <c r="H35" s="222" t="s">
        <v>35</v>
      </c>
      <c r="I35" s="217"/>
      <c r="J35" s="217"/>
      <c r="K35" s="427"/>
    </row>
    <row r="36" spans="2:12" x14ac:dyDescent="0.2">
      <c r="B36" s="655" t="s">
        <v>327</v>
      </c>
      <c r="C36" s="217"/>
      <c r="D36" s="217"/>
      <c r="E36" s="217"/>
      <c r="F36" s="217"/>
      <c r="G36" s="952">
        <f>0.4*G33</f>
        <v>8800</v>
      </c>
      <c r="H36" s="222" t="s">
        <v>35</v>
      </c>
      <c r="I36" s="217"/>
      <c r="J36" s="217"/>
      <c r="K36" s="427"/>
    </row>
    <row r="37" spans="2:12" x14ac:dyDescent="0.2">
      <c r="B37" s="426"/>
      <c r="C37" s="217"/>
      <c r="D37" s="217"/>
      <c r="E37" s="217"/>
      <c r="F37" s="217"/>
      <c r="G37" s="217"/>
      <c r="H37" s="217"/>
      <c r="I37" s="217"/>
      <c r="J37" s="217"/>
      <c r="K37" s="427"/>
    </row>
    <row r="38" spans="2:12" ht="14.25" x14ac:dyDescent="0.2">
      <c r="B38" s="655" t="s">
        <v>441</v>
      </c>
      <c r="C38" s="217"/>
      <c r="D38" s="217"/>
      <c r="E38" s="217"/>
      <c r="F38" s="217"/>
      <c r="G38" s="952">
        <f>2.89*SQRT(G33)</f>
        <v>428.65627255412932</v>
      </c>
      <c r="H38" s="222" t="s">
        <v>35</v>
      </c>
      <c r="I38" s="217"/>
      <c r="J38" s="217"/>
      <c r="K38" s="427"/>
    </row>
    <row r="39" spans="2:12" x14ac:dyDescent="0.2">
      <c r="B39" s="426"/>
      <c r="C39" s="217"/>
      <c r="D39" s="217"/>
      <c r="E39" s="217"/>
      <c r="F39" s="217"/>
      <c r="G39" s="217"/>
      <c r="H39" s="217"/>
      <c r="I39" s="217"/>
      <c r="J39" s="217"/>
      <c r="K39" s="427"/>
    </row>
    <row r="40" spans="2:12" ht="14.25" x14ac:dyDescent="0.2">
      <c r="B40" s="655" t="s">
        <v>442</v>
      </c>
      <c r="C40" s="217"/>
      <c r="D40" s="217"/>
      <c r="E40" s="217"/>
      <c r="F40" s="222"/>
      <c r="G40" s="953">
        <f>113.4*G33^0.5</f>
        <v>16819.938168732966</v>
      </c>
      <c r="H40" s="459" t="s">
        <v>443</v>
      </c>
      <c r="I40" s="217"/>
      <c r="J40" s="952"/>
      <c r="K40" s="458"/>
    </row>
    <row r="41" spans="2:12" x14ac:dyDescent="0.2">
      <c r="B41" s="426"/>
      <c r="C41" s="217"/>
      <c r="D41" s="217"/>
      <c r="E41" s="217"/>
      <c r="F41" s="217"/>
      <c r="G41" s="217"/>
      <c r="H41" s="217"/>
      <c r="I41" s="217"/>
      <c r="J41" s="217"/>
      <c r="K41" s="427"/>
      <c r="L41" s="176"/>
    </row>
    <row r="42" spans="2:12" x14ac:dyDescent="0.2">
      <c r="B42" s="655" t="s">
        <v>38</v>
      </c>
      <c r="C42" s="217"/>
      <c r="D42" s="217"/>
      <c r="E42" s="217"/>
      <c r="F42" s="222" t="s">
        <v>39</v>
      </c>
      <c r="G42" s="86">
        <v>1103</v>
      </c>
      <c r="H42" s="222" t="s">
        <v>444</v>
      </c>
      <c r="I42" s="222" t="s">
        <v>445</v>
      </c>
      <c r="J42" s="217"/>
      <c r="K42" s="427"/>
    </row>
    <row r="43" spans="2:12" x14ac:dyDescent="0.2">
      <c r="B43" s="426"/>
      <c r="C43" s="217"/>
      <c r="D43" s="217"/>
      <c r="E43" s="217"/>
      <c r="F43" s="217"/>
      <c r="G43" s="217"/>
      <c r="H43" s="217"/>
      <c r="I43" s="217"/>
      <c r="J43" s="217"/>
      <c r="K43" s="427"/>
    </row>
    <row r="44" spans="2:12" x14ac:dyDescent="0.2">
      <c r="B44" s="655" t="s">
        <v>40</v>
      </c>
      <c r="C44" s="217"/>
      <c r="D44" s="217"/>
      <c r="E44" s="217"/>
      <c r="F44" s="217"/>
      <c r="G44" s="952">
        <f>'Struct2(Barrel)'!F47</f>
        <v>196000000</v>
      </c>
      <c r="H44" s="222" t="s">
        <v>35</v>
      </c>
      <c r="I44" s="217"/>
      <c r="J44" s="217"/>
      <c r="K44" s="427"/>
    </row>
    <row r="45" spans="2:12" x14ac:dyDescent="0.2">
      <c r="B45" s="655" t="s">
        <v>41</v>
      </c>
      <c r="C45" s="217"/>
      <c r="D45" s="217"/>
      <c r="E45" s="217"/>
      <c r="F45" s="217"/>
      <c r="G45" s="952">
        <f>'Struct2(Barrel)'!F48</f>
        <v>19800000</v>
      </c>
      <c r="H45" s="222" t="s">
        <v>35</v>
      </c>
      <c r="I45" s="217"/>
      <c r="J45" s="217"/>
      <c r="K45" s="427"/>
    </row>
    <row r="46" spans="2:12" x14ac:dyDescent="0.2">
      <c r="B46" s="426"/>
      <c r="C46" s="217"/>
      <c r="D46" s="217"/>
      <c r="E46" s="217"/>
      <c r="F46" s="217"/>
      <c r="G46" s="217"/>
      <c r="H46" s="217"/>
      <c r="I46" s="217"/>
      <c r="J46" s="217"/>
      <c r="K46" s="427"/>
    </row>
    <row r="47" spans="2:12" x14ac:dyDescent="0.2">
      <c r="B47" s="655" t="s">
        <v>446</v>
      </c>
      <c r="C47" s="217"/>
      <c r="D47" s="217"/>
      <c r="E47" s="217"/>
      <c r="F47" s="217"/>
      <c r="G47" s="502">
        <f>'Struct2(Barrel)'!F50</f>
        <v>75</v>
      </c>
      <c r="H47" s="222" t="s">
        <v>43</v>
      </c>
      <c r="I47" s="217"/>
      <c r="J47" s="217"/>
      <c r="K47" s="427"/>
    </row>
    <row r="48" spans="2:12" x14ac:dyDescent="0.2">
      <c r="B48" s="426"/>
      <c r="C48" s="217"/>
      <c r="D48" s="217"/>
      <c r="E48" s="217"/>
      <c r="F48" s="217"/>
      <c r="G48" s="217"/>
      <c r="H48" s="217"/>
      <c r="I48" s="217"/>
      <c r="J48" s="217"/>
      <c r="K48" s="427"/>
    </row>
    <row r="49" spans="2:11" x14ac:dyDescent="0.2">
      <c r="B49" s="426"/>
      <c r="C49" s="217"/>
      <c r="D49" s="217"/>
      <c r="E49" s="217"/>
      <c r="F49" s="217"/>
      <c r="G49" s="217"/>
      <c r="H49" s="217"/>
      <c r="I49" s="217"/>
      <c r="J49" s="217"/>
      <c r="K49" s="427"/>
    </row>
    <row r="50" spans="2:11" x14ac:dyDescent="0.2">
      <c r="B50" s="426"/>
      <c r="C50" s="217"/>
      <c r="D50" s="217"/>
      <c r="E50" s="217"/>
      <c r="F50" s="217"/>
      <c r="G50" s="217"/>
      <c r="H50" s="217"/>
      <c r="I50" s="217"/>
      <c r="J50" s="217"/>
      <c r="K50" s="427"/>
    </row>
    <row r="51" spans="2:11" x14ac:dyDescent="0.2">
      <c r="B51" s="655" t="s">
        <v>1828</v>
      </c>
      <c r="C51" s="217"/>
      <c r="D51" s="217"/>
      <c r="E51" s="217"/>
      <c r="F51" s="217"/>
      <c r="G51" s="217"/>
      <c r="H51" s="217"/>
      <c r="I51" s="217"/>
      <c r="J51" s="217"/>
      <c r="K51" s="427"/>
    </row>
    <row r="52" spans="2:11" x14ac:dyDescent="0.2">
      <c r="B52" s="655" t="s">
        <v>44</v>
      </c>
      <c r="C52" s="217"/>
      <c r="D52" s="217"/>
      <c r="E52" s="217"/>
      <c r="F52" s="187">
        <f>G44/G45</f>
        <v>9.8989898989898997</v>
      </c>
      <c r="G52" s="217"/>
      <c r="H52" s="217"/>
      <c r="I52" s="217"/>
      <c r="J52" s="217"/>
      <c r="K52" s="427"/>
    </row>
    <row r="53" spans="2:11" x14ac:dyDescent="0.2">
      <c r="B53" s="655" t="s">
        <v>45</v>
      </c>
      <c r="C53" s="217"/>
      <c r="D53" s="217"/>
      <c r="E53" s="217"/>
      <c r="F53" s="187">
        <f>G35/G36</f>
        <v>21.170454545454547</v>
      </c>
      <c r="G53" s="217"/>
      <c r="H53" s="217"/>
      <c r="I53" s="217"/>
      <c r="J53" s="217"/>
      <c r="K53" s="427"/>
    </row>
    <row r="54" spans="2:11" x14ac:dyDescent="0.2">
      <c r="B54" s="655" t="s">
        <v>46</v>
      </c>
      <c r="C54" s="217"/>
      <c r="D54" s="217"/>
      <c r="E54" s="217"/>
      <c r="F54" s="490">
        <f>F52/(F52+F53)</f>
        <v>0.31860852602917872</v>
      </c>
      <c r="G54" s="217"/>
      <c r="H54" s="217"/>
      <c r="I54" s="217"/>
      <c r="J54" s="217"/>
      <c r="K54" s="427"/>
    </row>
    <row r="55" spans="2:11" x14ac:dyDescent="0.2">
      <c r="B55" s="655" t="s">
        <v>47</v>
      </c>
      <c r="C55" s="217"/>
      <c r="D55" s="217"/>
      <c r="E55" s="217"/>
      <c r="F55" s="217"/>
      <c r="G55" s="490">
        <f>1-F54/3</f>
        <v>0.89379715799027371</v>
      </c>
      <c r="H55" s="217"/>
      <c r="I55" s="217"/>
      <c r="J55" s="217"/>
      <c r="K55" s="427"/>
    </row>
    <row r="56" spans="2:11" ht="13.5" thickBot="1" x14ac:dyDescent="0.25">
      <c r="B56" s="957" t="s">
        <v>48</v>
      </c>
      <c r="C56" s="430"/>
      <c r="D56" s="430"/>
      <c r="E56" s="430"/>
      <c r="F56" s="430"/>
      <c r="G56" s="954">
        <f>G36*G55*F54/2</f>
        <v>1252.9941383359403</v>
      </c>
      <c r="H56" s="467" t="s">
        <v>35</v>
      </c>
      <c r="I56" s="430"/>
      <c r="J56" s="430"/>
      <c r="K56" s="489" t="s">
        <v>2428</v>
      </c>
    </row>
    <row r="69" spans="1:11" ht="13.5" thickBot="1" x14ac:dyDescent="0.25">
      <c r="B69" s="171"/>
      <c r="C69" s="171"/>
      <c r="D69" s="171"/>
      <c r="F69" s="171"/>
      <c r="G69" s="175"/>
    </row>
    <row r="70" spans="1:11" ht="15.75" x14ac:dyDescent="0.25">
      <c r="A70" s="423"/>
      <c r="B70" s="466"/>
      <c r="C70" s="466"/>
      <c r="D70" s="424"/>
      <c r="E70" s="424"/>
      <c r="F70" s="657">
        <f>F20</f>
        <v>300</v>
      </c>
      <c r="G70" s="466" t="s">
        <v>43</v>
      </c>
      <c r="H70" s="424"/>
      <c r="I70" s="424"/>
      <c r="J70" s="774" t="s">
        <v>2453</v>
      </c>
      <c r="K70" s="425"/>
    </row>
    <row r="71" spans="1:11" ht="13.5" thickBot="1" x14ac:dyDescent="0.25">
      <c r="A71" s="426"/>
      <c r="B71" s="222"/>
      <c r="C71" s="792" t="str">
        <f>E2</f>
        <v>DR-5</v>
      </c>
      <c r="D71" s="217"/>
      <c r="E71" s="217"/>
      <c r="F71" s="19" t="s">
        <v>448</v>
      </c>
      <c r="G71" s="222" t="s">
        <v>449</v>
      </c>
      <c r="H71" s="217"/>
      <c r="I71" s="217"/>
      <c r="J71" s="217"/>
      <c r="K71" s="427"/>
    </row>
    <row r="72" spans="1:11" x14ac:dyDescent="0.2">
      <c r="A72" s="426"/>
      <c r="B72" s="222"/>
      <c r="C72" s="222"/>
      <c r="D72" s="217"/>
      <c r="E72" s="217"/>
      <c r="F72" s="222"/>
      <c r="G72" s="459"/>
      <c r="H72" s="399">
        <f>F17</f>
        <v>3</v>
      </c>
      <c r="I72" s="217" t="s">
        <v>450</v>
      </c>
      <c r="J72" s="217"/>
      <c r="K72" s="427"/>
    </row>
    <row r="73" spans="1:11" x14ac:dyDescent="0.2">
      <c r="A73" s="426"/>
      <c r="B73" s="222"/>
      <c r="C73" s="222"/>
      <c r="D73" s="217"/>
      <c r="E73" s="217"/>
      <c r="F73" s="222"/>
      <c r="G73" s="459"/>
      <c r="H73" s="217"/>
      <c r="I73" s="217"/>
      <c r="J73" s="217"/>
      <c r="K73" s="427"/>
    </row>
    <row r="74" spans="1:11" x14ac:dyDescent="0.2">
      <c r="A74" s="426"/>
      <c r="B74" s="217"/>
      <c r="C74" s="217"/>
      <c r="D74" s="217"/>
      <c r="E74" s="217"/>
      <c r="F74" s="222"/>
      <c r="G74" s="459"/>
      <c r="H74" s="217"/>
      <c r="I74" s="217"/>
      <c r="J74" s="217"/>
      <c r="K74" s="427"/>
    </row>
    <row r="75" spans="1:11" x14ac:dyDescent="0.2">
      <c r="A75" s="426"/>
      <c r="B75" s="222"/>
      <c r="C75" s="217"/>
      <c r="D75" s="217"/>
      <c r="E75" s="217"/>
      <c r="F75" s="222"/>
      <c r="G75" s="459"/>
      <c r="H75" s="217"/>
      <c r="I75" s="217"/>
      <c r="J75" s="217"/>
      <c r="K75" s="427"/>
    </row>
    <row r="76" spans="1:11" x14ac:dyDescent="0.2">
      <c r="A76" s="426"/>
      <c r="B76" s="217"/>
      <c r="C76" s="217"/>
      <c r="D76" s="222"/>
      <c r="E76" s="217"/>
      <c r="F76" s="222"/>
      <c r="G76" s="459"/>
      <c r="H76" s="217"/>
      <c r="I76" s="217"/>
      <c r="J76" s="217"/>
      <c r="K76" s="427"/>
    </row>
    <row r="77" spans="1:11" x14ac:dyDescent="0.2">
      <c r="A77" s="426"/>
      <c r="B77" s="222"/>
      <c r="C77" s="222"/>
      <c r="D77" s="217"/>
      <c r="E77" s="217"/>
      <c r="F77" s="222"/>
      <c r="G77" s="459"/>
      <c r="H77" s="217"/>
      <c r="I77" s="217"/>
      <c r="J77" s="217"/>
      <c r="K77" s="427"/>
    </row>
    <row r="78" spans="1:11" x14ac:dyDescent="0.2">
      <c r="A78" s="426"/>
      <c r="B78" s="222"/>
      <c r="C78" s="217" t="s">
        <v>451</v>
      </c>
      <c r="D78" s="217">
        <f>F24</f>
        <v>5.0999999999999996</v>
      </c>
      <c r="E78" s="217" t="s">
        <v>24</v>
      </c>
      <c r="F78" s="222"/>
      <c r="G78" s="459"/>
      <c r="H78" s="217"/>
      <c r="I78" s="217"/>
      <c r="J78" s="217"/>
      <c r="K78" s="427"/>
    </row>
    <row r="79" spans="1:11" x14ac:dyDescent="0.2">
      <c r="A79" s="426"/>
      <c r="B79" s="222"/>
      <c r="C79" s="222"/>
      <c r="D79" s="217"/>
      <c r="E79" s="217"/>
      <c r="F79" s="222"/>
      <c r="G79" s="459"/>
      <c r="H79" s="217"/>
      <c r="I79" s="217"/>
      <c r="J79" s="217"/>
      <c r="K79" s="427"/>
    </row>
    <row r="80" spans="1:11" x14ac:dyDescent="0.2">
      <c r="A80" s="426"/>
      <c r="B80" s="222"/>
      <c r="C80" s="222"/>
      <c r="D80" s="217"/>
      <c r="E80" s="217"/>
      <c r="F80" s="222"/>
      <c r="G80" s="459"/>
      <c r="H80" s="217"/>
      <c r="I80" s="217"/>
      <c r="J80" s="217"/>
      <c r="K80" s="427"/>
    </row>
    <row r="81" spans="1:11" x14ac:dyDescent="0.2">
      <c r="A81" s="426"/>
      <c r="B81" s="222"/>
      <c r="C81" s="496" t="s">
        <v>452</v>
      </c>
      <c r="D81" s="217">
        <f>F25</f>
        <v>5.8</v>
      </c>
      <c r="E81" s="217" t="s">
        <v>24</v>
      </c>
      <c r="F81" s="222"/>
      <c r="G81" s="459"/>
      <c r="H81" s="217"/>
      <c r="I81" s="217"/>
      <c r="J81" s="217"/>
      <c r="K81" s="427"/>
    </row>
    <row r="82" spans="1:11" x14ac:dyDescent="0.2">
      <c r="A82" s="426"/>
      <c r="B82" s="222"/>
      <c r="C82" s="222"/>
      <c r="D82" s="217"/>
      <c r="E82" s="217"/>
      <c r="F82" s="222"/>
      <c r="G82" s="459"/>
      <c r="H82" s="217"/>
      <c r="I82" s="217"/>
      <c r="J82" s="217"/>
      <c r="K82" s="427"/>
    </row>
    <row r="83" spans="1:11" x14ac:dyDescent="0.2">
      <c r="A83" s="426"/>
      <c r="B83" s="222"/>
      <c r="C83" s="222"/>
      <c r="D83" s="217"/>
      <c r="E83" s="217"/>
      <c r="F83" s="217"/>
      <c r="G83" s="222"/>
      <c r="H83" s="217"/>
      <c r="I83" s="217"/>
      <c r="J83" s="217"/>
      <c r="K83" s="427"/>
    </row>
    <row r="84" spans="1:11" x14ac:dyDescent="0.2">
      <c r="A84" s="426"/>
      <c r="B84" s="217"/>
      <c r="C84" s="222"/>
      <c r="D84" s="217"/>
      <c r="E84" s="217"/>
      <c r="F84" s="217"/>
      <c r="G84" s="217"/>
      <c r="H84" s="222"/>
      <c r="I84" s="217"/>
      <c r="J84" s="217"/>
      <c r="K84" s="427"/>
    </row>
    <row r="85" spans="1:11" x14ac:dyDescent="0.2">
      <c r="A85" s="426"/>
      <c r="B85" s="19"/>
      <c r="C85" s="222"/>
      <c r="D85" s="217"/>
      <c r="E85" s="217"/>
      <c r="F85" s="217"/>
      <c r="G85" s="217"/>
      <c r="H85" s="222"/>
      <c r="I85" s="217"/>
      <c r="J85" s="217"/>
      <c r="K85" s="427"/>
    </row>
    <row r="86" spans="1:11" x14ac:dyDescent="0.2">
      <c r="A86" s="426"/>
      <c r="B86" s="217"/>
      <c r="C86" s="222"/>
      <c r="D86" s="217"/>
      <c r="E86" s="217"/>
      <c r="F86" s="217"/>
      <c r="G86" s="217"/>
      <c r="H86" s="222"/>
      <c r="I86" s="217"/>
      <c r="J86" s="217"/>
      <c r="K86" s="427"/>
    </row>
    <row r="87" spans="1:11" x14ac:dyDescent="0.2">
      <c r="A87" s="426"/>
      <c r="B87" s="222"/>
      <c r="C87" s="222"/>
      <c r="D87" s="217"/>
      <c r="E87" s="217"/>
      <c r="F87" s="217"/>
      <c r="G87" s="217"/>
      <c r="H87" s="217"/>
      <c r="I87" s="217"/>
      <c r="J87" s="217"/>
      <c r="K87" s="427"/>
    </row>
    <row r="88" spans="1:11" x14ac:dyDescent="0.2">
      <c r="A88" s="426"/>
      <c r="B88" s="217"/>
      <c r="C88" s="217"/>
      <c r="D88" s="217"/>
      <c r="E88" s="217"/>
      <c r="F88" s="217"/>
      <c r="G88" s="222"/>
      <c r="H88" s="217">
        <f>F18</f>
        <v>-2.1</v>
      </c>
      <c r="I88" s="217" t="s">
        <v>450</v>
      </c>
      <c r="J88" s="217"/>
      <c r="K88" s="427"/>
    </row>
    <row r="89" spans="1:11" x14ac:dyDescent="0.2">
      <c r="A89" s="426"/>
      <c r="B89" s="217"/>
      <c r="C89" s="217"/>
      <c r="D89" s="217"/>
      <c r="E89" s="217"/>
      <c r="F89" s="217"/>
      <c r="G89" s="222"/>
      <c r="H89" s="222"/>
      <c r="I89" s="222"/>
      <c r="J89" s="217"/>
      <c r="K89" s="427"/>
    </row>
    <row r="90" spans="1:11" x14ac:dyDescent="0.2">
      <c r="A90" s="426"/>
      <c r="B90" s="217"/>
      <c r="C90" s="217"/>
      <c r="D90" s="217"/>
      <c r="E90" s="217"/>
      <c r="F90" s="217"/>
      <c r="G90" s="222"/>
      <c r="H90" s="217"/>
      <c r="I90" s="217"/>
      <c r="J90" s="325">
        <f>F22</f>
        <v>700</v>
      </c>
      <c r="K90" s="427" t="s">
        <v>43</v>
      </c>
    </row>
    <row r="91" spans="1:11" x14ac:dyDescent="0.2">
      <c r="A91" s="426"/>
      <c r="B91" s="217"/>
      <c r="C91" s="217"/>
      <c r="D91" s="217"/>
      <c r="E91" s="217"/>
      <c r="F91" s="217"/>
      <c r="G91" s="217"/>
      <c r="H91" s="217"/>
      <c r="I91" s="217"/>
      <c r="J91" s="217"/>
      <c r="K91" s="427"/>
    </row>
    <row r="92" spans="1:11" x14ac:dyDescent="0.2">
      <c r="A92" s="426"/>
      <c r="B92" s="217"/>
      <c r="C92" s="222"/>
      <c r="D92" s="217"/>
      <c r="E92" s="217"/>
      <c r="F92" s="217"/>
      <c r="G92" s="217"/>
      <c r="H92" s="217"/>
      <c r="I92" s="217"/>
      <c r="J92" s="222"/>
      <c r="K92" s="427"/>
    </row>
    <row r="93" spans="1:11" x14ac:dyDescent="0.2">
      <c r="A93" s="426"/>
      <c r="B93" s="217"/>
      <c r="C93" s="222"/>
      <c r="D93" s="217"/>
      <c r="E93" s="217"/>
      <c r="F93" s="217"/>
      <c r="G93" s="217"/>
      <c r="H93" s="222"/>
      <c r="I93" s="217"/>
      <c r="J93" s="222"/>
      <c r="K93" s="427"/>
    </row>
    <row r="94" spans="1:11" x14ac:dyDescent="0.2">
      <c r="A94" s="426"/>
      <c r="B94" s="217"/>
      <c r="C94" s="217"/>
      <c r="D94" s="217"/>
      <c r="E94" s="217"/>
      <c r="F94" s="217"/>
      <c r="G94" s="217"/>
      <c r="H94" s="222"/>
      <c r="I94" s="217"/>
      <c r="J94" s="217"/>
      <c r="K94" s="427"/>
    </row>
    <row r="95" spans="1:11" ht="15.75" x14ac:dyDescent="0.3">
      <c r="A95" s="426"/>
      <c r="B95" s="217"/>
      <c r="C95" s="222"/>
      <c r="D95" s="217"/>
      <c r="E95" s="222"/>
      <c r="F95" s="217"/>
      <c r="G95" s="217"/>
      <c r="H95" s="399" t="s">
        <v>1866</v>
      </c>
      <c r="I95" s="217"/>
      <c r="J95" s="498" t="s">
        <v>453</v>
      </c>
      <c r="K95" s="427"/>
    </row>
    <row r="96" spans="1:11" ht="15.75" x14ac:dyDescent="0.3">
      <c r="A96" s="426"/>
      <c r="B96" s="217"/>
      <c r="C96" s="399" t="s">
        <v>454</v>
      </c>
      <c r="D96" s="217"/>
      <c r="E96" s="498" t="s">
        <v>1865</v>
      </c>
      <c r="F96" s="222"/>
      <c r="G96" s="217"/>
      <c r="H96" s="399">
        <f>I316</f>
        <v>127.25804255200029</v>
      </c>
      <c r="I96" s="217" t="s">
        <v>58</v>
      </c>
      <c r="J96" s="217">
        <f>H143</f>
        <v>85.137711269419981</v>
      </c>
      <c r="K96" s="427" t="s">
        <v>57</v>
      </c>
    </row>
    <row r="97" spans="1:11" x14ac:dyDescent="0.2">
      <c r="A97" s="426"/>
      <c r="B97" s="217"/>
      <c r="C97" s="399">
        <f>H144</f>
        <v>73.946560575240198</v>
      </c>
      <c r="D97" s="217" t="s">
        <v>57</v>
      </c>
      <c r="E97" s="217">
        <f>I381</f>
        <v>134.33803724584845</v>
      </c>
      <c r="F97" s="217" t="s">
        <v>58</v>
      </c>
      <c r="G97" s="222"/>
      <c r="H97" s="222"/>
      <c r="I97" s="217"/>
      <c r="J97" s="217"/>
      <c r="K97" s="427"/>
    </row>
    <row r="98" spans="1:11" x14ac:dyDescent="0.2">
      <c r="A98" s="426"/>
      <c r="B98" s="217"/>
      <c r="C98" s="217"/>
      <c r="D98" s="217"/>
      <c r="E98" s="217"/>
      <c r="F98" s="217"/>
      <c r="G98" s="217"/>
      <c r="H98" s="222"/>
      <c r="I98" s="217"/>
      <c r="J98" s="217"/>
      <c r="K98" s="427"/>
    </row>
    <row r="99" spans="1:11" x14ac:dyDescent="0.2">
      <c r="A99" s="426"/>
      <c r="B99" s="217"/>
      <c r="C99" s="217"/>
      <c r="D99" s="217"/>
      <c r="E99" s="217"/>
      <c r="F99" s="217"/>
      <c r="G99" s="217"/>
      <c r="H99" s="217"/>
      <c r="I99" s="217"/>
      <c r="J99" s="217"/>
      <c r="K99" s="427"/>
    </row>
    <row r="100" spans="1:11" x14ac:dyDescent="0.2">
      <c r="A100" s="426"/>
      <c r="B100" s="217"/>
      <c r="C100" s="217"/>
      <c r="D100" s="399"/>
      <c r="E100" s="459"/>
      <c r="F100" s="217"/>
      <c r="G100" s="217"/>
      <c r="H100" s="217"/>
      <c r="I100" s="217"/>
      <c r="J100" s="217"/>
      <c r="K100" s="427"/>
    </row>
    <row r="101" spans="1:11" x14ac:dyDescent="0.2">
      <c r="A101" s="426"/>
      <c r="B101" s="217"/>
      <c r="C101" s="217"/>
      <c r="D101" s="399"/>
      <c r="E101" s="217"/>
      <c r="F101" s="217"/>
      <c r="G101" s="217"/>
      <c r="H101" s="217"/>
      <c r="I101" s="217"/>
      <c r="J101" s="217"/>
      <c r="K101" s="427"/>
    </row>
    <row r="102" spans="1:11" x14ac:dyDescent="0.2">
      <c r="A102" s="426"/>
      <c r="B102" s="217"/>
      <c r="C102" s="217"/>
      <c r="D102" s="399"/>
      <c r="E102" s="217">
        <f>F29</f>
        <v>2</v>
      </c>
      <c r="F102" s="325">
        <f>F21</f>
        <v>650</v>
      </c>
      <c r="G102" s="222" t="s">
        <v>43</v>
      </c>
      <c r="H102" s="187">
        <f>F28</f>
        <v>2.5</v>
      </c>
      <c r="I102" s="217" t="s">
        <v>24</v>
      </c>
      <c r="J102" s="217"/>
      <c r="K102" s="427"/>
    </row>
    <row r="103" spans="1:11" x14ac:dyDescent="0.2">
      <c r="A103" s="426"/>
      <c r="B103" s="217"/>
      <c r="C103" s="217"/>
      <c r="D103" s="222"/>
      <c r="E103" s="217" t="s">
        <v>455</v>
      </c>
      <c r="F103" s="19" t="s">
        <v>456</v>
      </c>
      <c r="G103" s="217"/>
      <c r="H103" s="222" t="s">
        <v>457</v>
      </c>
      <c r="I103" s="217"/>
      <c r="J103" s="217"/>
      <c r="K103" s="427"/>
    </row>
    <row r="104" spans="1:11" x14ac:dyDescent="0.2">
      <c r="A104" s="426"/>
      <c r="B104" s="217"/>
      <c r="C104" s="217"/>
      <c r="D104" s="217"/>
      <c r="E104" s="217"/>
      <c r="F104" s="217"/>
      <c r="G104" s="217"/>
      <c r="H104" s="217"/>
      <c r="I104" s="217"/>
      <c r="J104" s="217"/>
      <c r="K104" s="427"/>
    </row>
    <row r="105" spans="1:11" x14ac:dyDescent="0.2">
      <c r="A105" s="426"/>
      <c r="B105" s="217"/>
      <c r="C105" s="217"/>
      <c r="D105" s="217"/>
      <c r="E105" s="217"/>
      <c r="F105" s="217" t="s">
        <v>458</v>
      </c>
      <c r="G105" s="217">
        <f>F30</f>
        <v>5.15</v>
      </c>
      <c r="H105" s="217"/>
      <c r="I105" s="217"/>
      <c r="J105" s="217"/>
      <c r="K105" s="427"/>
    </row>
    <row r="106" spans="1:11" x14ac:dyDescent="0.2">
      <c r="A106" s="426"/>
      <c r="B106" s="217"/>
      <c r="C106" s="217"/>
      <c r="D106" s="217"/>
      <c r="E106" s="217"/>
      <c r="F106" s="652" t="s">
        <v>459</v>
      </c>
      <c r="G106" s="217"/>
      <c r="H106" s="217"/>
      <c r="I106" s="217"/>
      <c r="J106" s="217"/>
      <c r="K106" s="427"/>
    </row>
    <row r="107" spans="1:11" ht="13.5" thickBot="1" x14ac:dyDescent="0.25">
      <c r="A107" s="429"/>
      <c r="B107" s="430"/>
      <c r="C107" s="430"/>
      <c r="D107" s="430"/>
      <c r="E107" s="430"/>
      <c r="F107" s="430"/>
      <c r="G107" s="430"/>
      <c r="H107" s="430"/>
      <c r="I107" s="430"/>
      <c r="J107" s="430"/>
      <c r="K107" s="650" t="s">
        <v>2429</v>
      </c>
    </row>
    <row r="108" spans="1:11" x14ac:dyDescent="0.2">
      <c r="B108" s="172" t="s">
        <v>460</v>
      </c>
    </row>
    <row r="109" spans="1:11" x14ac:dyDescent="0.2">
      <c r="A109" s="171"/>
    </row>
    <row r="110" spans="1:11" x14ac:dyDescent="0.2">
      <c r="B110" s="180" t="s">
        <v>461</v>
      </c>
      <c r="C110" s="69"/>
      <c r="D110" s="68" t="s">
        <v>219</v>
      </c>
      <c r="E110" s="181" t="s">
        <v>462</v>
      </c>
      <c r="F110" s="181" t="s">
        <v>463</v>
      </c>
      <c r="G110" s="181" t="s">
        <v>464</v>
      </c>
      <c r="H110" s="181" t="s">
        <v>465</v>
      </c>
      <c r="I110" s="182" t="s">
        <v>466</v>
      </c>
    </row>
    <row r="111" spans="1:11" x14ac:dyDescent="0.2">
      <c r="B111" s="183"/>
      <c r="C111" s="184"/>
      <c r="D111" s="79" t="s">
        <v>215</v>
      </c>
      <c r="E111" s="80" t="s">
        <v>214</v>
      </c>
      <c r="F111" s="80" t="s">
        <v>467</v>
      </c>
      <c r="G111" s="80" t="s">
        <v>468</v>
      </c>
      <c r="H111" s="80" t="s">
        <v>214</v>
      </c>
      <c r="I111" s="81" t="s">
        <v>469</v>
      </c>
    </row>
    <row r="112" spans="1:11" x14ac:dyDescent="0.2">
      <c r="B112" s="185" t="s">
        <v>470</v>
      </c>
      <c r="C112" s="186"/>
      <c r="D112" s="85">
        <f>F22</f>
        <v>700</v>
      </c>
      <c r="E112" s="187">
        <f>F30</f>
        <v>5.15</v>
      </c>
      <c r="F112" s="187">
        <f>$F$9</f>
        <v>23.6</v>
      </c>
      <c r="G112" s="187">
        <f>$D112/1000*$E112*$F112</f>
        <v>85.078000000000003</v>
      </c>
      <c r="H112" s="187">
        <f>E112/2</f>
        <v>2.5750000000000002</v>
      </c>
      <c r="I112" s="188">
        <f>$G112*$H112</f>
        <v>219.07585000000003</v>
      </c>
    </row>
    <row r="113" spans="1:10" x14ac:dyDescent="0.2">
      <c r="B113" s="185" t="s">
        <v>471</v>
      </c>
      <c r="C113" s="186"/>
      <c r="D113" s="85">
        <f>F20</f>
        <v>300</v>
      </c>
      <c r="E113" s="187">
        <f>F$24</f>
        <v>5.0999999999999996</v>
      </c>
      <c r="F113" s="187">
        <f>$F$9</f>
        <v>23.6</v>
      </c>
      <c r="G113" s="187">
        <f>$D113/1000*$E113*$F113</f>
        <v>36.107999999999997</v>
      </c>
      <c r="H113" s="187">
        <f>D113/2000+F29</f>
        <v>2.15</v>
      </c>
      <c r="I113" s="188">
        <f>$G113*$H113</f>
        <v>77.632199999999983</v>
      </c>
    </row>
    <row r="114" spans="1:10" x14ac:dyDescent="0.2">
      <c r="B114" s="185" t="s">
        <v>472</v>
      </c>
      <c r="C114" s="186"/>
      <c r="D114" s="85">
        <f>(F$21-F$20)/2</f>
        <v>175</v>
      </c>
      <c r="E114" s="187">
        <f>F$24</f>
        <v>5.0999999999999996</v>
      </c>
      <c r="F114" s="187">
        <f>$F$9</f>
        <v>23.6</v>
      </c>
      <c r="G114" s="187">
        <f>$D114/1000*$E114*$F114</f>
        <v>21.062999999999999</v>
      </c>
      <c r="H114" s="187">
        <f>(F$21-F$20)/3000+F$20/1000+F$29</f>
        <v>2.4166666666666665</v>
      </c>
      <c r="I114" s="188">
        <f>$G114*$H114</f>
        <v>50.902249999999995</v>
      </c>
    </row>
    <row r="115" spans="1:10" x14ac:dyDescent="0.2">
      <c r="B115" s="185" t="s">
        <v>473</v>
      </c>
      <c r="C115" s="186"/>
      <c r="D115" s="85">
        <f>(F$21-F$20)/2</f>
        <v>175</v>
      </c>
      <c r="E115" s="187">
        <f>F$24</f>
        <v>5.0999999999999996</v>
      </c>
      <c r="F115" s="187">
        <f>$F$10</f>
        <v>19.600000000000001</v>
      </c>
      <c r="G115" s="187">
        <f>$D115/1000*$E115*$F115</f>
        <v>17.492999999999999</v>
      </c>
      <c r="H115" s="187">
        <f>(F$21-F$20)/1500+F$20/1000+F$29</f>
        <v>2.5333333333333332</v>
      </c>
      <c r="I115" s="188">
        <f>$G115*$H115</f>
        <v>44.315599999999996</v>
      </c>
    </row>
    <row r="116" spans="1:10" x14ac:dyDescent="0.2">
      <c r="B116" s="189" t="s">
        <v>474</v>
      </c>
      <c r="C116" s="190"/>
      <c r="D116" s="74">
        <f>F24*1000</f>
        <v>5100</v>
      </c>
      <c r="E116" s="191">
        <f>F28</f>
        <v>2.5</v>
      </c>
      <c r="F116" s="191">
        <f>$F$10</f>
        <v>19.600000000000001</v>
      </c>
      <c r="G116" s="191">
        <f>$D116/1000*$E116*$F116</f>
        <v>249.9</v>
      </c>
      <c r="H116" s="191">
        <f>E116/2+F21/1000+F29</f>
        <v>3.9</v>
      </c>
      <c r="I116" s="192">
        <f>$G116*$H116</f>
        <v>974.61</v>
      </c>
    </row>
    <row r="117" spans="1:10" x14ac:dyDescent="0.2">
      <c r="B117" s="189" t="s">
        <v>475</v>
      </c>
      <c r="C117" s="193" t="s">
        <v>2</v>
      </c>
      <c r="D117" s="183"/>
      <c r="E117" s="194"/>
      <c r="F117" s="194"/>
      <c r="G117" s="191">
        <f>SUM(G112:G116)</f>
        <v>409.642</v>
      </c>
      <c r="H117" s="195"/>
      <c r="I117" s="192">
        <f>SUM(I112:I116)</f>
        <v>1366.5359000000001</v>
      </c>
    </row>
    <row r="119" spans="1:10" x14ac:dyDescent="0.2">
      <c r="B119" s="196" t="s">
        <v>476</v>
      </c>
    </row>
    <row r="121" spans="1:10" x14ac:dyDescent="0.2">
      <c r="B121" s="171" t="s">
        <v>477</v>
      </c>
      <c r="C121" s="171"/>
      <c r="H121" s="169">
        <f>0.5*G14*F25^2*F10</f>
        <v>174.02199544337867</v>
      </c>
      <c r="I121" s="169" t="s">
        <v>57</v>
      </c>
    </row>
    <row r="122" spans="1:10" x14ac:dyDescent="0.2">
      <c r="B122" s="171" t="s">
        <v>478</v>
      </c>
      <c r="C122" s="168"/>
      <c r="D122" s="171"/>
      <c r="E122" s="168"/>
      <c r="F122" s="171"/>
      <c r="G122" s="168"/>
      <c r="H122" s="178">
        <f>H121*F25/3</f>
        <v>336.44252452386542</v>
      </c>
      <c r="I122" s="168" t="s">
        <v>58</v>
      </c>
    </row>
    <row r="124" spans="1:10" x14ac:dyDescent="0.2">
      <c r="B124" s="171" t="s">
        <v>479</v>
      </c>
      <c r="G124" s="171"/>
      <c r="H124" s="169">
        <f>I117/H122</f>
        <v>4.0617216920896855</v>
      </c>
      <c r="J124" s="171"/>
    </row>
    <row r="125" spans="1:10" x14ac:dyDescent="0.2">
      <c r="B125" s="171" t="s">
        <v>480</v>
      </c>
      <c r="E125" s="168">
        <f>H124</f>
        <v>4.0617216920896855</v>
      </c>
      <c r="F125" s="168" t="str">
        <f>IF(H124&gt;=1.5,"  &gt;  1.5","  &lt;  1.5 ")</f>
        <v xml:space="preserve">  &gt;  1.5</v>
      </c>
      <c r="G125" s="168" t="str">
        <f>IF(H124&gt;=1.5,"Design is o.k  &lt;-----","Design is not o.k   &lt;-----")</f>
        <v>Design is o.k  &lt;-----</v>
      </c>
    </row>
    <row r="126" spans="1:10" x14ac:dyDescent="0.2">
      <c r="B126" s="171" t="s">
        <v>481</v>
      </c>
      <c r="G126" s="168"/>
      <c r="H126" s="178">
        <f>0.5*G117/H121</f>
        <v>1.1769834007370772</v>
      </c>
    </row>
    <row r="127" spans="1:10" x14ac:dyDescent="0.2">
      <c r="A127" s="171"/>
      <c r="B127" s="171" t="s">
        <v>480</v>
      </c>
      <c r="E127" s="168">
        <f>H126</f>
        <v>1.1769834007370772</v>
      </c>
      <c r="F127" s="168" t="str">
        <f>IF(H126&gt;=1.5,"  &gt;  1.5","  &lt;  1.5 ")</f>
        <v xml:space="preserve">  &lt;  1.5 </v>
      </c>
      <c r="G127" s="168" t="str">
        <f>IF(H126&gt;=1.5,"Design is o.k  &lt;-----","Design is not o.k   &lt;-----")</f>
        <v>Design is not o.k   &lt;-----</v>
      </c>
    </row>
    <row r="129" spans="2:9" x14ac:dyDescent="0.2">
      <c r="B129" s="171" t="s">
        <v>482</v>
      </c>
    </row>
    <row r="130" spans="2:9" x14ac:dyDescent="0.2">
      <c r="B130" s="171" t="s">
        <v>483</v>
      </c>
      <c r="I130" s="168"/>
    </row>
    <row r="132" spans="2:9" x14ac:dyDescent="0.2">
      <c r="B132" s="196" t="s">
        <v>484</v>
      </c>
    </row>
    <row r="134" spans="2:9" x14ac:dyDescent="0.2">
      <c r="B134" s="171" t="s">
        <v>485</v>
      </c>
    </row>
    <row r="135" spans="2:9" x14ac:dyDescent="0.2">
      <c r="C135" s="171" t="s">
        <v>486</v>
      </c>
      <c r="H135" s="169">
        <f>(I117-H122)/G117</f>
        <v>2.5146185583415148</v>
      </c>
      <c r="I135" s="169" t="s">
        <v>24</v>
      </c>
    </row>
    <row r="136" spans="2:9" x14ac:dyDescent="0.2">
      <c r="B136" s="171" t="s">
        <v>487</v>
      </c>
      <c r="D136" s="171"/>
      <c r="G136" s="171"/>
      <c r="H136" s="168">
        <f>F30/2-H135</f>
        <v>6.0381441658485357E-2</v>
      </c>
      <c r="I136" s="171" t="s">
        <v>24</v>
      </c>
    </row>
    <row r="139" spans="2:9" x14ac:dyDescent="0.2">
      <c r="B139" s="171" t="s">
        <v>488</v>
      </c>
    </row>
    <row r="141" spans="2:9" x14ac:dyDescent="0.2">
      <c r="B141" s="171" t="s">
        <v>489</v>
      </c>
      <c r="H141" s="168">
        <f>F30^2/6</f>
        <v>4.4204166666666671</v>
      </c>
    </row>
    <row r="143" spans="2:9" x14ac:dyDescent="0.2">
      <c r="C143" s="171" t="s">
        <v>490</v>
      </c>
      <c r="D143" s="168">
        <f>$G$117/$F$30</f>
        <v>79.54213592233009</v>
      </c>
      <c r="E143" s="171" t="s">
        <v>99</v>
      </c>
      <c r="F143" s="168">
        <f>$G$117*$H$136/$H$141</f>
        <v>5.5955753470898877</v>
      </c>
      <c r="G143" s="171" t="s">
        <v>55</v>
      </c>
      <c r="H143" s="168">
        <f>D143+F143</f>
        <v>85.137711269419981</v>
      </c>
      <c r="I143" s="171" t="s">
        <v>35</v>
      </c>
    </row>
    <row r="144" spans="2:9" x14ac:dyDescent="0.2">
      <c r="C144" s="171" t="s">
        <v>491</v>
      </c>
      <c r="D144" s="168">
        <f>$G$117/$F$30</f>
        <v>79.54213592233009</v>
      </c>
      <c r="E144" s="171" t="s">
        <v>111</v>
      </c>
      <c r="F144" s="168">
        <f>$G$117*$H$136/$H$141</f>
        <v>5.5955753470898877</v>
      </c>
      <c r="G144" s="171" t="s">
        <v>55</v>
      </c>
      <c r="H144" s="168">
        <f>D144-F144</f>
        <v>73.946560575240198</v>
      </c>
      <c r="I144" s="171" t="s">
        <v>35</v>
      </c>
    </row>
    <row r="146" spans="2:11" x14ac:dyDescent="0.2">
      <c r="C146" s="171" t="s">
        <v>492</v>
      </c>
      <c r="D146" s="168" t="str">
        <f>IF(H144&gt;=0,"  &gt;  0  ","  &lt;  0  ")</f>
        <v xml:space="preserve">  &gt;  0  </v>
      </c>
      <c r="F146" s="168" t="str">
        <f>IF(H144&gt;=0,"Design is o.k  &lt;-----","Design is not o.k   &lt;-----")</f>
        <v>Design is o.k  &lt;-----</v>
      </c>
    </row>
    <row r="148" spans="2:11" x14ac:dyDescent="0.2">
      <c r="B148" s="172" t="s">
        <v>493</v>
      </c>
    </row>
    <row r="149" spans="2:11" x14ac:dyDescent="0.2">
      <c r="B149" s="171" t="s">
        <v>494</v>
      </c>
    </row>
    <row r="151" spans="2:11" x14ac:dyDescent="0.2">
      <c r="B151" s="197" t="s">
        <v>54</v>
      </c>
    </row>
    <row r="153" spans="2:11" ht="15.75" x14ac:dyDescent="0.3">
      <c r="B153" s="171" t="s">
        <v>495</v>
      </c>
      <c r="H153" s="169">
        <f>G14*F24*F10</f>
        <v>52.765289938242049</v>
      </c>
      <c r="I153" s="169" t="s">
        <v>57</v>
      </c>
    </row>
    <row r="154" spans="2:11" x14ac:dyDescent="0.2">
      <c r="B154" s="171" t="s">
        <v>496</v>
      </c>
      <c r="F154" s="171"/>
      <c r="H154" s="168">
        <f>F24</f>
        <v>5.0999999999999996</v>
      </c>
      <c r="I154" s="171" t="s">
        <v>24</v>
      </c>
    </row>
    <row r="155" spans="2:11" x14ac:dyDescent="0.2">
      <c r="B155" s="171" t="s">
        <v>497</v>
      </c>
      <c r="H155" s="168">
        <f>H153*H154/2</f>
        <v>134.55148934251721</v>
      </c>
      <c r="I155" s="171" t="s">
        <v>57</v>
      </c>
      <c r="J155" s="171"/>
    </row>
    <row r="156" spans="2:11" x14ac:dyDescent="0.2">
      <c r="B156" s="171" t="s">
        <v>498</v>
      </c>
      <c r="H156" s="168">
        <f>H153*H154^2/6</f>
        <v>228.73753188227928</v>
      </c>
      <c r="I156" s="171" t="s">
        <v>58</v>
      </c>
    </row>
    <row r="157" spans="2:11" x14ac:dyDescent="0.2">
      <c r="K157" s="171"/>
    </row>
    <row r="158" spans="2:11" x14ac:dyDescent="0.2">
      <c r="B158" s="196" t="s">
        <v>59</v>
      </c>
    </row>
    <row r="160" spans="2:11" x14ac:dyDescent="0.2">
      <c r="B160" s="171" t="s">
        <v>499</v>
      </c>
    </row>
    <row r="161" spans="2:9" x14ac:dyDescent="0.2">
      <c r="B161" s="171"/>
    </row>
    <row r="162" spans="2:9" x14ac:dyDescent="0.2">
      <c r="B162" s="171" t="s">
        <v>500</v>
      </c>
      <c r="H162" s="168">
        <f>$H$156</f>
        <v>228.73753188227928</v>
      </c>
      <c r="I162" s="171" t="s">
        <v>58</v>
      </c>
    </row>
    <row r="163" spans="2:9" x14ac:dyDescent="0.2">
      <c r="B163" s="171" t="s">
        <v>229</v>
      </c>
      <c r="D163" s="30"/>
      <c r="E163" s="171"/>
      <c r="H163" s="169">
        <f>(H162/G56)^0.5*1000</f>
        <v>427.26192779639894</v>
      </c>
      <c r="I163" s="169" t="s">
        <v>43</v>
      </c>
    </row>
    <row r="164" spans="2:9" x14ac:dyDescent="0.2">
      <c r="B164" s="171"/>
      <c r="F164" s="168"/>
      <c r="G164" s="171"/>
    </row>
    <row r="165" spans="2:9" x14ac:dyDescent="0.2">
      <c r="B165" s="171" t="s">
        <v>501</v>
      </c>
      <c r="H165" s="168">
        <f>H155</f>
        <v>134.55148934251721</v>
      </c>
      <c r="I165" s="171" t="s">
        <v>57</v>
      </c>
    </row>
    <row r="166" spans="2:9" x14ac:dyDescent="0.2">
      <c r="B166" s="171" t="s">
        <v>264</v>
      </c>
      <c r="H166" s="168">
        <f>H165/(G38)*1000</f>
        <v>313.89133428702246</v>
      </c>
      <c r="I166" s="171" t="s">
        <v>43</v>
      </c>
    </row>
    <row r="167" spans="2:9" x14ac:dyDescent="0.2">
      <c r="B167" s="171"/>
      <c r="H167" s="168"/>
      <c r="I167" s="171"/>
    </row>
    <row r="168" spans="2:9" x14ac:dyDescent="0.2">
      <c r="B168" s="168" t="str">
        <f>IF(H163&gt;=H166,"dr(moment) &gt; dr(shear)","dr(moment) &lt; dr(shear)")</f>
        <v>dr(moment) &gt; dr(shear)</v>
      </c>
      <c r="E168" s="171" t="s">
        <v>230</v>
      </c>
      <c r="G168" s="30">
        <f>IF(H163&gt;=H166,H163,H166)</f>
        <v>427.26192779639894</v>
      </c>
      <c r="H168" s="171" t="s">
        <v>62</v>
      </c>
    </row>
    <row r="169" spans="2:9" x14ac:dyDescent="0.2">
      <c r="B169" s="171" t="s">
        <v>63</v>
      </c>
      <c r="D169" s="30"/>
      <c r="E169" s="171"/>
      <c r="F169" s="30"/>
      <c r="H169" s="205">
        <f>G168+G47</f>
        <v>502.26192779639894</v>
      </c>
      <c r="I169" s="171" t="s">
        <v>43</v>
      </c>
    </row>
    <row r="170" spans="2:9" x14ac:dyDescent="0.2">
      <c r="B170" s="171" t="s">
        <v>502</v>
      </c>
      <c r="H170" s="30">
        <f>$F$21</f>
        <v>650</v>
      </c>
      <c r="I170" s="171" t="s">
        <v>43</v>
      </c>
    </row>
    <row r="171" spans="2:9" x14ac:dyDescent="0.2">
      <c r="B171" s="168" t="str">
        <f>IF(H170&gt;=H169,"ta &gt; tr  Design is OK.","ta &lt; tr  Design is Not OK.")</f>
        <v>ta &gt; tr  Design is OK.</v>
      </c>
      <c r="F171" s="171" t="s">
        <v>64</v>
      </c>
    </row>
    <row r="172" spans="2:9" x14ac:dyDescent="0.2">
      <c r="B172" s="168"/>
      <c r="F172" s="171"/>
    </row>
    <row r="173" spans="2:9" x14ac:dyDescent="0.2">
      <c r="B173" s="197" t="s">
        <v>65</v>
      </c>
      <c r="F173" s="171"/>
    </row>
    <row r="175" spans="2:9" x14ac:dyDescent="0.2">
      <c r="B175" s="171" t="s">
        <v>503</v>
      </c>
    </row>
    <row r="176" spans="2:9" x14ac:dyDescent="0.2">
      <c r="B176" s="171" t="s">
        <v>504</v>
      </c>
    </row>
    <row r="177" spans="2:19" x14ac:dyDescent="0.2">
      <c r="B177" s="171" t="s">
        <v>505</v>
      </c>
    </row>
    <row r="178" spans="2:19" x14ac:dyDescent="0.2">
      <c r="F178" s="171"/>
    </row>
    <row r="179" spans="2:19" x14ac:dyDescent="0.2">
      <c r="B179" s="171" t="s">
        <v>506</v>
      </c>
    </row>
    <row r="180" spans="2:19" x14ac:dyDescent="0.2">
      <c r="B180" s="171" t="s">
        <v>507</v>
      </c>
    </row>
    <row r="182" spans="2:19" x14ac:dyDescent="0.2">
      <c r="B182" s="179" t="s">
        <v>508</v>
      </c>
      <c r="C182" s="198" t="s">
        <v>235</v>
      </c>
      <c r="D182" s="198" t="s">
        <v>233</v>
      </c>
      <c r="F182" s="171" t="s">
        <v>509</v>
      </c>
      <c r="I182" s="168">
        <f>$F$27</f>
        <v>10.7</v>
      </c>
      <c r="J182" s="171" t="s">
        <v>24</v>
      </c>
    </row>
    <row r="183" spans="2:19" x14ac:dyDescent="0.2">
      <c r="B183" s="179" t="s">
        <v>510</v>
      </c>
      <c r="C183" s="198" t="s">
        <v>232</v>
      </c>
      <c r="D183" s="198" t="s">
        <v>232</v>
      </c>
      <c r="F183" s="171" t="s">
        <v>74</v>
      </c>
      <c r="I183" s="30">
        <f>H170</f>
        <v>650</v>
      </c>
      <c r="J183" s="171" t="s">
        <v>43</v>
      </c>
    </row>
    <row r="184" spans="2:19" x14ac:dyDescent="0.2">
      <c r="B184" s="179" t="s">
        <v>75</v>
      </c>
      <c r="C184" s="199">
        <v>1.5E-3</v>
      </c>
      <c r="D184" s="199">
        <v>1E-3</v>
      </c>
      <c r="F184" s="171" t="s">
        <v>511</v>
      </c>
    </row>
    <row r="185" spans="2:19" x14ac:dyDescent="0.2">
      <c r="B185" s="179" t="s">
        <v>76</v>
      </c>
      <c r="C185" s="199">
        <v>2.5000000000000001E-3</v>
      </c>
      <c r="D185" s="199">
        <v>1.5E-3</v>
      </c>
    </row>
    <row r="187" spans="2:19" x14ac:dyDescent="0.2">
      <c r="B187" s="171" t="s">
        <v>512</v>
      </c>
      <c r="H187" s="39">
        <f>IF(I182&lt;=9,C184,C185)*IF(I183&lt;=380,I183,380)*1000</f>
        <v>950.00000000000011</v>
      </c>
      <c r="I187" s="171" t="s">
        <v>78</v>
      </c>
      <c r="M187" s="171" t="s">
        <v>66</v>
      </c>
      <c r="O187" s="30">
        <v>12</v>
      </c>
      <c r="P187" s="30">
        <v>16</v>
      </c>
      <c r="Q187" s="30">
        <v>20</v>
      </c>
      <c r="R187" s="30">
        <v>22</v>
      </c>
      <c r="S187" s="30">
        <v>25</v>
      </c>
    </row>
    <row r="188" spans="2:19" x14ac:dyDescent="0.2">
      <c r="B188" s="171" t="s">
        <v>79</v>
      </c>
      <c r="C188" s="30">
        <v>16</v>
      </c>
      <c r="D188" s="171" t="s">
        <v>71</v>
      </c>
      <c r="E188" s="30">
        <v>200</v>
      </c>
      <c r="F188" s="171" t="s">
        <v>80</v>
      </c>
      <c r="H188" s="30">
        <f>785.4*C188^2/E188</f>
        <v>1005.312</v>
      </c>
      <c r="I188" s="171" t="s">
        <v>81</v>
      </c>
      <c r="M188" s="171" t="s">
        <v>67</v>
      </c>
      <c r="O188" s="30">
        <f>IF(H187=0,100000000,TRUNC(785.4*O187^2/H187/25)*25)</f>
        <v>100</v>
      </c>
      <c r="P188" s="30">
        <f>IF(H187=0,100000000,TRUNC(785.4*P187^2/H187/25)*25)</f>
        <v>200</v>
      </c>
      <c r="Q188" s="30">
        <f>IF(H187=0,100000000,TRUNC(785.4*Q187^2/H187/25)*25)</f>
        <v>325</v>
      </c>
      <c r="R188" s="30">
        <f>IF(H187=0,100000000,TRUNC(785.4*R187^2/H187/25)*25)</f>
        <v>400</v>
      </c>
      <c r="S188" s="30">
        <f>IF(H187=0,100000000,TRUNC(785.4*S187^2/H187/25)*25)</f>
        <v>500</v>
      </c>
    </row>
    <row r="189" spans="2:19" x14ac:dyDescent="0.2">
      <c r="B189" s="171" t="s">
        <v>82</v>
      </c>
      <c r="H189" s="39">
        <f>IF(I182&lt;=9,D184,D185)*IF(I183&lt;=380,I183,380)*1000</f>
        <v>570.00000000000011</v>
      </c>
      <c r="I189" s="171" t="s">
        <v>78</v>
      </c>
      <c r="M189" s="171" t="s">
        <v>68</v>
      </c>
      <c r="O189" s="30">
        <f>785.4*O187^2/O188</f>
        <v>1130.9759999999999</v>
      </c>
      <c r="P189" s="30">
        <f>785.4*P187^2/P188</f>
        <v>1005.312</v>
      </c>
      <c r="Q189" s="30">
        <f>785.4*Q187^2/Q188</f>
        <v>966.64615384615388</v>
      </c>
      <c r="R189" s="30">
        <f>785.4*R187^2/R188</f>
        <v>950.33399999999995</v>
      </c>
      <c r="S189" s="30">
        <f>785.4*S187^2/S188</f>
        <v>981.75</v>
      </c>
    </row>
    <row r="190" spans="2:19" x14ac:dyDescent="0.2">
      <c r="B190" s="338" t="s">
        <v>913</v>
      </c>
      <c r="C190" s="200">
        <v>16</v>
      </c>
      <c r="D190" s="171" t="s">
        <v>71</v>
      </c>
      <c r="E190" s="200">
        <v>250</v>
      </c>
      <c r="F190" s="171" t="s">
        <v>80</v>
      </c>
      <c r="H190" s="30">
        <f>785.4*C190^2/E190</f>
        <v>804.24959999999999</v>
      </c>
      <c r="I190" s="171" t="s">
        <v>81</v>
      </c>
      <c r="M190" s="171" t="s">
        <v>69</v>
      </c>
      <c r="O190" s="30">
        <f>IF(OR(O188&gt;300,O188&lt;100),100000000,O189-H187)</f>
        <v>180.97599999999977</v>
      </c>
      <c r="P190" s="30">
        <f>IF(OR(P188&gt;300,P188&lt;100),100000001,P189-H187)</f>
        <v>55.311999999999898</v>
      </c>
      <c r="Q190" s="30">
        <f>IF(OR(Q188&gt;300,Q188&lt;100),100000001,Q189-H187)</f>
        <v>100000001</v>
      </c>
      <c r="R190" s="30">
        <f>IF(OR(R188&gt;300,R188&lt;100),100000001,R189-H187)</f>
        <v>100000001</v>
      </c>
      <c r="S190" s="30">
        <f>IF(OR(S188&gt;300,S188&lt;100),100000001,S189-H187)</f>
        <v>100000001</v>
      </c>
    </row>
    <row r="191" spans="2:19" x14ac:dyDescent="0.2">
      <c r="M191" s="171" t="s">
        <v>70</v>
      </c>
      <c r="O191" s="30">
        <f>IF(S188&lt;100,25,IF(MIN(O190:S190)=O190,12,IF(MIN(O190:S190)=P190,16,IF(MIN(O190:S190)=Q190,20,IF(MIN(O190:S190)=R190,22,IF(MIN(O190:S190)=S190,25,0))))))</f>
        <v>16</v>
      </c>
      <c r="P191" s="171" t="s">
        <v>71</v>
      </c>
      <c r="Q191" s="30">
        <f>IF(O191=12,O188,IF(O191=16,P188,IF(O191=20,Q188,IF(O191=22,R188,IF(O191=25,S188,0)))))</f>
        <v>200</v>
      </c>
      <c r="R191" s="171" t="s">
        <v>72</v>
      </c>
    </row>
    <row r="192" spans="2:19" x14ac:dyDescent="0.2">
      <c r="B192" s="197" t="s">
        <v>83</v>
      </c>
    </row>
    <row r="193" spans="1:19" x14ac:dyDescent="0.2">
      <c r="B193" s="171" t="s">
        <v>513</v>
      </c>
    </row>
    <row r="194" spans="1:19" x14ac:dyDescent="0.2">
      <c r="B194" s="171" t="s">
        <v>514</v>
      </c>
    </row>
    <row r="196" spans="1:19" x14ac:dyDescent="0.2">
      <c r="B196" s="171" t="s">
        <v>515</v>
      </c>
      <c r="H196" s="168">
        <f>$F$24</f>
        <v>5.0999999999999996</v>
      </c>
      <c r="I196" s="168" t="s">
        <v>24</v>
      </c>
      <c r="M196" s="171" t="s">
        <v>66</v>
      </c>
      <c r="O196" s="30">
        <v>12</v>
      </c>
      <c r="P196" s="30">
        <v>16</v>
      </c>
      <c r="Q196" s="30">
        <v>20</v>
      </c>
      <c r="R196" s="30">
        <v>22</v>
      </c>
      <c r="S196" s="30">
        <v>25</v>
      </c>
    </row>
    <row r="197" spans="1:19" x14ac:dyDescent="0.2">
      <c r="B197" s="171" t="s">
        <v>516</v>
      </c>
      <c r="H197" s="30">
        <f>H170</f>
        <v>650</v>
      </c>
      <c r="I197" s="168" t="s">
        <v>43</v>
      </c>
      <c r="M197" s="171" t="s">
        <v>67</v>
      </c>
      <c r="O197" s="30">
        <f>IF(H189=0,100000000,TRUNC(785.4*O196^2/H189/25)*25)</f>
        <v>175</v>
      </c>
      <c r="P197" s="30">
        <f>IF(H189=0,100000000,TRUNC(785.4*P196^2/H189/25)*25)</f>
        <v>350</v>
      </c>
      <c r="Q197" s="30">
        <f>IF(H189=0,100000000,TRUNC(785.4*Q196^2/H189/25)*25)</f>
        <v>550</v>
      </c>
      <c r="R197" s="30">
        <f>IF(H189=0,100000000,TRUNC(785.4*R196^2/H189/25)*25)</f>
        <v>650</v>
      </c>
      <c r="S197" s="30">
        <f>IF(H189=0,100000000,TRUNC(785.4*S196^2/H189/25)*25)</f>
        <v>850</v>
      </c>
    </row>
    <row r="198" spans="1:19" x14ac:dyDescent="0.2">
      <c r="M198" s="171" t="s">
        <v>68</v>
      </c>
      <c r="O198" s="30">
        <f>785.4*O196^2/O197</f>
        <v>646.27199999999993</v>
      </c>
      <c r="P198" s="30">
        <f>785.4*P196^2/P197</f>
        <v>574.46399999999994</v>
      </c>
      <c r="Q198" s="30">
        <f>785.4*Q196^2/Q197</f>
        <v>571.20000000000005</v>
      </c>
      <c r="R198" s="30">
        <f>785.4*R196^2/R197</f>
        <v>584.82092307692301</v>
      </c>
      <c r="S198" s="30">
        <f>785.4*S196^2/S197</f>
        <v>577.5</v>
      </c>
    </row>
    <row r="199" spans="1:19" x14ac:dyDescent="0.2">
      <c r="A199" s="171"/>
      <c r="B199" s="171" t="s">
        <v>240</v>
      </c>
      <c r="H199" s="39">
        <f>IF(H196&lt;=9,C184,C185)*IF(H197&lt;=380,H197,380)*1000</f>
        <v>570.00000000000011</v>
      </c>
      <c r="I199" s="171" t="s">
        <v>78</v>
      </c>
      <c r="M199" s="171" t="s">
        <v>69</v>
      </c>
      <c r="O199" s="30">
        <f>IF(OR(O197&gt;300,O197&lt;100),100000000,O198-H189)</f>
        <v>76.271999999999821</v>
      </c>
      <c r="P199" s="30">
        <f>IF(OR(P197&gt;300,P197&lt;100),100000001,P198-H189)</f>
        <v>100000001</v>
      </c>
      <c r="Q199" s="30">
        <f>IF(OR(Q197&gt;300,Q197&lt;100),100000001,Q198-H189)</f>
        <v>100000001</v>
      </c>
      <c r="R199" s="30">
        <f>IF(OR(R197&gt;300,R197&lt;100),100000001,R198-H189)</f>
        <v>100000001</v>
      </c>
      <c r="S199" s="30">
        <f>IF(OR(S197&gt;300,S197&lt;100),100000001,S198-H189)</f>
        <v>100000001</v>
      </c>
    </row>
    <row r="200" spans="1:19" x14ac:dyDescent="0.2">
      <c r="B200" s="171" t="s">
        <v>79</v>
      </c>
      <c r="C200" s="30">
        <f>IF(D502=0,O207,D502)</f>
        <v>12</v>
      </c>
      <c r="D200" s="171" t="s">
        <v>71</v>
      </c>
      <c r="E200" s="30">
        <v>150</v>
      </c>
      <c r="F200" s="171" t="s">
        <v>80</v>
      </c>
      <c r="H200" s="30">
        <f>785.4*C200^2/E200</f>
        <v>753.98399999999992</v>
      </c>
      <c r="I200" s="171" t="s">
        <v>81</v>
      </c>
      <c r="M200" s="171" t="s">
        <v>70</v>
      </c>
      <c r="O200" s="30">
        <f>IF(S197&lt;100,25,IF(MIN(O199:S199)=O199,12,IF(MIN(O199:S199)=P199,16,IF(MIN(O199:S199)=Q199,20,IF(MIN(O199:S199)=R199,22,IF(MIN(O199:S199)=S199,25,0))))))</f>
        <v>12</v>
      </c>
      <c r="P200" s="171" t="s">
        <v>71</v>
      </c>
      <c r="Q200" s="30">
        <f>IF(O200=12,O197,IF(O200=16,P197,IF(O200=20,Q197,IF(O200=22,R197,IF(O200=25,S197,0)))))</f>
        <v>175</v>
      </c>
      <c r="R200" s="171" t="s">
        <v>72</v>
      </c>
    </row>
    <row r="202" spans="1:19" x14ac:dyDescent="0.2">
      <c r="B202" s="197" t="s">
        <v>85</v>
      </c>
    </row>
    <row r="203" spans="1:19" x14ac:dyDescent="0.2">
      <c r="M203" s="171" t="s">
        <v>66</v>
      </c>
      <c r="O203" s="30">
        <v>12</v>
      </c>
      <c r="P203" s="30">
        <v>16</v>
      </c>
      <c r="Q203" s="30">
        <v>20</v>
      </c>
      <c r="R203" s="30">
        <v>22</v>
      </c>
      <c r="S203" s="30">
        <v>25</v>
      </c>
    </row>
    <row r="204" spans="1:19" x14ac:dyDescent="0.2">
      <c r="B204" s="171" t="s">
        <v>86</v>
      </c>
      <c r="H204" s="168">
        <f>$H$156</f>
        <v>228.73753188227928</v>
      </c>
      <c r="I204" s="171" t="s">
        <v>58</v>
      </c>
      <c r="M204" s="171" t="s">
        <v>67</v>
      </c>
      <c r="O204" s="30">
        <f>IF(H199=0,100000000,TRUNC(785.4*O203^2/H199/25)*25)</f>
        <v>175</v>
      </c>
      <c r="P204" s="30">
        <f>IF(H199=0,100000000,TRUNC(785.4*P203^2/H199/25)*25)</f>
        <v>350</v>
      </c>
      <c r="Q204" s="30">
        <f>IF(H199=0,100000000,TRUNC(785.4*Q203^2/H199/25)*25)</f>
        <v>550</v>
      </c>
      <c r="R204" s="30">
        <f>IF(H199=0,100000000,TRUNC(785.4*R203^2/H199/25)*25)</f>
        <v>650</v>
      </c>
      <c r="S204" s="30">
        <f>IF(H199=0,100000000,TRUNC(785.4*S203^2/H199/25)*25)</f>
        <v>850</v>
      </c>
    </row>
    <row r="205" spans="1:19" x14ac:dyDescent="0.2">
      <c r="A205" s="171"/>
      <c r="B205" s="171" t="s">
        <v>241</v>
      </c>
      <c r="H205" s="39">
        <f>F21-G47</f>
        <v>575</v>
      </c>
      <c r="I205" s="171" t="s">
        <v>43</v>
      </c>
      <c r="M205" s="171" t="s">
        <v>68</v>
      </c>
      <c r="O205" s="30">
        <f>785.4*O203^2/O204</f>
        <v>646.27199999999993</v>
      </c>
      <c r="P205" s="30">
        <f>785.4*P203^2/P204</f>
        <v>574.46399999999994</v>
      </c>
      <c r="Q205" s="30">
        <f>785.4*Q203^2/Q204</f>
        <v>571.20000000000005</v>
      </c>
      <c r="R205" s="30">
        <f>785.4*R203^2/R204</f>
        <v>584.82092307692301</v>
      </c>
      <c r="S205" s="30">
        <f>785.4*S203^2/S204</f>
        <v>577.5</v>
      </c>
    </row>
    <row r="206" spans="1:19" x14ac:dyDescent="0.2">
      <c r="B206" s="171" t="s">
        <v>517</v>
      </c>
      <c r="H206" s="39">
        <f>H204/(G35*G55*H205)*1000000000</f>
        <v>2389.0088671531953</v>
      </c>
      <c r="I206" s="171" t="s">
        <v>78</v>
      </c>
      <c r="M206" s="171" t="s">
        <v>69</v>
      </c>
      <c r="O206" s="30">
        <f>IF(OR(O204&gt;300,O204&lt;100),100000000,O205-H199)</f>
        <v>76.271999999999821</v>
      </c>
      <c r="P206" s="30">
        <f>IF(OR(P204&gt;300,P204&lt;100),100000001,P205-H199)</f>
        <v>100000001</v>
      </c>
      <c r="Q206" s="30">
        <f>IF(OR(Q204&gt;300,Q204&lt;100),100000001,Q205-H199)</f>
        <v>100000001</v>
      </c>
      <c r="R206" s="30">
        <f>IF(OR(R204&gt;300,R204&lt;100),100000001,R205-H199)</f>
        <v>100000001</v>
      </c>
      <c r="S206" s="30">
        <f>IF(OR(S204&gt;300,S204&lt;100),100000001,S205-H199)</f>
        <v>100000001</v>
      </c>
    </row>
    <row r="207" spans="1:19" x14ac:dyDescent="0.2">
      <c r="M207" s="171" t="s">
        <v>70</v>
      </c>
      <c r="O207" s="30">
        <f>IF(S204&lt;100,25,IF(MIN(O206:S206)=O206,12,IF(MIN(O206:S206)=P206,16,IF(MIN(O206:S206)=Q206,20,IF(MIN(O206:S206)=R206,22,IF(MIN(O206:S206)=S206,25,0))))))</f>
        <v>12</v>
      </c>
      <c r="P207" s="171" t="s">
        <v>71</v>
      </c>
      <c r="Q207" s="30">
        <f>IF(O207=12,O204,IF(O207=16,P204,IF(O207=20,Q204,IF(O207=22,R204,IF(O207=25,S204,0)))))</f>
        <v>175</v>
      </c>
      <c r="R207" s="171" t="s">
        <v>72</v>
      </c>
    </row>
    <row r="208" spans="1:19" x14ac:dyDescent="0.2">
      <c r="B208" s="196" t="s">
        <v>87</v>
      </c>
    </row>
    <row r="210" spans="2:19" x14ac:dyDescent="0.2">
      <c r="B210" s="171" t="s">
        <v>518</v>
      </c>
      <c r="H210" s="168">
        <f>$F$24+$F$22/1000</f>
        <v>5.8</v>
      </c>
      <c r="I210" s="168" t="s">
        <v>24</v>
      </c>
    </row>
    <row r="211" spans="2:19" x14ac:dyDescent="0.2">
      <c r="B211" s="171" t="s">
        <v>519</v>
      </c>
      <c r="H211" s="30">
        <f>F21</f>
        <v>650</v>
      </c>
      <c r="I211" s="168" t="s">
        <v>43</v>
      </c>
      <c r="M211" s="171" t="s">
        <v>66</v>
      </c>
      <c r="O211" s="30">
        <v>12</v>
      </c>
      <c r="P211" s="30">
        <v>16</v>
      </c>
      <c r="Q211" s="30">
        <v>20</v>
      </c>
      <c r="R211" s="30">
        <v>22</v>
      </c>
      <c r="S211" s="30">
        <v>25</v>
      </c>
    </row>
    <row r="212" spans="2:19" x14ac:dyDescent="0.2">
      <c r="B212" s="171"/>
      <c r="E212" s="31"/>
      <c r="M212" s="171" t="s">
        <v>67</v>
      </c>
      <c r="O212" s="30">
        <f>IF(H214=0,100000000,TRUNC(785.4*O211^2/H214/25)*25)</f>
        <v>25</v>
      </c>
      <c r="P212" s="30">
        <f>IF(H214=0,100000000,TRUNC(785.4*P211^2/H214/25)*25)</f>
        <v>75</v>
      </c>
      <c r="Q212" s="30">
        <f>IF(H214=0,100000000,TRUNC(785.4*Q211^2/H214/25)*25)</f>
        <v>125</v>
      </c>
      <c r="R212" s="30">
        <f>IF(H214=0,100000000,TRUNC(785.4*R211^2/H214/25)*25)</f>
        <v>150</v>
      </c>
      <c r="S212" s="30">
        <f>IF(H214=0,100000000,TRUNC(785.4*S211^2/H214/25)*25)</f>
        <v>200</v>
      </c>
    </row>
    <row r="213" spans="2:19" x14ac:dyDescent="0.2">
      <c r="B213" s="171" t="s">
        <v>520</v>
      </c>
      <c r="H213" s="39">
        <f>IF(H210&lt;=9,D184,D185)*IF(H211&lt;=380,H211,380)*1000</f>
        <v>380</v>
      </c>
      <c r="I213" s="171" t="s">
        <v>78</v>
      </c>
      <c r="M213" s="171" t="s">
        <v>68</v>
      </c>
      <c r="O213" s="30">
        <f>785.4*O211^2/O212</f>
        <v>4523.9039999999995</v>
      </c>
      <c r="P213" s="30">
        <f>785.4*P211^2/P212</f>
        <v>2680.8319999999999</v>
      </c>
      <c r="Q213" s="30">
        <f>785.4*Q211^2/Q212</f>
        <v>2513.2800000000002</v>
      </c>
      <c r="R213" s="30">
        <f>785.4*R211^2/R212</f>
        <v>2534.2239999999997</v>
      </c>
      <c r="S213" s="30">
        <f>785.4*S211^2/S212</f>
        <v>2454.375</v>
      </c>
    </row>
    <row r="214" spans="2:19" x14ac:dyDescent="0.2">
      <c r="B214" s="168" t="str">
        <f>IF(H206&gt;H213,"Ast(moment)  &gt;  Ast(shrinkage)","Ast(moment)  &lt;  Ast(shrinkage)")</f>
        <v>Ast(moment)  &gt;  Ast(shrinkage)</v>
      </c>
      <c r="F214" s="171" t="s">
        <v>267</v>
      </c>
      <c r="H214" s="30">
        <f>IF(H206&gt;H213,H206,H213)</f>
        <v>2389.0088671531953</v>
      </c>
      <c r="I214" s="171" t="s">
        <v>89</v>
      </c>
      <c r="M214" s="171" t="s">
        <v>69</v>
      </c>
      <c r="O214" s="30">
        <f>IF(OR(O212&gt;300,O212&lt;100),100000000,O213-H214)</f>
        <v>100000000</v>
      </c>
      <c r="P214" s="30">
        <f>IF(OR(P212&gt;300,P212&lt;100),100000001,P213-H214)</f>
        <v>100000001</v>
      </c>
      <c r="Q214" s="30">
        <f>IF(OR(Q212&gt;300,Q212&lt;100),100000001,Q213-H214)</f>
        <v>124.2711328468049</v>
      </c>
      <c r="R214" s="30">
        <f>IF(OR(R212&gt;300,R212&lt;100),100000001,R213-H214)</f>
        <v>145.21513284680441</v>
      </c>
      <c r="S214" s="30">
        <f>IF(OR(S212&gt;300,S212&lt;100),100000001,S213-H214)</f>
        <v>65.366132846804703</v>
      </c>
    </row>
    <row r="215" spans="2:19" x14ac:dyDescent="0.2">
      <c r="M215" s="171" t="s">
        <v>70</v>
      </c>
      <c r="O215" s="30">
        <f>IF(S212&lt;100,25,IF(MIN(O214:S214)=O214,12,IF(MIN(O214:S214)=P214,16,IF(MIN(O214:S214)=Q214,20,IF(MIN(O214:S214)=R214,22,IF(MIN(O214:S214)=S214,25,0))))))</f>
        <v>25</v>
      </c>
      <c r="P215" s="171" t="s">
        <v>71</v>
      </c>
      <c r="Q215" s="30">
        <f>IF(O215=12,O212,IF(O215=16,P212,IF(O215=20,Q212,IF(O215=22,R212,IF(O215=25,S212,0)))))</f>
        <v>200</v>
      </c>
      <c r="R215" s="171" t="s">
        <v>72</v>
      </c>
    </row>
    <row r="216" spans="2:19" x14ac:dyDescent="0.2">
      <c r="B216" s="614" t="s">
        <v>79</v>
      </c>
      <c r="C216" s="510">
        <v>20</v>
      </c>
      <c r="D216" s="614" t="s">
        <v>71</v>
      </c>
      <c r="E216" s="510">
        <v>125</v>
      </c>
      <c r="F216" s="614" t="s">
        <v>80</v>
      </c>
      <c r="G216" s="615"/>
      <c r="H216" s="510">
        <f>785.4*C216^2/E216</f>
        <v>2513.2800000000002</v>
      </c>
      <c r="I216" s="614" t="s">
        <v>81</v>
      </c>
      <c r="J216" s="615"/>
    </row>
    <row r="218" spans="2:19" x14ac:dyDescent="0.2">
      <c r="B218" s="196" t="s">
        <v>90</v>
      </c>
    </row>
    <row r="220" spans="2:19" x14ac:dyDescent="0.2">
      <c r="B220" s="171" t="s">
        <v>521</v>
      </c>
      <c r="D220" s="23"/>
      <c r="E220" s="171"/>
      <c r="F220" s="168">
        <f>G40/C216</f>
        <v>840.99690843664825</v>
      </c>
      <c r="G220" s="168" t="str">
        <f>IF(F220&lt;=G42,"KN/m²   &lt;","KN/m²   &gt;")</f>
        <v>KN/m²   &lt;</v>
      </c>
      <c r="H220" s="30">
        <f>G42</f>
        <v>1103</v>
      </c>
      <c r="I220" s="171" t="s">
        <v>35</v>
      </c>
      <c r="J220" s="171"/>
    </row>
    <row r="221" spans="2:19" x14ac:dyDescent="0.2">
      <c r="B221" s="171" t="s">
        <v>91</v>
      </c>
      <c r="F221" s="168">
        <f>IF(F220&lt;H220,F220,H220)</f>
        <v>840.99690843664825</v>
      </c>
      <c r="G221" s="171" t="s">
        <v>35</v>
      </c>
      <c r="H221" s="171" t="s">
        <v>64</v>
      </c>
    </row>
    <row r="223" spans="2:19" x14ac:dyDescent="0.2">
      <c r="B223" s="171" t="s">
        <v>92</v>
      </c>
      <c r="H223" s="168">
        <f>$H$165</f>
        <v>134.55148934251721</v>
      </c>
      <c r="I223" s="171" t="s">
        <v>57</v>
      </c>
    </row>
    <row r="224" spans="2:19" x14ac:dyDescent="0.2">
      <c r="B224" s="171" t="s">
        <v>248</v>
      </c>
      <c r="H224" s="30">
        <f>PI()*C216/E216*1000</f>
        <v>502.65482457436696</v>
      </c>
      <c r="I224" s="171" t="s">
        <v>43</v>
      </c>
    </row>
    <row r="225" spans="2:15" x14ac:dyDescent="0.2">
      <c r="B225" s="171" t="s">
        <v>522</v>
      </c>
      <c r="H225" s="169">
        <f>H223/(H224*G55*H205)*1000000</f>
        <v>520.84900622411885</v>
      </c>
      <c r="I225" s="171" t="s">
        <v>35</v>
      </c>
    </row>
    <row r="226" spans="2:15" x14ac:dyDescent="0.2">
      <c r="B226" s="168" t="str">
        <f>IF(F221&gt;=H225,"bs(allow) &gt; bs(actual)  Design is OK. &lt;-----","bs(allow) &lt; bs(actual)   Design is not OK. &lt;-----")</f>
        <v>bs(allow) &gt; bs(actual)  Design is OK. &lt;-----</v>
      </c>
    </row>
    <row r="228" spans="2:15" x14ac:dyDescent="0.2">
      <c r="B228" s="171" t="s">
        <v>523</v>
      </c>
    </row>
    <row r="229" spans="2:15" x14ac:dyDescent="0.2">
      <c r="B229" s="171" t="s">
        <v>524</v>
      </c>
    </row>
    <row r="231" spans="2:15" x14ac:dyDescent="0.2">
      <c r="B231" s="196" t="s">
        <v>94</v>
      </c>
    </row>
    <row r="233" spans="2:15" x14ac:dyDescent="0.2">
      <c r="B233" s="171" t="s">
        <v>525</v>
      </c>
    </row>
    <row r="234" spans="2:15" x14ac:dyDescent="0.2">
      <c r="B234" s="171" t="s">
        <v>526</v>
      </c>
    </row>
    <row r="236" spans="2:15" x14ac:dyDescent="0.2">
      <c r="B236" s="171" t="s">
        <v>527</v>
      </c>
      <c r="L236" s="171" t="s">
        <v>95</v>
      </c>
      <c r="N236" s="171" t="s">
        <v>96</v>
      </c>
    </row>
    <row r="237" spans="2:15" x14ac:dyDescent="0.2">
      <c r="B237" s="171" t="s">
        <v>528</v>
      </c>
      <c r="L237" s="179" t="s">
        <v>97</v>
      </c>
      <c r="M237" s="179" t="s">
        <v>98</v>
      </c>
      <c r="N237" s="179" t="s">
        <v>97</v>
      </c>
      <c r="O237" s="179" t="s">
        <v>98</v>
      </c>
    </row>
    <row r="238" spans="2:15" x14ac:dyDescent="0.2">
      <c r="B238" s="171"/>
      <c r="L238" s="168">
        <f>F247*M238^3-D247*M238</f>
        <v>0</v>
      </c>
      <c r="M238" s="25">
        <v>0</v>
      </c>
      <c r="N238" s="168">
        <f>F247*O238^3-D247*O238</f>
        <v>5.4650864274574218</v>
      </c>
      <c r="O238" s="25">
        <f>M244</f>
        <v>3.0599999999999996</v>
      </c>
    </row>
    <row r="239" spans="2:15" x14ac:dyDescent="0.2">
      <c r="B239" s="171" t="s">
        <v>529</v>
      </c>
      <c r="I239" s="171"/>
      <c r="L239" s="168">
        <f>F247*M239^3-D247*M239</f>
        <v>-12.817506564646729</v>
      </c>
      <c r="M239" s="25">
        <f>0.2*$F$24</f>
        <v>1.02</v>
      </c>
      <c r="N239" s="168">
        <f>F247*O239^3-D247*O239</f>
        <v>13.09046973469232</v>
      </c>
      <c r="O239" s="25">
        <f>M244+0.04*$F$24</f>
        <v>3.2639999999999998</v>
      </c>
    </row>
    <row r="240" spans="2:15" x14ac:dyDescent="0.2">
      <c r="B240" s="171" t="s">
        <v>530</v>
      </c>
      <c r="L240" s="168">
        <f>F247*M240^3-D247*M240</f>
        <v>-14.655611598944054</v>
      </c>
      <c r="M240" s="25">
        <f>0.4*$F$24</f>
        <v>2.04</v>
      </c>
      <c r="N240" s="168">
        <f>F247*O240^3-D247*O240</f>
        <v>22.121216437811938</v>
      </c>
      <c r="O240" s="25">
        <f>M244+0.08*$F$24</f>
        <v>3.4679999999999995</v>
      </c>
    </row>
    <row r="241" spans="2:15" x14ac:dyDescent="0.2">
      <c r="B241" s="67" t="s">
        <v>531</v>
      </c>
      <c r="F241" s="30">
        <f>$F$20-$G$47</f>
        <v>225</v>
      </c>
      <c r="G241" s="171" t="s">
        <v>99</v>
      </c>
      <c r="H241" s="168">
        <f>($F$21-$F$20)/$F$24</f>
        <v>68.627450980392155</v>
      </c>
      <c r="I241" s="171" t="s">
        <v>100</v>
      </c>
      <c r="L241" s="168">
        <f>F247*M241^3-D247*M241</f>
        <v>5.4650864274574218</v>
      </c>
      <c r="M241" s="25">
        <f>0.6*$F$24</f>
        <v>3.0599999999999996</v>
      </c>
      <c r="N241" s="168">
        <f>F247*O241^3-D247*O241</f>
        <v>32.645161749059099</v>
      </c>
      <c r="O241" s="25">
        <f>M244+0.12*$F$24</f>
        <v>3.6719999999999997</v>
      </c>
    </row>
    <row r="242" spans="2:15" x14ac:dyDescent="0.2">
      <c r="B242" s="171" t="s">
        <v>532</v>
      </c>
      <c r="L242" s="168">
        <f>F247*M242^3-D247*M242</f>
        <v>58.523989044907132</v>
      </c>
      <c r="M242" s="25">
        <f>0.8*$F$24</f>
        <v>4.08</v>
      </c>
      <c r="N242" s="168">
        <f>F247*O242^3-D247*O242</f>
        <v>44.750140880676526</v>
      </c>
      <c r="O242" s="25">
        <f>M244+0.16*$F$24</f>
        <v>3.8759999999999994</v>
      </c>
    </row>
    <row r="243" spans="2:15" x14ac:dyDescent="0.2">
      <c r="L243" s="168">
        <f>F247*M243^3-D247*M243</f>
        <v>155.50049778375444</v>
      </c>
      <c r="M243" s="25">
        <f>$F$24</f>
        <v>5.0999999999999996</v>
      </c>
      <c r="N243" s="168">
        <f>F247*O243^3-D247*O243</f>
        <v>58.523989044907132</v>
      </c>
      <c r="O243" s="25">
        <f>M244+0.2*$F$24</f>
        <v>4.08</v>
      </c>
    </row>
    <row r="244" spans="2:15" x14ac:dyDescent="0.2">
      <c r="B244" s="171" t="s">
        <v>101</v>
      </c>
      <c r="D244" s="168">
        <f>1/2*H216*G35*G55*F241/1000000000</f>
        <v>47.080950491908808</v>
      </c>
      <c r="E244" s="171" t="s">
        <v>99</v>
      </c>
      <c r="F244" s="168">
        <f>1/2*H216*G35*G55*H241/1000000000</f>
        <v>14.360202764416631</v>
      </c>
      <c r="G244" s="171" t="s">
        <v>100</v>
      </c>
      <c r="M244" s="25">
        <f>IF(L239&gt;L238,VLOOKUP(B247,L238:M243,2),IF(L240&gt;L239,VLOOKUP(B247,L239:M243,2),IF(L241&gt;L240,VLOOKUP(B247,L240:M243,2),IF(L242&gt;L241,VLOOKUP(B247,L241:M243,2),IF(L243&gt;L242,VLOOKUP(B247,L242:M243,2),M243)))))</f>
        <v>3.0599999999999996</v>
      </c>
      <c r="O244" s="25">
        <f>IF(N239&gt;N238,VLOOKUP(B247,N238:O242,2),IF(N240&gt;N239,VLOOKUP(B247,N239:O242,2),IF(N241&gt;N240,VLOOKUP(B247,N240:O242,2),IF(N242&gt;N241,VLOOKUP(B247,N241:O242,2),O242))))</f>
        <v>3.8759999999999994</v>
      </c>
    </row>
    <row r="245" spans="2:15" x14ac:dyDescent="0.2">
      <c r="B245" s="171" t="s">
        <v>533</v>
      </c>
      <c r="F245" s="168">
        <f>$G$14*$F$10/6</f>
        <v>1.7243558803347074</v>
      </c>
      <c r="G245" s="171" t="s">
        <v>104</v>
      </c>
    </row>
    <row r="246" spans="2:15" x14ac:dyDescent="0.2">
      <c r="B246" s="171" t="s">
        <v>105</v>
      </c>
      <c r="L246" s="171" t="s">
        <v>102</v>
      </c>
      <c r="N246" s="171" t="s">
        <v>103</v>
      </c>
    </row>
    <row r="247" spans="2:15" x14ac:dyDescent="0.2">
      <c r="B247" s="168">
        <f>D244</f>
        <v>47.080950491908808</v>
      </c>
      <c r="C247" s="171" t="s">
        <v>99</v>
      </c>
      <c r="D247" s="168">
        <f>F244</f>
        <v>14.360202764416631</v>
      </c>
      <c r="E247" s="171" t="s">
        <v>106</v>
      </c>
      <c r="F247" s="168">
        <f>F245</f>
        <v>1.7243558803347074</v>
      </c>
      <c r="G247" s="171" t="s">
        <v>104</v>
      </c>
      <c r="L247" s="179" t="s">
        <v>97</v>
      </c>
      <c r="M247" s="179" t="s">
        <v>98</v>
      </c>
      <c r="N247" s="179" t="s">
        <v>97</v>
      </c>
      <c r="O247" s="179" t="s">
        <v>98</v>
      </c>
    </row>
    <row r="248" spans="2:15" x14ac:dyDescent="0.2">
      <c r="B248" s="171" t="s">
        <v>534</v>
      </c>
      <c r="F248" s="169" t="s">
        <v>254</v>
      </c>
      <c r="G248" s="168">
        <f>O254</f>
        <v>3.9086399999999992</v>
      </c>
      <c r="H248" s="171" t="s">
        <v>107</v>
      </c>
      <c r="L248" s="168">
        <f>F247*M248^3-D247*M248</f>
        <v>44.750140880676526</v>
      </c>
      <c r="M248" s="25">
        <f>O244</f>
        <v>3.8759999999999994</v>
      </c>
      <c r="N248" s="168">
        <f>F247*O248^3-D247*O248</f>
        <v>44.750140880676526</v>
      </c>
      <c r="O248" s="25">
        <f>M254</f>
        <v>3.8759999999999994</v>
      </c>
    </row>
    <row r="249" spans="2:15" x14ac:dyDescent="0.2">
      <c r="L249" s="168">
        <f>F247*M249^3-D247*M249</f>
        <v>47.368590264121828</v>
      </c>
      <c r="M249" s="25">
        <f>O244+0.008*$F$24</f>
        <v>3.9167999999999994</v>
      </c>
      <c r="N249" s="168">
        <f>F247*O249^3-D247*O249</f>
        <v>45.268467890646903</v>
      </c>
      <c r="O249" s="25">
        <f>M254+0.0016*1*$F$24</f>
        <v>3.8841599999999996</v>
      </c>
    </row>
    <row r="250" spans="2:15" x14ac:dyDescent="0.2">
      <c r="B250" s="171" t="s">
        <v>535</v>
      </c>
      <c r="L250" s="168">
        <f>F247*M250^3-D247*M250</f>
        <v>50.054497090569583</v>
      </c>
      <c r="M250" s="25">
        <f>O244+0.008*2*$F$24</f>
        <v>3.9575999999999993</v>
      </c>
      <c r="N250" s="168">
        <f>F247*O250^3-D247*O250</f>
        <v>45.78947071252302</v>
      </c>
      <c r="O250" s="25">
        <f>M254+0.0016*2*$F$24</f>
        <v>3.8923199999999993</v>
      </c>
    </row>
    <row r="251" spans="2:15" x14ac:dyDescent="0.2">
      <c r="B251" s="171"/>
      <c r="L251" s="168">
        <f>F247*M251^3-D247*M251</f>
        <v>52.808564041717752</v>
      </c>
      <c r="M251" s="25">
        <f>O244+0.008*3*$F$24</f>
        <v>3.9983999999999993</v>
      </c>
      <c r="N251" s="168">
        <f>F247*O251^3-D247*O251</f>
        <v>46.3131549677585</v>
      </c>
      <c r="O251" s="25">
        <f>M254+0.0016*3*$F$24</f>
        <v>3.9004799999999995</v>
      </c>
    </row>
    <row r="252" spans="2:15" x14ac:dyDescent="0.2">
      <c r="B252" s="171" t="s">
        <v>536</v>
      </c>
      <c r="L252" s="168">
        <f>F247*M252^3-D247*M252</f>
        <v>55.631493799264277</v>
      </c>
      <c r="M252" s="25">
        <f>O244+0.008*4*$F$24</f>
        <v>4.0391999999999992</v>
      </c>
      <c r="N252" s="168">
        <f>F247*O252^3-D247*O252</f>
        <v>46.83952627780689</v>
      </c>
      <c r="O252" s="25">
        <f>M254+0.0016*4*$F$24</f>
        <v>3.9086399999999992</v>
      </c>
    </row>
    <row r="253" spans="2:15" x14ac:dyDescent="0.2">
      <c r="B253" s="171" t="s">
        <v>537</v>
      </c>
      <c r="L253" s="168">
        <f>F247*M253^3-D247*M253</f>
        <v>58.523989044907061</v>
      </c>
      <c r="M253" s="25">
        <f>O244+0.008*5*$F$24</f>
        <v>4.0799999999999992</v>
      </c>
      <c r="O253" s="25">
        <f>M254+0.0016*5*$F$24</f>
        <v>3.9167999999999994</v>
      </c>
    </row>
    <row r="254" spans="2:15" x14ac:dyDescent="0.2">
      <c r="M254" s="25">
        <f>IF(L249&gt;L248,VLOOKUP(B247,L248:M252,2),IF(L250&gt;L249,VLOOKUP(B247,L249:M252,2),IF(L251&gt;L250,VLOOKUP(B247,L250:M252,2),IF(L252&gt;L251,VLOOKUP(B247,L251:M252,2),M252))))</f>
        <v>3.8759999999999994</v>
      </c>
      <c r="O254" s="25">
        <f>IF(N249&gt;N248,VLOOKUP(B247,N248:O252,2),IF(N250&gt;N249,VLOOKUP(B247,N249:O252,2),IF(N251&gt;N250,VLOOKUP(B247,N250:O252,2),IF(N252&gt;N251,VLOOKUP(B247,N251:O252,2),O252))))</f>
        <v>3.9086399999999992</v>
      </c>
    </row>
    <row r="255" spans="2:15" x14ac:dyDescent="0.2">
      <c r="B255" s="171" t="s">
        <v>538</v>
      </c>
      <c r="G255" s="169">
        <f>F241+H241*G248</f>
        <v>493.23999999999995</v>
      </c>
      <c r="H255" s="171" t="s">
        <v>43</v>
      </c>
    </row>
    <row r="256" spans="2:15" x14ac:dyDescent="0.2">
      <c r="B256" s="175" t="s">
        <v>539</v>
      </c>
      <c r="E256" s="30"/>
      <c r="F256" s="171"/>
      <c r="G256" s="168">
        <f>24*C216</f>
        <v>480</v>
      </c>
      <c r="H256" s="171" t="s">
        <v>43</v>
      </c>
    </row>
    <row r="258" spans="1:9" x14ac:dyDescent="0.2">
      <c r="B258" s="168" t="str">
        <f>IF(G255&gt;=G256,"da  &gt;  24 * Bar Diameter","da  &lt;  24 * Bar Diameter")</f>
        <v>da  &gt;  24 * Bar Diameter</v>
      </c>
      <c r="E258" s="171" t="s">
        <v>251</v>
      </c>
      <c r="G258" s="30">
        <f>IF(G255&gt;G256,G255,G256)</f>
        <v>493.23999999999995</v>
      </c>
      <c r="H258" s="171" t="s">
        <v>62</v>
      </c>
    </row>
    <row r="259" spans="1:9" x14ac:dyDescent="0.2">
      <c r="B259" s="171" t="s">
        <v>293</v>
      </c>
      <c r="C259" s="168"/>
      <c r="D259" s="171"/>
      <c r="E259" s="168"/>
      <c r="F259" s="171"/>
      <c r="G259" s="168">
        <f>F24-G248+G258/1000</f>
        <v>1.6846000000000003</v>
      </c>
      <c r="H259" s="171" t="s">
        <v>62</v>
      </c>
      <c r="I259" s="168"/>
    </row>
    <row r="261" spans="1:9" x14ac:dyDescent="0.2">
      <c r="B261" s="171" t="s">
        <v>540</v>
      </c>
    </row>
    <row r="262" spans="1:9" x14ac:dyDescent="0.2">
      <c r="B262" s="171"/>
    </row>
    <row r="263" spans="1:9" x14ac:dyDescent="0.2">
      <c r="B263" s="171" t="s">
        <v>112</v>
      </c>
      <c r="C263" s="168">
        <f>F24-G259</f>
        <v>3.4153999999999991</v>
      </c>
      <c r="D263" s="168" t="str">
        <f>IF(C263&gt;=1,"m &gt; 1 m     Curtailment should be made.","m &lt; 1 m   Curtailment should not be made.")</f>
        <v>m &gt; 1 m     Curtailment should be made.</v>
      </c>
    </row>
    <row r="265" spans="1:9" x14ac:dyDescent="0.2">
      <c r="B265" s="196" t="s">
        <v>87</v>
      </c>
    </row>
    <row r="267" spans="1:9" x14ac:dyDescent="0.2">
      <c r="B267" s="171" t="s">
        <v>541</v>
      </c>
      <c r="H267" s="39">
        <f>1/2*H216</f>
        <v>1256.6400000000001</v>
      </c>
      <c r="I267" s="171" t="s">
        <v>78</v>
      </c>
    </row>
    <row r="268" spans="1:9" x14ac:dyDescent="0.2">
      <c r="B268" s="171" t="s">
        <v>542</v>
      </c>
      <c r="F268" s="171"/>
      <c r="G268" s="30"/>
      <c r="H268" s="30">
        <f>H213</f>
        <v>380</v>
      </c>
      <c r="I268" s="171" t="s">
        <v>78</v>
      </c>
    </row>
    <row r="269" spans="1:9" x14ac:dyDescent="0.2">
      <c r="B269" s="168" t="str">
        <f>IF(G268&gt;=H268,"Ast(moment) &gt; Ast(shrinkage)","Ast(moment) &lt; Ast(shrinkage)")</f>
        <v>Ast(moment) &lt; Ast(shrinkage)</v>
      </c>
      <c r="F269" s="201" t="s">
        <v>278</v>
      </c>
      <c r="G269" s="202"/>
      <c r="H269" s="203">
        <f>IF(OR(C263&lt;1,H267&lt;H268),F24,G259)</f>
        <v>1.6846000000000003</v>
      </c>
      <c r="I269" s="201" t="s">
        <v>115</v>
      </c>
    </row>
    <row r="270" spans="1:9" x14ac:dyDescent="0.2">
      <c r="A270" s="171" t="s">
        <v>199</v>
      </c>
    </row>
    <row r="271" spans="1:9" x14ac:dyDescent="0.2">
      <c r="A271" s="171" t="s">
        <v>199</v>
      </c>
      <c r="B271" s="196" t="s">
        <v>116</v>
      </c>
    </row>
    <row r="272" spans="1:9" x14ac:dyDescent="0.2">
      <c r="A272" s="171" t="s">
        <v>199</v>
      </c>
    </row>
    <row r="273" spans="2:15" x14ac:dyDescent="0.2">
      <c r="B273" s="171" t="s">
        <v>543</v>
      </c>
    </row>
    <row r="275" spans="2:15" x14ac:dyDescent="0.2">
      <c r="B275" s="171" t="s">
        <v>544</v>
      </c>
      <c r="H275" s="30">
        <f>H216/4</f>
        <v>628.32000000000005</v>
      </c>
      <c r="I275" s="171" t="s">
        <v>78</v>
      </c>
      <c r="L275" s="171" t="s">
        <v>95</v>
      </c>
      <c r="N275" s="171" t="s">
        <v>96</v>
      </c>
    </row>
    <row r="276" spans="2:15" x14ac:dyDescent="0.2">
      <c r="B276" s="171" t="s">
        <v>545</v>
      </c>
      <c r="F276" s="30">
        <f>$F$20-$G$47</f>
        <v>225</v>
      </c>
      <c r="G276" s="171" t="s">
        <v>99</v>
      </c>
      <c r="H276" s="168">
        <f>($F$21-$F$20)/$F$24</f>
        <v>68.627450980392155</v>
      </c>
      <c r="I276" s="171" t="s">
        <v>100</v>
      </c>
      <c r="L276" s="179" t="s">
        <v>97</v>
      </c>
      <c r="M276" s="179" t="s">
        <v>98</v>
      </c>
      <c r="N276" s="179" t="s">
        <v>97</v>
      </c>
      <c r="O276" s="179" t="s">
        <v>98</v>
      </c>
    </row>
    <row r="277" spans="2:15" x14ac:dyDescent="0.2">
      <c r="B277" s="171"/>
      <c r="E277" s="25"/>
      <c r="L277" s="168">
        <f>F282*M277^3-D282*M277</f>
        <v>0</v>
      </c>
      <c r="M277" s="25">
        <v>0</v>
      </c>
      <c r="N277" s="168">
        <f>F282*O277^3-D282*O277</f>
        <v>-8.204779239090243E-3</v>
      </c>
      <c r="O277" s="25">
        <f>M283</f>
        <v>2.04</v>
      </c>
    </row>
    <row r="278" spans="2:15" x14ac:dyDescent="0.2">
      <c r="B278" s="171" t="s">
        <v>101</v>
      </c>
      <c r="D278" s="168">
        <f>H275*G35*G55*F276/1000000000</f>
        <v>23.540475245954404</v>
      </c>
      <c r="E278" s="171" t="s">
        <v>99</v>
      </c>
      <c r="F278" s="168">
        <f>H275*G35*G55*H276/1000000000</f>
        <v>7.1801013822083153</v>
      </c>
      <c r="G278" s="171" t="s">
        <v>100</v>
      </c>
      <c r="L278" s="168">
        <f>F282*M278^3-D282*M278</f>
        <v>-5.4938031547942474</v>
      </c>
      <c r="M278" s="25">
        <f>0.2*$F$24</f>
        <v>1.02</v>
      </c>
      <c r="N278" s="168">
        <f>F282*O278^3-D282*O278</f>
        <v>3.3726304141846235</v>
      </c>
      <c r="O278" s="25">
        <f>M$283+0.04*$F$24</f>
        <v>2.2440000000000002</v>
      </c>
    </row>
    <row r="279" spans="2:15" x14ac:dyDescent="0.2">
      <c r="B279" s="171" t="s">
        <v>546</v>
      </c>
      <c r="F279" s="168">
        <f>$G$14*$F$10/6</f>
        <v>1.7243558803347074</v>
      </c>
      <c r="G279" s="171" t="s">
        <v>104</v>
      </c>
      <c r="L279" s="168">
        <f>F282*M279^3-D282*M279</f>
        <v>-8.204779239090243E-3</v>
      </c>
      <c r="M279" s="25">
        <f>0.4*$F$24</f>
        <v>2.04</v>
      </c>
      <c r="N279" s="168">
        <f>F282*O279^3-D282*O279</f>
        <v>7.7196529422790725</v>
      </c>
      <c r="O279" s="25">
        <f>M$283+0.08*$F$24</f>
        <v>2.448</v>
      </c>
    </row>
    <row r="280" spans="2:15" x14ac:dyDescent="0.2">
      <c r="L280" s="168">
        <f>F282*M280^3-D282*M280</f>
        <v>27.436196657014865</v>
      </c>
      <c r="M280" s="25">
        <f>0.6*$F$24</f>
        <v>3.0599999999999996</v>
      </c>
      <c r="N280" s="168">
        <f>F282*O280^3-D282*O280</f>
        <v>13.120698017287076</v>
      </c>
      <c r="O280" s="25">
        <f>M$283+0.12*$F$24</f>
        <v>2.6520000000000001</v>
      </c>
    </row>
    <row r="281" spans="2:15" x14ac:dyDescent="0.2">
      <c r="B281" s="171" t="s">
        <v>105</v>
      </c>
      <c r="L281" s="168">
        <f>F282*M281^3-D282*M281</f>
        <v>87.818802684317063</v>
      </c>
      <c r="M281" s="25">
        <f>0.8*$F$24</f>
        <v>4.08</v>
      </c>
      <c r="N281" s="168">
        <f>F282*O281^3-D282*O281</f>
        <v>19.663600851451402</v>
      </c>
      <c r="O281" s="25">
        <f>M$283+0.16*$F$24</f>
        <v>2.8559999999999999</v>
      </c>
    </row>
    <row r="282" spans="2:15" x14ac:dyDescent="0.2">
      <c r="B282" s="168">
        <f>D278</f>
        <v>23.540475245954404</v>
      </c>
      <c r="C282" s="171" t="s">
        <v>99</v>
      </c>
      <c r="D282" s="168">
        <f>F278</f>
        <v>7.1801013822083153</v>
      </c>
      <c r="E282" s="171" t="s">
        <v>106</v>
      </c>
      <c r="F282" s="168">
        <f>F279</f>
        <v>1.7243558803347074</v>
      </c>
      <c r="G282" s="171" t="s">
        <v>104</v>
      </c>
      <c r="L282" s="168">
        <f>F282*M282^3-D282*M282</f>
        <v>192.11901483301685</v>
      </c>
      <c r="M282" s="25">
        <f>$F$24</f>
        <v>5.0999999999999996</v>
      </c>
      <c r="N282" s="168">
        <f>F282*O282^3-D282*O282</f>
        <v>27.436196657014882</v>
      </c>
      <c r="O282" s="25">
        <f>M$283+0.2*$F$24</f>
        <v>3.06</v>
      </c>
    </row>
    <row r="283" spans="2:15" x14ac:dyDescent="0.2">
      <c r="M283" s="25">
        <f>IF(L278&gt;L277,VLOOKUP(B282,L277:M282,2),IF(L279&gt;L278,VLOOKUP(B282,L278:M282,2),IF(L280&gt;L279,VLOOKUP(B282,L279:M282,2),IF(L281&gt;L280,VLOOKUP(B282,L280:M282,2),IF(L282&gt;L281,VLOOKUP(B282,L281:M282,2),M282)))))</f>
        <v>2.04</v>
      </c>
      <c r="O283" s="25">
        <f>IF(N278&gt;N277,VLOOKUP(B282,N277:O281,2),IF(N279&gt;N278,VLOOKUP(B282,N278:O281,2),IF(N280&gt;N279,VLOOKUP(B282,N279:O281,2),IF(N281&gt;N280,VLOOKUP(B282,N280:O281,2),O281))))</f>
        <v>2.8559999999999999</v>
      </c>
    </row>
    <row r="284" spans="2:15" x14ac:dyDescent="0.2">
      <c r="B284" s="171" t="s">
        <v>547</v>
      </c>
      <c r="G284" s="168">
        <f>O294</f>
        <v>2.9539199999999997</v>
      </c>
      <c r="H284" s="171" t="s">
        <v>107</v>
      </c>
    </row>
    <row r="286" spans="2:15" x14ac:dyDescent="0.2">
      <c r="B286" s="171" t="s">
        <v>548</v>
      </c>
      <c r="L286" s="171" t="s">
        <v>102</v>
      </c>
      <c r="N286" s="171" t="s">
        <v>103</v>
      </c>
    </row>
    <row r="287" spans="2:15" x14ac:dyDescent="0.2">
      <c r="B287" s="171" t="s">
        <v>536</v>
      </c>
      <c r="L287" s="179" t="s">
        <v>97</v>
      </c>
      <c r="M287" s="179" t="s">
        <v>98</v>
      </c>
      <c r="N287" s="179" t="s">
        <v>97</v>
      </c>
      <c r="O287" s="179" t="s">
        <v>98</v>
      </c>
    </row>
    <row r="288" spans="2:15" x14ac:dyDescent="0.2">
      <c r="B288" s="171" t="s">
        <v>537</v>
      </c>
      <c r="L288" s="168">
        <f>F282*M288^3-D282*M288</f>
        <v>19.663600851451402</v>
      </c>
      <c r="M288" s="25">
        <f>O283</f>
        <v>2.8559999999999999</v>
      </c>
      <c r="N288" s="168">
        <f>F282*O288^3-D282*O288</f>
        <v>22.620157245223297</v>
      </c>
      <c r="O288" s="25">
        <f>M294</f>
        <v>2.9375999999999998</v>
      </c>
    </row>
    <row r="289" spans="1:15" x14ac:dyDescent="0.2">
      <c r="L289" s="168">
        <f>F282*M289^3-D282*M289</f>
        <v>21.116933848060395</v>
      </c>
      <c r="M289" s="25">
        <f>O$283+0.008*$F$24</f>
        <v>2.8967999999999998</v>
      </c>
      <c r="N289" s="168">
        <f>F282*O289^3-D282*O289</f>
        <v>22.926850608711774</v>
      </c>
      <c r="O289" s="25">
        <f>M294+0.0016*$F$24</f>
        <v>2.9457599999999999</v>
      </c>
    </row>
    <row r="290" spans="1:15" x14ac:dyDescent="0.2">
      <c r="B290" s="171" t="s">
        <v>117</v>
      </c>
      <c r="D290" s="30"/>
      <c r="E290" s="168"/>
      <c r="F290" s="171"/>
      <c r="G290" s="30">
        <f>F276+H276*G284</f>
        <v>427.71999999999997</v>
      </c>
      <c r="H290" s="171" t="s">
        <v>43</v>
      </c>
      <c r="L290" s="168">
        <f>F282*M290^3-D282*M290</f>
        <v>22.620157245223297</v>
      </c>
      <c r="M290" s="25">
        <f>O$283+0.016*$F$24</f>
        <v>2.9375999999999998</v>
      </c>
      <c r="N290" s="168">
        <f>F282*O290^3-D282*O290</f>
        <v>23.235573316943881</v>
      </c>
      <c r="O290" s="25">
        <f>M294+0.0032*$F$24</f>
        <v>2.9539199999999997</v>
      </c>
    </row>
    <row r="291" spans="1:15" x14ac:dyDescent="0.2">
      <c r="B291" s="175" t="s">
        <v>549</v>
      </c>
      <c r="E291" s="30"/>
      <c r="F291" s="171"/>
      <c r="G291" s="30">
        <f>24*C216</f>
        <v>480</v>
      </c>
      <c r="H291" s="171" t="s">
        <v>43</v>
      </c>
      <c r="L291" s="168">
        <f>F282*M291^3-D282*M291</f>
        <v>24.173973724638042</v>
      </c>
      <c r="M291" s="25">
        <f>O$283+0.024*$F$24</f>
        <v>2.9783999999999997</v>
      </c>
      <c r="N291" s="168">
        <f>F282*O291^3-D282*O291</f>
        <v>23.546330991373264</v>
      </c>
      <c r="O291" s="25">
        <f>M294+0.0048*$F$24</f>
        <v>2.9620799999999998</v>
      </c>
    </row>
    <row r="292" spans="1:15" x14ac:dyDescent="0.2">
      <c r="L292" s="168">
        <f>F282*M292^3-D282*M292</f>
        <v>25.779085968002583</v>
      </c>
      <c r="M292" s="25">
        <f>O$283+0.032*$F$24</f>
        <v>3.0191999999999997</v>
      </c>
      <c r="N292" s="168">
        <f>F282*O292^3-D282*O292</f>
        <v>23.859129253453439</v>
      </c>
      <c r="O292" s="25">
        <f>M294+0.0064*$F$24</f>
        <v>2.9702399999999995</v>
      </c>
    </row>
    <row r="293" spans="1:15" x14ac:dyDescent="0.2">
      <c r="B293" s="168" t="str">
        <f>IF(G290&gt;=G291,"da  &gt;  24 * Bar Diameter","da  &lt;  24 * Bar Diameter")</f>
        <v>da  &lt;  24 * Bar Diameter</v>
      </c>
      <c r="E293" s="171" t="s">
        <v>109</v>
      </c>
      <c r="G293" s="30">
        <f>IF(G290&gt;G291,G290,G291)</f>
        <v>480</v>
      </c>
      <c r="H293" s="171" t="s">
        <v>62</v>
      </c>
      <c r="L293" s="168">
        <f>F282*M293^3-D282*M293</f>
        <v>27.436196657014882</v>
      </c>
      <c r="M293" s="25">
        <f>O$283+0.04*$F$24</f>
        <v>3.06</v>
      </c>
      <c r="N293" s="168">
        <f>F282*O293^3-D282*O293</f>
        <v>24.173973724638042</v>
      </c>
      <c r="O293" s="25">
        <f>M294+0.008*$F$24</f>
        <v>2.9783999999999997</v>
      </c>
    </row>
    <row r="294" spans="1:15" x14ac:dyDescent="0.2">
      <c r="B294" s="171" t="s">
        <v>252</v>
      </c>
      <c r="G294" s="169">
        <f>F24-G284+G293/1000</f>
        <v>2.62608</v>
      </c>
      <c r="H294" s="169" t="s">
        <v>24</v>
      </c>
      <c r="M294" s="25">
        <f>IF(L289&gt;L288,VLOOKUP(B282,L288:M292,2),IF(L290&gt;L289,VLOOKUP(B282,L289:M292,2),IF(L291&gt;L290,VLOOKUP(B282,L290:M292,2),IF(L292&gt;L291,VLOOKUP(B282,L291:M292,2),M292))))</f>
        <v>2.9375999999999998</v>
      </c>
      <c r="O294" s="25">
        <f>IF(N289&gt;N288,VLOOKUP(B282,N288:O292,2),IF(N290&gt;N289,VLOOKUP(B282,N289:O292,2),IF(N291&gt;N290,VLOOKUP(B282,N290:O292,2),IF(N292&gt;N291,VLOOKUP(B282,N291:O292,2),O292))))</f>
        <v>2.9539199999999997</v>
      </c>
    </row>
    <row r="296" spans="1:15" x14ac:dyDescent="0.2">
      <c r="B296" s="171" t="s">
        <v>550</v>
      </c>
    </row>
    <row r="297" spans="1:15" x14ac:dyDescent="0.2">
      <c r="B297" s="171"/>
    </row>
    <row r="298" spans="1:15" x14ac:dyDescent="0.2">
      <c r="B298" s="171" t="s">
        <v>288</v>
      </c>
      <c r="C298" s="168">
        <f>F24-G294</f>
        <v>2.4739199999999997</v>
      </c>
      <c r="D298" s="168" t="str">
        <f>IF(C298&gt;=1," &gt;  1 m      Curtailment should be made."," &lt;  1 m      Curtailment should not be made.")</f>
        <v xml:space="preserve"> &gt;  1 m      Curtailment should be made.</v>
      </c>
    </row>
    <row r="300" spans="1:15" x14ac:dyDescent="0.2">
      <c r="A300" s="171" t="s">
        <v>199</v>
      </c>
      <c r="B300" s="196" t="s">
        <v>87</v>
      </c>
    </row>
    <row r="301" spans="1:15" x14ac:dyDescent="0.2">
      <c r="A301" s="171" t="s">
        <v>199</v>
      </c>
    </row>
    <row r="302" spans="1:15" x14ac:dyDescent="0.2">
      <c r="A302" s="171" t="s">
        <v>199</v>
      </c>
      <c r="B302" s="171" t="s">
        <v>551</v>
      </c>
      <c r="F302" s="169">
        <f>1/4*H216</f>
        <v>628.32000000000005</v>
      </c>
      <c r="G302" s="171" t="s">
        <v>78</v>
      </c>
    </row>
    <row r="303" spans="1:15" x14ac:dyDescent="0.2">
      <c r="A303" s="171" t="s">
        <v>199</v>
      </c>
      <c r="B303" s="171" t="s">
        <v>296</v>
      </c>
      <c r="F303" s="30">
        <f>H213</f>
        <v>380</v>
      </c>
      <c r="G303" s="171" t="s">
        <v>78</v>
      </c>
    </row>
    <row r="304" spans="1:15" x14ac:dyDescent="0.2">
      <c r="A304" s="171" t="s">
        <v>199</v>
      </c>
      <c r="B304" s="168" t="str">
        <f>IF(F302&gt;=F303,"Ast(moment)  &gt;  Ast(shrinkage)","Ast(moment)  &lt;  Ast(shrinkage)")</f>
        <v>Ast(moment)  &gt;  Ast(shrinkage)</v>
      </c>
      <c r="F304" s="201" t="s">
        <v>278</v>
      </c>
      <c r="G304" s="202"/>
      <c r="H304" s="203">
        <f>IF(OR(C298&lt;1,F302&lt;F303),F24,G294)</f>
        <v>2.62608</v>
      </c>
      <c r="I304" s="201" t="s">
        <v>115</v>
      </c>
    </row>
    <row r="305" spans="2:15" x14ac:dyDescent="0.2">
      <c r="B305" s="172" t="s">
        <v>552</v>
      </c>
      <c r="C305" s="204"/>
    </row>
    <row r="306" spans="2:15" x14ac:dyDescent="0.2">
      <c r="B306" s="171" t="s">
        <v>553</v>
      </c>
    </row>
    <row r="307" spans="2:15" x14ac:dyDescent="0.2">
      <c r="B307" s="171" t="s">
        <v>554</v>
      </c>
      <c r="H307" s="174"/>
    </row>
    <row r="309" spans="2:15" ht="13.5" thickBot="1" x14ac:dyDescent="0.25">
      <c r="B309" s="197" t="s">
        <v>555</v>
      </c>
    </row>
    <row r="310" spans="2:15" x14ac:dyDescent="0.2">
      <c r="M310" s="423"/>
      <c r="N310" s="424"/>
      <c r="O310" s="425"/>
    </row>
    <row r="311" spans="2:15" x14ac:dyDescent="0.2">
      <c r="B311" s="171" t="s">
        <v>556</v>
      </c>
      <c r="E311" s="168">
        <f>$H$143</f>
        <v>85.137711269419981</v>
      </c>
      <c r="F311" s="171" t="s">
        <v>557</v>
      </c>
      <c r="G311" s="171" t="s">
        <v>558</v>
      </c>
      <c r="J311" s="168">
        <f>$H$144</f>
        <v>73.946560575240198</v>
      </c>
      <c r="K311" s="171" t="s">
        <v>35</v>
      </c>
      <c r="M311" s="426">
        <f>(J311*E312^2/2)</f>
        <v>231.08300179762563</v>
      </c>
      <c r="N311" s="217">
        <f>J313*E312^2/2*F10</f>
        <v>312.375</v>
      </c>
      <c r="O311" s="427"/>
    </row>
    <row r="312" spans="2:15" x14ac:dyDescent="0.2">
      <c r="B312" s="171" t="s">
        <v>559</v>
      </c>
      <c r="E312" s="168">
        <f>$F$28</f>
        <v>2.5</v>
      </c>
      <c r="F312" s="171" t="s">
        <v>560</v>
      </c>
      <c r="G312" s="171" t="s">
        <v>561</v>
      </c>
      <c r="J312" s="168">
        <f>$F$30</f>
        <v>5.15</v>
      </c>
      <c r="K312" s="171" t="s">
        <v>24</v>
      </c>
      <c r="M312" s="426">
        <f>(E311-J311)*E312/J312*E312^2/6</f>
        <v>5.6589556503740797</v>
      </c>
      <c r="N312" s="217">
        <f>(E313/1000*E312^2/2*F9)</f>
        <v>51.625</v>
      </c>
      <c r="O312" s="427"/>
    </row>
    <row r="313" spans="2:15" x14ac:dyDescent="0.2">
      <c r="B313" s="171" t="s">
        <v>562</v>
      </c>
      <c r="E313" s="30">
        <f>$F$22</f>
        <v>700</v>
      </c>
      <c r="F313" s="171" t="s">
        <v>563</v>
      </c>
      <c r="G313" s="171" t="s">
        <v>564</v>
      </c>
      <c r="J313" s="168">
        <f>$F$24</f>
        <v>5.0999999999999996</v>
      </c>
      <c r="K313" s="171" t="s">
        <v>24</v>
      </c>
      <c r="M313" s="428">
        <f>SUM(M311:M312)</f>
        <v>236.74195744799971</v>
      </c>
      <c r="N313" s="422">
        <f>SUM(N311:N312)</f>
        <v>364</v>
      </c>
      <c r="O313" s="427"/>
    </row>
    <row r="314" spans="2:15" x14ac:dyDescent="0.2">
      <c r="M314" s="426"/>
      <c r="N314" s="217"/>
      <c r="O314" s="427"/>
    </row>
    <row r="315" spans="2:15" ht="15.75" x14ac:dyDescent="0.25">
      <c r="B315" s="171" t="s">
        <v>565</v>
      </c>
      <c r="M315" s="426"/>
      <c r="N315" s="433">
        <f>N313-M313</f>
        <v>127.25804255200029</v>
      </c>
      <c r="O315" s="427"/>
    </row>
    <row r="316" spans="2:15" ht="16.5" thickBot="1" x14ac:dyDescent="0.35">
      <c r="B316" s="171" t="s">
        <v>566</v>
      </c>
      <c r="F316" s="171"/>
      <c r="I316" s="169">
        <f>N315</f>
        <v>127.25804255200029</v>
      </c>
      <c r="J316" s="169" t="s">
        <v>58</v>
      </c>
      <c r="M316" s="429"/>
      <c r="N316" s="430"/>
      <c r="O316" s="431"/>
    </row>
    <row r="317" spans="2:15" x14ac:dyDescent="0.2">
      <c r="E317" s="171"/>
      <c r="F317" s="168"/>
      <c r="G317" s="171"/>
      <c r="H317" s="168"/>
      <c r="I317" s="171" t="s">
        <v>567</v>
      </c>
      <c r="J317" s="168"/>
    </row>
    <row r="318" spans="2:15" x14ac:dyDescent="0.2">
      <c r="B318" s="171" t="s">
        <v>568</v>
      </c>
      <c r="E318" s="171"/>
      <c r="F318" s="168"/>
      <c r="G318" s="171"/>
    </row>
    <row r="319" spans="2:15" ht="15.75" x14ac:dyDescent="0.3">
      <c r="B319" s="171" t="s">
        <v>569</v>
      </c>
      <c r="I319" s="169">
        <f>J311*E312+(E311-J311)*E312/J312*E312/2-(J313*E312*I10+E313/1000*E312*I9)</f>
        <v>191.65714821854939</v>
      </c>
      <c r="J319" s="169" t="s">
        <v>57</v>
      </c>
    </row>
    <row r="320" spans="2:15" x14ac:dyDescent="0.2">
      <c r="I320" s="171" t="s">
        <v>570</v>
      </c>
    </row>
    <row r="321" spans="1:19" x14ac:dyDescent="0.2">
      <c r="B321" s="196" t="s">
        <v>59</v>
      </c>
      <c r="F321" s="171"/>
    </row>
    <row r="322" spans="1:19" x14ac:dyDescent="0.2">
      <c r="E322" s="171"/>
      <c r="F322" s="168"/>
      <c r="G322" s="171"/>
      <c r="H322" s="168"/>
      <c r="I322" s="171"/>
      <c r="J322" s="168"/>
    </row>
    <row r="323" spans="1:19" x14ac:dyDescent="0.2">
      <c r="B323" s="171" t="s">
        <v>499</v>
      </c>
      <c r="G323" s="171"/>
    </row>
    <row r="325" spans="1:19" x14ac:dyDescent="0.2">
      <c r="A325" s="171"/>
      <c r="B325" s="171" t="s">
        <v>571</v>
      </c>
      <c r="F325" s="39">
        <f>(ABS(I316)/G56)^0.5*1000</f>
        <v>318.6897530890451</v>
      </c>
      <c r="G325" s="169" t="s">
        <v>43</v>
      </c>
    </row>
    <row r="326" spans="1:19" x14ac:dyDescent="0.2">
      <c r="B326" s="171" t="s">
        <v>572</v>
      </c>
      <c r="E326" s="168"/>
      <c r="F326" s="205">
        <f>ABS(I319)/G38*1000</f>
        <v>447.1114981627793</v>
      </c>
      <c r="G326" s="169" t="s">
        <v>43</v>
      </c>
    </row>
    <row r="327" spans="1:19" x14ac:dyDescent="0.2">
      <c r="B327" s="171"/>
      <c r="F327" s="23"/>
      <c r="G327" s="171"/>
    </row>
    <row r="328" spans="1:19" x14ac:dyDescent="0.2">
      <c r="B328" s="168" t="str">
        <f>IF(F325&gt;=F326,"dr(moment)  &gt;  dr(shear)","dr(moment)  &lt;  dr(shear)")</f>
        <v>dr(moment)  &lt;  dr(shear)</v>
      </c>
      <c r="E328" s="171" t="s">
        <v>573</v>
      </c>
      <c r="G328" s="30">
        <f>IF(F325&gt;=F326,F325,F326)</f>
        <v>447.1114981627793</v>
      </c>
      <c r="H328" s="171" t="s">
        <v>62</v>
      </c>
    </row>
    <row r="329" spans="1:19" x14ac:dyDescent="0.2">
      <c r="B329" s="171"/>
      <c r="D329" s="30"/>
      <c r="E329" s="171"/>
    </row>
    <row r="330" spans="1:19" x14ac:dyDescent="0.2">
      <c r="B330" s="171" t="s">
        <v>63</v>
      </c>
      <c r="D330" s="30"/>
      <c r="E330" s="171"/>
      <c r="F330" s="30"/>
      <c r="G330" s="205">
        <f>G328+G47</f>
        <v>522.1114981627793</v>
      </c>
      <c r="H330" s="171" t="s">
        <v>43</v>
      </c>
    </row>
    <row r="331" spans="1:19" x14ac:dyDescent="0.2">
      <c r="B331" s="171" t="s">
        <v>574</v>
      </c>
      <c r="G331" s="30">
        <f>E313</f>
        <v>700</v>
      </c>
      <c r="H331" s="171" t="s">
        <v>43</v>
      </c>
    </row>
    <row r="332" spans="1:19" x14ac:dyDescent="0.2">
      <c r="B332" s="168" t="str">
        <f>IF(G331&gt;=G330,"ta  &gt;  tr   Design is OK.","ta  &lt;  tr     Design is Not OK.")</f>
        <v>ta  &gt;  tr   Design is OK.</v>
      </c>
      <c r="F332" s="171" t="s">
        <v>64</v>
      </c>
    </row>
    <row r="334" spans="1:19" x14ac:dyDescent="0.2">
      <c r="B334" s="196" t="s">
        <v>65</v>
      </c>
      <c r="G334" s="171" t="s">
        <v>503</v>
      </c>
      <c r="M334" s="171" t="s">
        <v>66</v>
      </c>
      <c r="O334" s="30">
        <v>12</v>
      </c>
      <c r="P334" s="30">
        <v>16</v>
      </c>
      <c r="Q334" s="30">
        <v>20</v>
      </c>
      <c r="R334" s="30">
        <v>22</v>
      </c>
      <c r="S334" s="30">
        <v>25</v>
      </c>
    </row>
    <row r="335" spans="1:19" x14ac:dyDescent="0.2">
      <c r="G335" s="171" t="s">
        <v>504</v>
      </c>
      <c r="M335" s="171" t="s">
        <v>67</v>
      </c>
      <c r="O335" s="30">
        <f>IF(H345=0,100000000,TRUNC(785.4*O334^2/H345/25)*25)</f>
        <v>100</v>
      </c>
      <c r="P335" s="30">
        <f>IF(H345=0,100000000,TRUNC(785.4*P334^2/H345/25)*25)</f>
        <v>200</v>
      </c>
      <c r="Q335" s="30">
        <f>IF(H345=0,100000000,TRUNC(785.4*Q334^2/H345/25)*25)</f>
        <v>325</v>
      </c>
      <c r="R335" s="30">
        <f>IF(H345=0,100000000,TRUNC(785.4*R334^2/H345/25)*25)</f>
        <v>400</v>
      </c>
      <c r="S335" s="30">
        <f>IF(H345=0,100000000,TRUNC(785.4*S334^2/H345/25)*25)</f>
        <v>500</v>
      </c>
    </row>
    <row r="336" spans="1:19" x14ac:dyDescent="0.2">
      <c r="A336" s="171"/>
      <c r="G336" s="171" t="s">
        <v>505</v>
      </c>
      <c r="M336" s="171" t="s">
        <v>68</v>
      </c>
      <c r="O336" s="30">
        <f>785.4*O334^2/O335</f>
        <v>1130.9759999999999</v>
      </c>
      <c r="P336" s="30">
        <f>785.4*P334^2/P335</f>
        <v>1005.312</v>
      </c>
      <c r="Q336" s="30">
        <f>785.4*Q334^2/Q335</f>
        <v>966.64615384615388</v>
      </c>
      <c r="R336" s="30">
        <f>785.4*R334^2/R335</f>
        <v>950.33399999999995</v>
      </c>
      <c r="S336" s="30">
        <f>785.4*S334^2/S335</f>
        <v>981.75</v>
      </c>
    </row>
    <row r="337" spans="2:19" x14ac:dyDescent="0.2">
      <c r="B337" s="171" t="s">
        <v>575</v>
      </c>
      <c r="M337" s="171" t="s">
        <v>69</v>
      </c>
      <c r="O337" s="30">
        <f>IF(OR(O335&gt;300,O335&lt;100),100000000,O336-H345)</f>
        <v>180.97599999999977</v>
      </c>
      <c r="P337" s="30">
        <f>IF(OR(P335&gt;300,P335&lt;100),100000001,P336-H345)</f>
        <v>55.311999999999898</v>
      </c>
      <c r="Q337" s="30">
        <f>IF(OR(Q335&gt;300,Q335&lt;100),100000001,Q336-H345)</f>
        <v>100000001</v>
      </c>
      <c r="R337" s="30">
        <f>IF(OR(R335&gt;300,R335&lt;100),100000001,R336-H345)</f>
        <v>100000001</v>
      </c>
      <c r="S337" s="30">
        <f>IF(OR(S335&gt;300,S335&lt;100),100000001,S336-H345)</f>
        <v>100000001</v>
      </c>
    </row>
    <row r="338" spans="2:19" x14ac:dyDescent="0.2">
      <c r="B338" s="171" t="s">
        <v>576</v>
      </c>
      <c r="M338" s="171" t="s">
        <v>70</v>
      </c>
      <c r="O338" s="30">
        <f>IF(S335&lt;100,25,IF(MIN(O337:S337)=O337,12,IF(MIN(O337:S337)=P337,16,IF(MIN(O337:S337)=Q337,20,IF(MIN(O337:S337)=R337,22,IF(MIN(O337:S337)=S337,25,0))))))</f>
        <v>16</v>
      </c>
      <c r="P338" s="171" t="s">
        <v>71</v>
      </c>
      <c r="Q338" s="30">
        <f>IF(O338=12,O335,IF(O338=16,P335,IF(O338=20,Q335,IF(O338=22,R335,IF(O338=25,S335,0)))))</f>
        <v>200</v>
      </c>
      <c r="R338" s="171" t="s">
        <v>72</v>
      </c>
    </row>
    <row r="340" spans="2:19" x14ac:dyDescent="0.2">
      <c r="B340" s="179" t="s">
        <v>508</v>
      </c>
      <c r="C340" s="198" t="s">
        <v>235</v>
      </c>
      <c r="D340" s="198" t="s">
        <v>233</v>
      </c>
      <c r="F340" s="171" t="s">
        <v>509</v>
      </c>
      <c r="I340" s="168">
        <f>$F$27</f>
        <v>10.7</v>
      </c>
      <c r="J340" s="171" t="s">
        <v>24</v>
      </c>
    </row>
    <row r="341" spans="2:19" x14ac:dyDescent="0.2">
      <c r="B341" s="179" t="s">
        <v>510</v>
      </c>
      <c r="C341" s="198" t="s">
        <v>232</v>
      </c>
      <c r="D341" s="198" t="s">
        <v>232</v>
      </c>
      <c r="F341" s="171" t="s">
        <v>74</v>
      </c>
      <c r="I341" s="30">
        <f>E313</f>
        <v>700</v>
      </c>
      <c r="J341" s="171" t="s">
        <v>43</v>
      </c>
    </row>
    <row r="342" spans="2:19" x14ac:dyDescent="0.2">
      <c r="B342" s="179" t="s">
        <v>75</v>
      </c>
      <c r="C342" s="199">
        <v>1.5E-3</v>
      </c>
      <c r="D342" s="199">
        <v>1E-3</v>
      </c>
      <c r="F342" s="171" t="s">
        <v>511</v>
      </c>
      <c r="M342" s="171" t="s">
        <v>66</v>
      </c>
      <c r="O342" s="30">
        <v>12</v>
      </c>
      <c r="P342" s="30">
        <v>16</v>
      </c>
      <c r="Q342" s="30">
        <v>20</v>
      </c>
      <c r="R342" s="30">
        <v>22</v>
      </c>
      <c r="S342" s="30">
        <v>25</v>
      </c>
    </row>
    <row r="343" spans="2:19" x14ac:dyDescent="0.2">
      <c r="B343" s="179" t="s">
        <v>76</v>
      </c>
      <c r="C343" s="199">
        <v>2.5000000000000001E-3</v>
      </c>
      <c r="D343" s="199">
        <v>1.5E-3</v>
      </c>
      <c r="M343" s="171" t="s">
        <v>67</v>
      </c>
      <c r="O343" s="30">
        <f>IF(H347=0,100000000,TRUNC(785.4*O342^2/H347/25)*25)</f>
        <v>175</v>
      </c>
      <c r="P343" s="30">
        <f>IF(H347=0,100000000,TRUNC(785.4*P342^2/H347/25)*25)</f>
        <v>350</v>
      </c>
      <c r="Q343" s="30">
        <f>IF(H347=0,100000000,TRUNC(785.4*Q342^2/H347/25)*25)</f>
        <v>550</v>
      </c>
      <c r="R343" s="30">
        <f>IF(H347=0,100000000,TRUNC(785.4*R342^2/H347/25)*25)</f>
        <v>650</v>
      </c>
      <c r="S343" s="30">
        <f>IF(H347=0,100000000,TRUNC(785.4*S342^2/H347/25)*25)</f>
        <v>850</v>
      </c>
    </row>
    <row r="344" spans="2:19" x14ac:dyDescent="0.2">
      <c r="M344" s="171" t="s">
        <v>68</v>
      </c>
      <c r="O344" s="30">
        <f>785.4*O342^2/O343</f>
        <v>646.27199999999993</v>
      </c>
      <c r="P344" s="30">
        <f>785.4*P342^2/P343</f>
        <v>574.46399999999994</v>
      </c>
      <c r="Q344" s="30">
        <f>785.4*Q342^2/Q343</f>
        <v>571.20000000000005</v>
      </c>
      <c r="R344" s="30">
        <f>785.4*R342^2/R343</f>
        <v>584.82092307692301</v>
      </c>
      <c r="S344" s="30">
        <f>785.4*S342^2/S343</f>
        <v>577.5</v>
      </c>
    </row>
    <row r="345" spans="2:19" x14ac:dyDescent="0.2">
      <c r="B345" s="171" t="s">
        <v>77</v>
      </c>
      <c r="H345" s="39">
        <f>IF(I340&lt;=9,C342,C343)*IF(I341&lt;=380,I341,380)*1000</f>
        <v>950.00000000000011</v>
      </c>
      <c r="I345" s="171" t="s">
        <v>78</v>
      </c>
      <c r="M345" s="171" t="s">
        <v>69</v>
      </c>
      <c r="O345" s="30">
        <f>IF(OR(O343&gt;300,O343&lt;100),100000000,O344-H347)</f>
        <v>76.271999999999821</v>
      </c>
      <c r="P345" s="30">
        <f>IF(OR(P343&gt;300,P343&lt;100),100000001,P344-H347)</f>
        <v>100000001</v>
      </c>
      <c r="Q345" s="30">
        <f>IF(OR(Q343&gt;300,Q343&lt;100),100000001,Q344-H347)</f>
        <v>100000001</v>
      </c>
      <c r="R345" s="30">
        <f>IF(OR(R343&gt;300,R343&lt;100),100000001,R344-H347)</f>
        <v>100000001</v>
      </c>
      <c r="S345" s="30">
        <f>IF(OR(S343&gt;300,S343&lt;100),100000001,S344-H347)</f>
        <v>100000001</v>
      </c>
    </row>
    <row r="346" spans="2:19" x14ac:dyDescent="0.2">
      <c r="B346" s="171" t="s">
        <v>577</v>
      </c>
      <c r="C346" s="30">
        <f>IF(D492=0,O338,D492)</f>
        <v>12</v>
      </c>
      <c r="D346" s="171" t="s">
        <v>71</v>
      </c>
      <c r="E346" s="30">
        <f>IF(D492=0,IF(Q338&gt;300,300,Q338),E492)</f>
        <v>200</v>
      </c>
      <c r="F346" s="171" t="s">
        <v>80</v>
      </c>
      <c r="H346" s="30">
        <f>785.4*C346^2/E346</f>
        <v>565.48799999999994</v>
      </c>
      <c r="I346" s="171" t="s">
        <v>81</v>
      </c>
      <c r="J346" s="30"/>
      <c r="M346" s="171" t="s">
        <v>70</v>
      </c>
      <c r="O346" s="30">
        <f>IF(S343&lt;100,25,IF(MIN(O345:S345)=O345,12,IF(MIN(O345:S345)=P345,16,IF(MIN(O345:S345)=Q345,20,IF(MIN(O345:S345)=R345,22,IF(MIN(O345:S345)=S345,25,0))))))</f>
        <v>12</v>
      </c>
      <c r="P346" s="171" t="s">
        <v>71</v>
      </c>
      <c r="Q346" s="30">
        <f>IF(O346=12,O343,IF(O346=16,P343,IF(O346=20,Q343,IF(O346=22,R343,IF(O346=25,S343,0)))))</f>
        <v>175</v>
      </c>
      <c r="R346" s="171" t="s">
        <v>72</v>
      </c>
    </row>
    <row r="347" spans="2:19" x14ac:dyDescent="0.2">
      <c r="B347" s="171" t="s">
        <v>238</v>
      </c>
      <c r="H347" s="39">
        <f>IF(I340&lt;=9,D342,D343)*IF(I341&lt;=380,I341,380)*1000</f>
        <v>570.00000000000011</v>
      </c>
      <c r="I347" s="171" t="s">
        <v>78</v>
      </c>
    </row>
    <row r="348" spans="2:19" x14ac:dyDescent="0.2">
      <c r="B348" s="171" t="s">
        <v>79</v>
      </c>
      <c r="C348" s="30">
        <f>IF(H492=0,O346,H492)</f>
        <v>12</v>
      </c>
      <c r="D348" s="171" t="s">
        <v>71</v>
      </c>
      <c r="E348" s="30">
        <v>150</v>
      </c>
      <c r="F348" s="171" t="s">
        <v>80</v>
      </c>
      <c r="H348" s="30">
        <f>785.4*C348^2/E348</f>
        <v>753.98399999999992</v>
      </c>
      <c r="I348" s="171" t="s">
        <v>81</v>
      </c>
    </row>
    <row r="350" spans="2:19" x14ac:dyDescent="0.2">
      <c r="B350" s="196" t="s">
        <v>578</v>
      </c>
      <c r="E350" s="31"/>
      <c r="F350" s="171"/>
      <c r="G350" s="30"/>
      <c r="H350" s="171"/>
    </row>
    <row r="352" spans="2:19" x14ac:dyDescent="0.2">
      <c r="B352" s="171" t="s">
        <v>579</v>
      </c>
      <c r="H352" s="39">
        <f>ABS(I316)/(G35*G55*H353)*1000000000</f>
        <v>1222.7942760673511</v>
      </c>
      <c r="I352" s="171" t="s">
        <v>78</v>
      </c>
    </row>
    <row r="353" spans="1:19" x14ac:dyDescent="0.2">
      <c r="B353" s="171" t="s">
        <v>580</v>
      </c>
      <c r="H353" s="39">
        <f>G331-G47</f>
        <v>625</v>
      </c>
      <c r="I353" s="169" t="s">
        <v>43</v>
      </c>
      <c r="J353" s="30"/>
    </row>
    <row r="355" spans="1:19" x14ac:dyDescent="0.2">
      <c r="B355" s="196" t="s">
        <v>87</v>
      </c>
    </row>
    <row r="357" spans="1:19" x14ac:dyDescent="0.2">
      <c r="B357" s="171" t="s">
        <v>581</v>
      </c>
      <c r="H357" s="168">
        <f>J312</f>
        <v>5.15</v>
      </c>
      <c r="I357" s="168" t="s">
        <v>24</v>
      </c>
    </row>
    <row r="358" spans="1:19" x14ac:dyDescent="0.2">
      <c r="B358" s="171" t="s">
        <v>74</v>
      </c>
      <c r="H358" s="30">
        <f>G331</f>
        <v>700</v>
      </c>
      <c r="I358" s="168" t="s">
        <v>43</v>
      </c>
    </row>
    <row r="359" spans="1:19" x14ac:dyDescent="0.2">
      <c r="B359" s="171" t="s">
        <v>582</v>
      </c>
      <c r="E359" s="31"/>
      <c r="H359" s="39">
        <f>IF(H357&lt;=9,D342,D343)*IF(H358&lt;=380,H358,380)*1000</f>
        <v>380</v>
      </c>
      <c r="I359" s="171" t="s">
        <v>78</v>
      </c>
    </row>
    <row r="361" spans="1:19" x14ac:dyDescent="0.2">
      <c r="A361" s="171"/>
      <c r="B361" s="168" t="str">
        <f>IF(H352&gt;H359,"Ast(moment) &gt; Ast(shrinkage)","Ast(moment) &lt; Ast(shrinkage)")</f>
        <v>Ast(moment) &gt; Ast(shrinkage)</v>
      </c>
      <c r="F361" s="171" t="s">
        <v>267</v>
      </c>
      <c r="H361" s="30">
        <f>IF(H352&gt;H359,H352,H359)</f>
        <v>1222.7942760673511</v>
      </c>
      <c r="I361" s="171" t="s">
        <v>89</v>
      </c>
      <c r="M361" s="171" t="s">
        <v>66</v>
      </c>
      <c r="O361" s="30">
        <v>12</v>
      </c>
      <c r="P361" s="30">
        <v>16</v>
      </c>
      <c r="Q361" s="30">
        <v>20</v>
      </c>
      <c r="R361" s="30">
        <v>22</v>
      </c>
      <c r="S361" s="30">
        <v>25</v>
      </c>
    </row>
    <row r="362" spans="1:19" x14ac:dyDescent="0.2">
      <c r="B362" s="614" t="s">
        <v>583</v>
      </c>
      <c r="C362" s="510">
        <v>16</v>
      </c>
      <c r="D362" s="614" t="s">
        <v>71</v>
      </c>
      <c r="E362" s="510">
        <v>150</v>
      </c>
      <c r="F362" s="614" t="s">
        <v>80</v>
      </c>
      <c r="G362" s="615"/>
      <c r="H362" s="510">
        <f>785.4*C362^2/E362</f>
        <v>1340.4159999999999</v>
      </c>
      <c r="I362" s="614" t="s">
        <v>81</v>
      </c>
      <c r="J362" s="615"/>
      <c r="K362" s="269"/>
      <c r="M362" s="171" t="s">
        <v>67</v>
      </c>
      <c r="O362" s="30">
        <f>IF(H361=0,100000000,TRUNC(785.4*O361^2/H361/25)*25)</f>
        <v>75</v>
      </c>
      <c r="P362" s="30">
        <f>IF(H361=0,100000000,TRUNC(785.4*P361^2/H361/25)*25)</f>
        <v>150</v>
      </c>
      <c r="Q362" s="30">
        <f>IF(H361=0,100000000,TRUNC(785.4*Q361^2/H361/25)*25)</f>
        <v>250</v>
      </c>
      <c r="R362" s="30">
        <f>IF(H361=0,100000000,TRUNC(785.4*R361^2/H361/25)*25)</f>
        <v>300</v>
      </c>
      <c r="S362" s="30">
        <f>IF(H361=0,100000000,TRUNC(785.4*S361^2/H361/25)*25)</f>
        <v>400</v>
      </c>
    </row>
    <row r="363" spans="1:19" x14ac:dyDescent="0.2">
      <c r="M363" s="171" t="s">
        <v>68</v>
      </c>
      <c r="O363" s="30">
        <f>785.4*O361^2/O362</f>
        <v>1507.9679999999998</v>
      </c>
      <c r="P363" s="30">
        <f>785.4*P361^2/P362</f>
        <v>1340.4159999999999</v>
      </c>
      <c r="Q363" s="30">
        <f>785.4*Q361^2/Q362</f>
        <v>1256.6400000000001</v>
      </c>
      <c r="R363" s="30">
        <f>785.4*R361^2/R362</f>
        <v>1267.1119999999999</v>
      </c>
      <c r="S363" s="30">
        <f>785.4*S361^2/S362</f>
        <v>1227.1875</v>
      </c>
    </row>
    <row r="364" spans="1:19" x14ac:dyDescent="0.2">
      <c r="B364" s="196" t="s">
        <v>90</v>
      </c>
      <c r="M364" s="171" t="s">
        <v>69</v>
      </c>
      <c r="O364" s="30">
        <f>IF(OR(O362&gt;300,O362&lt;100),100000000,O363-H361)</f>
        <v>100000000</v>
      </c>
      <c r="P364" s="30">
        <f>IF(OR(P362&gt;300,P362&lt;100),100000001,P363-H361)</f>
        <v>117.62172393264882</v>
      </c>
      <c r="Q364" s="30">
        <f>IF(OR(Q362&gt;300,Q362&lt;100),100000001,Q363-H361)</f>
        <v>33.84572393264898</v>
      </c>
      <c r="R364" s="30">
        <f>IF(OR(R362&gt;300,R362&lt;100),100000001,R363-H361)</f>
        <v>44.317723932648732</v>
      </c>
      <c r="S364" s="30">
        <f>IF(OR(S362&gt;300,S362&lt;100),100000001,S363-H361)</f>
        <v>100000001</v>
      </c>
    </row>
    <row r="365" spans="1:19" x14ac:dyDescent="0.2">
      <c r="B365" s="171" t="s">
        <v>521</v>
      </c>
      <c r="D365" s="23"/>
      <c r="E365" s="171"/>
      <c r="F365" s="168">
        <f>G40/C362</f>
        <v>1051.2461355458104</v>
      </c>
      <c r="G365" s="168" t="str">
        <f>IF(F365&lt;=G42,"KN/m²   &lt;","KN/m²   &gt;")</f>
        <v>KN/m²   &lt;</v>
      </c>
      <c r="H365" s="30">
        <f>G42</f>
        <v>1103</v>
      </c>
      <c r="I365" s="171" t="s">
        <v>35</v>
      </c>
      <c r="M365" s="171" t="s">
        <v>70</v>
      </c>
      <c r="O365" s="30">
        <f>IF(S362&lt;100,25,IF(MIN(O364:S364)=O364,12,IF(MIN(O364:S364)=P364,16,IF(MIN(O364:S364)=Q364,20,IF(MIN(O364:S364)=R364,22,IF(MIN(O364:S364)=S364,25,0))))))</f>
        <v>20</v>
      </c>
      <c r="P365" s="171" t="s">
        <v>71</v>
      </c>
      <c r="Q365" s="30">
        <f>IF(O365=12,O362,IF(O365=16,P362,IF(O365=20,Q362,IF(O365=22,R362,IF(O365=25,S362,0)))))</f>
        <v>250</v>
      </c>
      <c r="R365" s="171" t="s">
        <v>72</v>
      </c>
    </row>
    <row r="366" spans="1:19" x14ac:dyDescent="0.2">
      <c r="B366" s="171" t="s">
        <v>91</v>
      </c>
      <c r="F366" s="168">
        <f>IF(F365&lt;H365,F365,H365)</f>
        <v>1051.2461355458104</v>
      </c>
      <c r="G366" s="171" t="s">
        <v>35</v>
      </c>
      <c r="H366" s="171" t="s">
        <v>64</v>
      </c>
    </row>
    <row r="368" spans="1:19" x14ac:dyDescent="0.2">
      <c r="B368" s="171" t="s">
        <v>584</v>
      </c>
      <c r="H368" s="168">
        <f>-(I319)</f>
        <v>-191.65714821854939</v>
      </c>
      <c r="I368" s="171" t="s">
        <v>57</v>
      </c>
    </row>
    <row r="369" spans="1:15" x14ac:dyDescent="0.2">
      <c r="B369" s="171" t="s">
        <v>585</v>
      </c>
      <c r="H369" s="30">
        <f>PI()*C362/E362*1000</f>
        <v>335.10321638291123</v>
      </c>
      <c r="I369" s="171" t="s">
        <v>43</v>
      </c>
    </row>
    <row r="370" spans="1:15" x14ac:dyDescent="0.2">
      <c r="B370" s="171" t="s">
        <v>586</v>
      </c>
      <c r="H370" s="169">
        <f>H368/(H369*G55*H353)*1000000</f>
        <v>-1023.8290280469918</v>
      </c>
      <c r="I370" s="171" t="s">
        <v>35</v>
      </c>
    </row>
    <row r="371" spans="1:15" x14ac:dyDescent="0.2">
      <c r="E371" s="171"/>
    </row>
    <row r="372" spans="1:15" x14ac:dyDescent="0.2">
      <c r="B372" s="168" t="str">
        <f>IF(F366&gt;=H370,"bs(allow) &gt; bs(actual)      Design is OK.  &lt;-----","bs(allow) &lt; bs(actual)      Design is not OK.  &lt;-----")</f>
        <v>bs(allow) &gt; bs(actual)      Design is OK.  &lt;-----</v>
      </c>
    </row>
    <row r="374" spans="1:15" x14ac:dyDescent="0.2">
      <c r="B374" s="197" t="s">
        <v>587</v>
      </c>
    </row>
    <row r="376" spans="1:15" x14ac:dyDescent="0.2">
      <c r="B376" s="171" t="s">
        <v>588</v>
      </c>
      <c r="E376" s="168">
        <f>$H$143</f>
        <v>85.137711269419981</v>
      </c>
      <c r="F376" s="171" t="s">
        <v>444</v>
      </c>
      <c r="G376" s="171" t="s">
        <v>558</v>
      </c>
      <c r="J376" s="168">
        <f>$H$144</f>
        <v>73.946560575240198</v>
      </c>
      <c r="K376" s="171" t="s">
        <v>35</v>
      </c>
    </row>
    <row r="377" spans="1:15" x14ac:dyDescent="0.2">
      <c r="B377" s="171" t="s">
        <v>589</v>
      </c>
      <c r="E377" s="168">
        <f>$F$29</f>
        <v>2</v>
      </c>
      <c r="F377" s="171" t="s">
        <v>24</v>
      </c>
      <c r="G377" s="338" t="s">
        <v>2338</v>
      </c>
      <c r="J377" s="168">
        <f>$F$30</f>
        <v>5.15</v>
      </c>
      <c r="K377" s="171" t="s">
        <v>24</v>
      </c>
    </row>
    <row r="378" spans="1:15" ht="13.5" thickBot="1" x14ac:dyDescent="0.25">
      <c r="B378" s="171" t="s">
        <v>590</v>
      </c>
      <c r="E378" s="30">
        <f>$F$22</f>
        <v>700</v>
      </c>
      <c r="F378" s="171" t="s">
        <v>591</v>
      </c>
    </row>
    <row r="379" spans="1:15" x14ac:dyDescent="0.2">
      <c r="A379" s="171"/>
      <c r="M379" s="423"/>
      <c r="N379" s="424"/>
      <c r="O379" s="425"/>
    </row>
    <row r="380" spans="1:15" x14ac:dyDescent="0.2">
      <c r="B380" s="171" t="s">
        <v>592</v>
      </c>
      <c r="M380" s="426">
        <f>(J376*E377^2/2)</f>
        <v>147.8931211504804</v>
      </c>
      <c r="N380" s="422">
        <f>(E378/1000*E377^2/2*F9)</f>
        <v>33.04</v>
      </c>
      <c r="O380" s="427"/>
    </row>
    <row r="381" spans="1:15" ht="15.75" x14ac:dyDescent="0.3">
      <c r="B381" s="171" t="s">
        <v>593</v>
      </c>
      <c r="F381" s="171"/>
      <c r="I381" s="169">
        <f>N384</f>
        <v>134.33803724584845</v>
      </c>
      <c r="J381" s="171" t="s">
        <v>58</v>
      </c>
      <c r="M381" s="426">
        <f>(E376-J376)/J377*(J377-E377)*E377^2/2</f>
        <v>13.690145509384976</v>
      </c>
      <c r="N381" s="217"/>
      <c r="O381" s="427"/>
    </row>
    <row r="382" spans="1:15" x14ac:dyDescent="0.2">
      <c r="E382" s="171"/>
      <c r="F382" s="168"/>
      <c r="G382" s="171"/>
      <c r="H382" s="171" t="s">
        <v>594</v>
      </c>
      <c r="M382" s="426">
        <f>(E376-(J376+(E376-J376)/J377*(J377-E377)))*E377^2/3</f>
        <v>5.7947705859830494</v>
      </c>
      <c r="N382" s="217"/>
      <c r="O382" s="427"/>
    </row>
    <row r="383" spans="1:15" ht="15.75" x14ac:dyDescent="0.3">
      <c r="B383" s="171" t="s">
        <v>595</v>
      </c>
      <c r="I383" s="169">
        <f>((E376-J376)*(J377-E377)/J377+J376+E376)*E377/2-E378/1000*E377*I9</f>
        <v>165.92934459935267</v>
      </c>
      <c r="J383" s="169" t="s">
        <v>596</v>
      </c>
      <c r="M383" s="428">
        <f>SUM(M380:M382)</f>
        <v>167.37803724584845</v>
      </c>
      <c r="N383" s="217"/>
      <c r="O383" s="427"/>
    </row>
    <row r="384" spans="1:15" x14ac:dyDescent="0.2">
      <c r="F384" s="171"/>
      <c r="I384" s="171" t="s">
        <v>597</v>
      </c>
      <c r="M384" s="426"/>
      <c r="N384" s="422">
        <f>M383-N380</f>
        <v>134.33803724584845</v>
      </c>
      <c r="O384" s="427"/>
    </row>
    <row r="385" spans="1:19" ht="13.5" thickBot="1" x14ac:dyDescent="0.25">
      <c r="B385" s="196" t="s">
        <v>59</v>
      </c>
      <c r="M385" s="429"/>
      <c r="N385" s="430"/>
      <c r="O385" s="431"/>
    </row>
    <row r="386" spans="1:19" x14ac:dyDescent="0.2">
      <c r="E386" s="171"/>
      <c r="F386" s="168"/>
      <c r="G386" s="171"/>
    </row>
    <row r="387" spans="1:19" x14ac:dyDescent="0.2">
      <c r="B387" s="171" t="s">
        <v>499</v>
      </c>
    </row>
    <row r="389" spans="1:19" ht="14.25" x14ac:dyDescent="0.2">
      <c r="B389" s="171" t="s">
        <v>598</v>
      </c>
      <c r="F389" s="30">
        <f>(I381/G56)^0.5*1000</f>
        <v>327.43490936241142</v>
      </c>
      <c r="G389" s="171" t="s">
        <v>43</v>
      </c>
    </row>
    <row r="390" spans="1:19" x14ac:dyDescent="0.2">
      <c r="B390" s="171" t="s">
        <v>599</v>
      </c>
      <c r="F390" s="30">
        <f>I383/(G38)*1000</f>
        <v>387.09183843425427</v>
      </c>
      <c r="G390" s="171" t="s">
        <v>43</v>
      </c>
    </row>
    <row r="391" spans="1:19" x14ac:dyDescent="0.2">
      <c r="M391" s="171" t="s">
        <v>66</v>
      </c>
      <c r="O391" s="30">
        <v>12</v>
      </c>
      <c r="P391" s="30">
        <v>16</v>
      </c>
      <c r="Q391" s="30">
        <v>20</v>
      </c>
      <c r="R391" s="30">
        <v>22</v>
      </c>
      <c r="S391" s="30">
        <v>25</v>
      </c>
    </row>
    <row r="392" spans="1:19" x14ac:dyDescent="0.2">
      <c r="B392" s="168" t="str">
        <f>IF(F389&gt;=F390,"dr(moment)  &gt;  dr(shear)","dr(moment)  &lt;  dr(shear)")</f>
        <v>dr(moment)  &lt;  dr(shear)</v>
      </c>
      <c r="E392" s="171" t="s">
        <v>230</v>
      </c>
      <c r="G392" s="30">
        <f>IF(F389&gt;=F390,F389,F390)</f>
        <v>387.09183843425427</v>
      </c>
      <c r="H392" s="171" t="s">
        <v>62</v>
      </c>
      <c r="M392" s="171" t="s">
        <v>67</v>
      </c>
      <c r="O392" s="30">
        <f>IF(H403=0,100000000,TRUNC(785.4*O391^2/H403/25)*25)</f>
        <v>100</v>
      </c>
      <c r="P392" s="30">
        <f>IF(H403=0,100000000,TRUNC(785.4*P391^2/H403/25)*25)</f>
        <v>200</v>
      </c>
      <c r="Q392" s="30">
        <f>IF(H403=0,100000000,TRUNC(785.4*Q391^2/H403/25)*25)</f>
        <v>325</v>
      </c>
      <c r="R392" s="30">
        <f>IF(H403=0,100000000,TRUNC(785.4*R391^2/H403/25)*25)</f>
        <v>400</v>
      </c>
      <c r="S392" s="30">
        <f>IF(H403=0,100000000,TRUNC(785.4*S391^2/H403/25)*25)</f>
        <v>500</v>
      </c>
    </row>
    <row r="393" spans="1:19" x14ac:dyDescent="0.2">
      <c r="B393" s="171" t="s">
        <v>63</v>
      </c>
      <c r="D393" s="30"/>
      <c r="E393" s="171"/>
      <c r="F393" s="30"/>
      <c r="G393" s="205">
        <f>G392+G47</f>
        <v>462.09183843425427</v>
      </c>
      <c r="H393" s="171" t="s">
        <v>43</v>
      </c>
      <c r="M393" s="171" t="s">
        <v>68</v>
      </c>
      <c r="O393" s="30">
        <f>785.4*O391^2/O392</f>
        <v>1130.9759999999999</v>
      </c>
      <c r="P393" s="30">
        <f>785.4*P391^2/P392</f>
        <v>1005.312</v>
      </c>
      <c r="Q393" s="30">
        <f>785.4*Q391^2/Q392</f>
        <v>966.64615384615388</v>
      </c>
      <c r="R393" s="30">
        <f>785.4*R391^2/R392</f>
        <v>950.33399999999995</v>
      </c>
      <c r="S393" s="30">
        <f>785.4*S391^2/S392</f>
        <v>981.75</v>
      </c>
    </row>
    <row r="394" spans="1:19" x14ac:dyDescent="0.2">
      <c r="B394" s="171" t="s">
        <v>600</v>
      </c>
      <c r="G394" s="30">
        <f>E378</f>
        <v>700</v>
      </c>
      <c r="H394" s="171" t="s">
        <v>43</v>
      </c>
      <c r="M394" s="171" t="s">
        <v>69</v>
      </c>
      <c r="O394" s="30">
        <f>IF(OR(O392&gt;300,O392&lt;100),100000000,O393-H403)</f>
        <v>180.97599999999977</v>
      </c>
      <c r="P394" s="30">
        <f>IF(OR(P392&gt;300,P392&lt;100),100000001,P393-H403)</f>
        <v>55.311999999999898</v>
      </c>
      <c r="Q394" s="30">
        <f>IF(OR(Q392&gt;300,Q392&lt;100),100000001,Q393-H403)</f>
        <v>100000001</v>
      </c>
      <c r="R394" s="30">
        <f>IF(OR(R392&gt;300,R392&lt;100),100000001,R393-H403)</f>
        <v>100000001</v>
      </c>
      <c r="S394" s="30">
        <f>IF(OR(S392&gt;300,S392&lt;100),100000001,S393-H403)</f>
        <v>100000001</v>
      </c>
    </row>
    <row r="395" spans="1:19" x14ac:dyDescent="0.2">
      <c r="M395" s="171" t="s">
        <v>70</v>
      </c>
      <c r="O395" s="30">
        <f>IF(S392&lt;100,25,IF(MIN(O394:S394)=O394,12,IF(MIN(O394:S394)=P394,16,IF(MIN(O394:S394)=Q394,20,IF(MIN(O394:S394)=R394,22,IF(MIN(O394:S394)=S394,25,0))))))</f>
        <v>16</v>
      </c>
      <c r="P395" s="171" t="s">
        <v>71</v>
      </c>
      <c r="Q395" s="30">
        <f>IF(O395=12,O392,IF(O395=16,P392,IF(O395=20,Q392,IF(O395=22,R392,IF(O395=25,S392,0)))))</f>
        <v>200</v>
      </c>
      <c r="R395" s="171" t="s">
        <v>72</v>
      </c>
    </row>
    <row r="396" spans="1:19" x14ac:dyDescent="0.2">
      <c r="A396" s="171"/>
      <c r="B396" s="168" t="str">
        <f>IF(G394&gt;=G393,"ta  &gt;  tr     Design is OK.","ta  &lt;  tr     Design is Not OK.")</f>
        <v>ta  &gt;  tr     Design is OK.</v>
      </c>
      <c r="F396" s="171" t="s">
        <v>64</v>
      </c>
    </row>
    <row r="398" spans="1:19" x14ac:dyDescent="0.2">
      <c r="B398" s="196" t="s">
        <v>65</v>
      </c>
    </row>
    <row r="399" spans="1:19" x14ac:dyDescent="0.2">
      <c r="M399" s="171" t="s">
        <v>66</v>
      </c>
      <c r="O399" s="30">
        <v>12</v>
      </c>
      <c r="P399" s="30">
        <v>16</v>
      </c>
      <c r="Q399" s="30">
        <v>20</v>
      </c>
      <c r="R399" s="30">
        <v>22</v>
      </c>
      <c r="S399" s="30">
        <v>25</v>
      </c>
    </row>
    <row r="400" spans="1:19" x14ac:dyDescent="0.2">
      <c r="B400" s="171" t="s">
        <v>601</v>
      </c>
      <c r="F400" s="168">
        <f>$F$27</f>
        <v>10.7</v>
      </c>
      <c r="G400" s="171" t="s">
        <v>24</v>
      </c>
      <c r="M400" s="171" t="s">
        <v>67</v>
      </c>
      <c r="O400" s="30">
        <f>IF(H405=0,100000000,TRUNC(785.4*O399^2/H405/25)*25)</f>
        <v>175</v>
      </c>
      <c r="P400" s="30">
        <f>IF(H405=0,100000000,TRUNC(785.4*P399^2/H405/25)*25)</f>
        <v>350</v>
      </c>
      <c r="Q400" s="30">
        <f>IF(H405=0,100000000,TRUNC(785.4*Q399^2/H405/25)*25)</f>
        <v>550</v>
      </c>
      <c r="R400" s="30">
        <f>IF(H405=0,100000000,TRUNC(785.4*R399^2/H405/25)*25)</f>
        <v>650</v>
      </c>
      <c r="S400" s="30">
        <f>IF(H405=0,100000000,TRUNC(785.4*S399^2/H405/25)*25)</f>
        <v>850</v>
      </c>
    </row>
    <row r="401" spans="2:19" x14ac:dyDescent="0.2">
      <c r="B401" s="171" t="s">
        <v>602</v>
      </c>
      <c r="F401" s="30">
        <f>E378</f>
        <v>700</v>
      </c>
      <c r="G401" s="171" t="s">
        <v>43</v>
      </c>
      <c r="M401" s="171" t="s">
        <v>68</v>
      </c>
      <c r="O401" s="30">
        <f>785.4*O399^2/O400</f>
        <v>646.27199999999993</v>
      </c>
      <c r="P401" s="30">
        <f>785.4*P399^2/P400</f>
        <v>574.46399999999994</v>
      </c>
      <c r="Q401" s="30">
        <f>785.4*Q399^2/Q400</f>
        <v>571.20000000000005</v>
      </c>
      <c r="R401" s="30">
        <f>785.4*R399^2/R400</f>
        <v>584.82092307692301</v>
      </c>
      <c r="S401" s="30">
        <f>785.4*S399^2/S400</f>
        <v>577.5</v>
      </c>
    </row>
    <row r="402" spans="2:19" x14ac:dyDescent="0.2">
      <c r="B402" s="171"/>
      <c r="M402" s="171" t="s">
        <v>69</v>
      </c>
      <c r="O402" s="30">
        <f>IF(OR(O400&gt;300,O400&lt;100),100000000,O401-H405)</f>
        <v>76.271999999999821</v>
      </c>
      <c r="P402" s="30">
        <f>IF(OR(P400&gt;300,P400&lt;100),100000001,P401-H405)</f>
        <v>100000001</v>
      </c>
      <c r="Q402" s="30">
        <f>IF(OR(Q400&gt;300,Q400&lt;100),100000001,Q401-H405)</f>
        <v>100000001</v>
      </c>
      <c r="R402" s="30">
        <f>IF(OR(R400&gt;300,R400&lt;100),100000001,R401-H405)</f>
        <v>100000001</v>
      </c>
      <c r="S402" s="30">
        <f>IF(OR(S400&gt;300,S400&lt;100),100000001,S401-H405)</f>
        <v>100000001</v>
      </c>
    </row>
    <row r="403" spans="2:19" x14ac:dyDescent="0.2">
      <c r="B403" s="169" t="s">
        <v>265</v>
      </c>
      <c r="H403" s="39">
        <f>IF(F400&lt;=9,C342,C343)*IF(F401&lt;=380,F401,380)*1000</f>
        <v>950.00000000000011</v>
      </c>
      <c r="I403" s="171" t="s">
        <v>78</v>
      </c>
      <c r="M403" s="171" t="s">
        <v>70</v>
      </c>
      <c r="O403" s="30">
        <f>IF(S400&lt;100,25,IF(MIN(O402:S402)=O402,12,IF(MIN(O402:S402)=P402,16,IF(MIN(O402:S402)=Q402,20,IF(MIN(O402:S402)=R402,22,IF(MIN(O402:S402)=S402,25,0))))))</f>
        <v>12</v>
      </c>
      <c r="P403" s="171" t="s">
        <v>71</v>
      </c>
      <c r="Q403" s="30">
        <f>IF(O403=12,O400,IF(O403=16,P400,IF(O403=20,Q400,IF(O403=22,R400,IF(O403=25,S400,0)))))</f>
        <v>175</v>
      </c>
      <c r="R403" s="171" t="s">
        <v>72</v>
      </c>
    </row>
    <row r="404" spans="2:19" x14ac:dyDescent="0.2">
      <c r="B404" s="171" t="s">
        <v>79</v>
      </c>
      <c r="C404" s="30">
        <f>IF(D494=0,O395,D494)</f>
        <v>12</v>
      </c>
      <c r="D404" s="171" t="s">
        <v>71</v>
      </c>
      <c r="E404" s="30">
        <f>IF(D494=0,IF(Q395&gt;300,300,Q395),E494)</f>
        <v>200</v>
      </c>
      <c r="F404" s="171" t="s">
        <v>80</v>
      </c>
      <c r="H404" s="30">
        <f>785.4*C404^2/E404</f>
        <v>565.48799999999994</v>
      </c>
      <c r="I404" s="171" t="s">
        <v>81</v>
      </c>
    </row>
    <row r="405" spans="2:19" x14ac:dyDescent="0.2">
      <c r="B405" s="171" t="s">
        <v>243</v>
      </c>
      <c r="H405" s="39">
        <f>IF(F400&lt;=9,D342,D343)*IF(F401&lt;=380,F401,380)*1000</f>
        <v>570.00000000000011</v>
      </c>
      <c r="I405" s="171" t="s">
        <v>78</v>
      </c>
    </row>
    <row r="406" spans="2:19" x14ac:dyDescent="0.2">
      <c r="B406" s="171" t="s">
        <v>577</v>
      </c>
      <c r="C406" s="30">
        <f>IF(H494=0,O403,H494)</f>
        <v>12</v>
      </c>
      <c r="D406" s="171" t="s">
        <v>71</v>
      </c>
      <c r="E406" s="30">
        <v>150</v>
      </c>
      <c r="F406" s="171" t="s">
        <v>80</v>
      </c>
      <c r="H406" s="30">
        <f>785.4*C406^2/E406</f>
        <v>753.98399999999992</v>
      </c>
      <c r="I406" s="171" t="s">
        <v>81</v>
      </c>
    </row>
    <row r="408" spans="2:19" x14ac:dyDescent="0.2">
      <c r="B408" s="196" t="s">
        <v>578</v>
      </c>
    </row>
    <row r="409" spans="2:19" x14ac:dyDescent="0.2">
      <c r="B409" s="196"/>
    </row>
    <row r="410" spans="2:19" x14ac:dyDescent="0.2">
      <c r="B410" s="171" t="s">
        <v>86</v>
      </c>
      <c r="H410" s="168">
        <f>I381</f>
        <v>134.33803724584845</v>
      </c>
      <c r="I410" s="171" t="s">
        <v>58</v>
      </c>
    </row>
    <row r="411" spans="2:19" x14ac:dyDescent="0.2">
      <c r="B411" s="171" t="s">
        <v>580</v>
      </c>
      <c r="H411" s="39">
        <f>E378-G47</f>
        <v>625</v>
      </c>
      <c r="I411" s="169" t="s">
        <v>43</v>
      </c>
    </row>
    <row r="412" spans="2:19" x14ac:dyDescent="0.2">
      <c r="F412" s="171"/>
    </row>
    <row r="413" spans="2:19" x14ac:dyDescent="0.2">
      <c r="B413" s="171" t="s">
        <v>603</v>
      </c>
      <c r="H413" s="169">
        <f>H410/(G35*G55*H411)*1000000000</f>
        <v>1290.8243731253597</v>
      </c>
      <c r="I413" s="171" t="s">
        <v>78</v>
      </c>
    </row>
    <row r="414" spans="2:19" x14ac:dyDescent="0.2">
      <c r="B414" s="171"/>
    </row>
    <row r="415" spans="2:19" x14ac:dyDescent="0.2">
      <c r="B415" s="196" t="s">
        <v>87</v>
      </c>
    </row>
    <row r="417" spans="2:19" x14ac:dyDescent="0.2">
      <c r="B417" s="171" t="s">
        <v>581</v>
      </c>
      <c r="H417" s="168">
        <f>J377</f>
        <v>5.15</v>
      </c>
      <c r="I417" s="168" t="s">
        <v>24</v>
      </c>
    </row>
    <row r="418" spans="2:19" x14ac:dyDescent="0.2">
      <c r="B418" s="171" t="s">
        <v>74</v>
      </c>
      <c r="H418" s="30">
        <f>G394</f>
        <v>700</v>
      </c>
      <c r="I418" s="168" t="s">
        <v>43</v>
      </c>
    </row>
    <row r="419" spans="2:19" x14ac:dyDescent="0.2">
      <c r="B419" s="171" t="s">
        <v>582</v>
      </c>
      <c r="H419" s="39">
        <f>IF(H417&lt;=9,D342,D343)*IF(H418&lt;=380,H418,380)*1000</f>
        <v>380</v>
      </c>
      <c r="I419" s="171" t="s">
        <v>78</v>
      </c>
    </row>
    <row r="420" spans="2:19" x14ac:dyDescent="0.2">
      <c r="B420" s="168" t="str">
        <f>IF(H413&gt;H419,"Ast(moment)  &gt;  Ast(shrinkage)","Ast(moment)  &lt;  Ast(shrinkage)")</f>
        <v>Ast(moment)  &gt;  Ast(shrinkage)</v>
      </c>
      <c r="F420" s="171" t="s">
        <v>267</v>
      </c>
      <c r="H420" s="30">
        <f>IF(H413&gt;H419,H413,H419)</f>
        <v>1290.8243731253597</v>
      </c>
      <c r="I420" s="171" t="s">
        <v>89</v>
      </c>
      <c r="M420" s="171" t="s">
        <v>66</v>
      </c>
      <c r="O420" s="30">
        <v>12</v>
      </c>
      <c r="P420" s="30">
        <v>16</v>
      </c>
      <c r="Q420" s="30">
        <v>20</v>
      </c>
      <c r="R420" s="30">
        <v>22</v>
      </c>
      <c r="S420" s="30">
        <v>25</v>
      </c>
    </row>
    <row r="421" spans="2:19" x14ac:dyDescent="0.2">
      <c r="B421" s="614" t="s">
        <v>577</v>
      </c>
      <c r="C421" s="510">
        <v>16</v>
      </c>
      <c r="D421" s="614" t="s">
        <v>71</v>
      </c>
      <c r="E421" s="510">
        <v>150</v>
      </c>
      <c r="F421" s="614" t="s">
        <v>80</v>
      </c>
      <c r="G421" s="615"/>
      <c r="H421" s="510">
        <f>785.4*C421^2/E421</f>
        <v>1340.4159999999999</v>
      </c>
      <c r="I421" s="614" t="s">
        <v>81</v>
      </c>
      <c r="J421" s="615"/>
      <c r="M421" s="171" t="s">
        <v>67</v>
      </c>
      <c r="O421" s="30">
        <f>IF(H420=0,100000000,TRUNC(785.4*O420^2/H420/25)*25)</f>
        <v>75</v>
      </c>
      <c r="P421" s="30">
        <f>IF(H420=0,100000000,TRUNC(785.4*P420^2/H420/25)*25)</f>
        <v>150</v>
      </c>
      <c r="Q421" s="30">
        <f>IF(H420=0,100000000,TRUNC(785.4*Q420^2/H420/25)*25)</f>
        <v>225</v>
      </c>
      <c r="R421" s="30">
        <f>IF(H420=0,100000000,TRUNC(785.4*R420^2/H420/25)*25)</f>
        <v>275</v>
      </c>
      <c r="S421" s="30">
        <f>IF(H420=0,100000000,TRUNC(785.4*S420^2/H420/25)*25)</f>
        <v>375</v>
      </c>
    </row>
    <row r="422" spans="2:19" x14ac:dyDescent="0.2">
      <c r="M422" s="171" t="s">
        <v>68</v>
      </c>
      <c r="O422" s="30">
        <f>785.4*O420^2/O421</f>
        <v>1507.9679999999998</v>
      </c>
      <c r="P422" s="30">
        <f>785.4*P420^2/P421</f>
        <v>1340.4159999999999</v>
      </c>
      <c r="Q422" s="30">
        <f>785.4*Q420^2/Q421</f>
        <v>1396.2666666666667</v>
      </c>
      <c r="R422" s="30">
        <f>785.4*R420^2/R421</f>
        <v>1382.3039999999999</v>
      </c>
      <c r="S422" s="30">
        <f>785.4*S420^2/S421</f>
        <v>1309</v>
      </c>
    </row>
    <row r="423" spans="2:19" x14ac:dyDescent="0.2">
      <c r="B423" s="196" t="s">
        <v>90</v>
      </c>
      <c r="M423" s="171" t="s">
        <v>69</v>
      </c>
      <c r="O423" s="30">
        <f>IF(OR(O421&gt;300,O421&lt;100),100000000,O422-H420)</f>
        <v>100000000</v>
      </c>
      <c r="P423" s="30">
        <f>IF(OR(P421&gt;300,P421&lt;100),100000001,P422-H420)</f>
        <v>49.591626874640269</v>
      </c>
      <c r="Q423" s="30">
        <f>IF(OR(Q421&gt;300,Q421&lt;100),100000001,Q422-H420)</f>
        <v>105.44229354130698</v>
      </c>
      <c r="R423" s="30">
        <f>IF(OR(R421&gt;300,R421&lt;100),100000001,R422-H420)</f>
        <v>91.479626874640189</v>
      </c>
      <c r="S423" s="30">
        <f>IF(OR(S421&gt;300,S421&lt;100),100000001,S422-H420)</f>
        <v>100000001</v>
      </c>
    </row>
    <row r="424" spans="2:19" x14ac:dyDescent="0.2">
      <c r="M424" s="171" t="s">
        <v>70</v>
      </c>
      <c r="O424" s="30">
        <f>IF(S421&lt;100,25,IF(MIN(O423:S423)=O423,12,IF(MIN(O423:S423)=P423,16,IF(MIN(O423:S423)=Q423,20,IF(MIN(O423:S423)=R423,22,IF(MIN(O423:S423)=S423,25,0))))))</f>
        <v>16</v>
      </c>
      <c r="P424" s="171" t="s">
        <v>71</v>
      </c>
      <c r="Q424" s="30">
        <f>IF(O424=12,O421,IF(O424=16,P421,IF(O424=20,Q421,IF(O424=22,R421,IF(O424=25,S421,0)))))</f>
        <v>150</v>
      </c>
      <c r="R424" s="171" t="s">
        <v>72</v>
      </c>
    </row>
    <row r="425" spans="2:19" x14ac:dyDescent="0.2">
      <c r="B425" s="171" t="s">
        <v>521</v>
      </c>
      <c r="D425" s="23"/>
      <c r="E425" s="171"/>
      <c r="F425" s="30"/>
      <c r="G425" s="168">
        <f>G40/C421</f>
        <v>1051.2461355458104</v>
      </c>
      <c r="H425" s="168" t="str">
        <f>IF(G425&lt;=G42,"KN/m²   &lt;","KN/m²   &gt;")</f>
        <v>KN/m²   &lt;</v>
      </c>
      <c r="I425" s="30">
        <f>G42</f>
        <v>1103</v>
      </c>
      <c r="J425" s="171" t="s">
        <v>35</v>
      </c>
    </row>
    <row r="426" spans="2:19" x14ac:dyDescent="0.2">
      <c r="B426" s="171" t="s">
        <v>91</v>
      </c>
      <c r="G426" s="168">
        <f>IF(G425&lt;I425,G425,I425)</f>
        <v>1051.2461355458104</v>
      </c>
      <c r="H426" s="171" t="s">
        <v>35</v>
      </c>
      <c r="I426" s="171" t="s">
        <v>64</v>
      </c>
    </row>
    <row r="428" spans="2:19" x14ac:dyDescent="0.2">
      <c r="B428" s="171" t="s">
        <v>604</v>
      </c>
      <c r="G428" s="169">
        <f>I383/(G426*G55*H411)*1000000</f>
        <v>282.55291929724666</v>
      </c>
      <c r="H428" s="171" t="s">
        <v>35</v>
      </c>
    </row>
    <row r="429" spans="2:19" x14ac:dyDescent="0.2">
      <c r="B429" s="171" t="s">
        <v>605</v>
      </c>
      <c r="H429" s="30">
        <f>PI()*C421/E421*1000</f>
        <v>335.10321638291123</v>
      </c>
      <c r="I429" s="171" t="s">
        <v>43</v>
      </c>
    </row>
    <row r="430" spans="2:19" x14ac:dyDescent="0.2">
      <c r="B430" s="171"/>
      <c r="F430" s="168"/>
      <c r="G430" s="171"/>
      <c r="I430" s="23"/>
      <c r="J430" s="171"/>
    </row>
    <row r="431" spans="2:19" x14ac:dyDescent="0.2">
      <c r="B431" s="168" t="str">
        <f>IF(G426&gt;=G428,"bs(allow)  &gt;  bs(actual)    Design is OK.  &lt;-----","bs(allow)  &lt;  bs(actual)    Design is not OK.  &lt;-----")</f>
        <v>bs(allow)  &gt;  bs(actual)    Design is OK.  &lt;-----</v>
      </c>
      <c r="F431" s="168"/>
      <c r="G431" s="171"/>
      <c r="I431" s="23"/>
      <c r="J431" s="171"/>
    </row>
    <row r="437" spans="2:9" x14ac:dyDescent="0.2">
      <c r="B437" s="355" t="s">
        <v>2013</v>
      </c>
      <c r="F437" s="168"/>
      <c r="G437" s="171"/>
      <c r="I437" s="23"/>
    </row>
    <row r="438" spans="2:9" x14ac:dyDescent="0.2">
      <c r="B438" s="168"/>
    </row>
    <row r="439" spans="2:9" ht="14.25" x14ac:dyDescent="0.2">
      <c r="B439" s="168"/>
      <c r="C439" s="258"/>
      <c r="D439" s="393" t="s">
        <v>2019</v>
      </c>
      <c r="E439" s="393" t="s">
        <v>2015</v>
      </c>
      <c r="F439" s="393" t="s">
        <v>2021</v>
      </c>
      <c r="G439" s="393" t="s">
        <v>2018</v>
      </c>
      <c r="H439" s="263"/>
      <c r="I439" s="394" t="s">
        <v>2023</v>
      </c>
    </row>
    <row r="440" spans="2:9" x14ac:dyDescent="0.2">
      <c r="B440" s="168"/>
      <c r="C440" s="216"/>
      <c r="D440" s="217"/>
      <c r="E440" s="217"/>
      <c r="F440" s="395" t="s">
        <v>214</v>
      </c>
      <c r="G440" s="395" t="s">
        <v>2016</v>
      </c>
      <c r="H440" s="396" t="s">
        <v>2017</v>
      </c>
      <c r="I440" s="250"/>
    </row>
    <row r="441" spans="2:9" x14ac:dyDescent="0.2">
      <c r="B441" s="168"/>
      <c r="C441" s="397" t="s">
        <v>2014</v>
      </c>
      <c r="D441" s="217">
        <f>F27</f>
        <v>10.7</v>
      </c>
      <c r="E441" s="217">
        <f>F24</f>
        <v>5.0999999999999996</v>
      </c>
      <c r="F441" s="217"/>
      <c r="G441" s="217">
        <f>F21</f>
        <v>650</v>
      </c>
      <c r="H441" s="187">
        <f>F20</f>
        <v>300</v>
      </c>
      <c r="I441" s="398">
        <f>D441*E441*(G441+H441)/2000</f>
        <v>25.920749999999995</v>
      </c>
    </row>
    <row r="442" spans="2:9" x14ac:dyDescent="0.2">
      <c r="B442" s="168"/>
      <c r="C442" s="397" t="s">
        <v>2020</v>
      </c>
      <c r="D442" s="217">
        <f>F27</f>
        <v>10.7</v>
      </c>
      <c r="E442" s="217"/>
      <c r="F442" s="187">
        <f>F30</f>
        <v>5.15</v>
      </c>
      <c r="G442" s="399">
        <f>F22</f>
        <v>700</v>
      </c>
      <c r="H442" s="217"/>
      <c r="I442" s="400">
        <f>D442*F442*G442/1000</f>
        <v>38.573500000000003</v>
      </c>
    </row>
    <row r="443" spans="2:9" x14ac:dyDescent="0.2">
      <c r="B443" s="168"/>
      <c r="C443" s="183"/>
      <c r="D443" s="194"/>
      <c r="E443" s="401" t="s">
        <v>2022</v>
      </c>
      <c r="F443" s="191"/>
      <c r="G443" s="195"/>
      <c r="H443" s="194"/>
      <c r="I443" s="402">
        <f>SUM(I441:I442)</f>
        <v>64.494249999999994</v>
      </c>
    </row>
    <row r="481" spans="1:20" x14ac:dyDescent="0.2">
      <c r="C481" s="171"/>
      <c r="D481" s="30"/>
      <c r="E481" s="171"/>
      <c r="G481" s="169" t="str">
        <f>E2</f>
        <v>DR-5</v>
      </c>
    </row>
    <row r="482" spans="1:20" x14ac:dyDescent="0.2">
      <c r="A482" s="171"/>
      <c r="B482" s="342" t="str">
        <f>B4</f>
        <v xml:space="preserve">RETURN WALL (C/S) </v>
      </c>
      <c r="C482" s="89"/>
      <c r="D482" s="89"/>
      <c r="E482" s="89"/>
      <c r="F482" s="89"/>
      <c r="H482" s="366" t="s">
        <v>1966</v>
      </c>
      <c r="I482" s="342" t="str">
        <f>I3</f>
        <v>1.50m x 1.80m</v>
      </c>
      <c r="J482" s="89"/>
      <c r="K482" s="89"/>
      <c r="L482" s="89"/>
      <c r="M482" s="89"/>
      <c r="N482" s="89"/>
      <c r="O482" s="89"/>
      <c r="P482" s="142"/>
      <c r="Q482" s="142"/>
      <c r="R482" s="142"/>
      <c r="S482" s="67"/>
      <c r="T482" s="40"/>
    </row>
    <row r="483" spans="1:20" x14ac:dyDescent="0.2">
      <c r="A483" s="171"/>
      <c r="B483" s="206" t="s">
        <v>197</v>
      </c>
      <c r="C483" s="89"/>
      <c r="D483" s="89"/>
      <c r="E483" s="89"/>
      <c r="F483" s="89"/>
      <c r="G483" s="89"/>
      <c r="H483" s="89"/>
      <c r="L483" s="89"/>
      <c r="M483" s="89"/>
      <c r="N483" s="89"/>
      <c r="O483" s="89"/>
      <c r="P483" s="142"/>
      <c r="Q483" s="142"/>
      <c r="R483" s="142"/>
      <c r="S483" s="67"/>
      <c r="T483" s="40"/>
    </row>
    <row r="484" spans="1:20" x14ac:dyDescent="0.2">
      <c r="A484" s="171"/>
      <c r="B484" s="207"/>
      <c r="C484" s="40"/>
      <c r="D484" s="40"/>
      <c r="E484" s="40"/>
      <c r="F484" s="67"/>
      <c r="G484" s="40"/>
      <c r="H484" s="40"/>
      <c r="I484" s="40"/>
      <c r="J484" s="40"/>
      <c r="K484" s="67"/>
      <c r="L484" s="40"/>
      <c r="M484" s="40"/>
      <c r="N484" s="67"/>
      <c r="O484" s="40"/>
      <c r="P484" s="40"/>
      <c r="Q484" s="40"/>
      <c r="R484" s="40"/>
      <c r="S484" s="208"/>
      <c r="T484" s="67"/>
    </row>
    <row r="485" spans="1:20" x14ac:dyDescent="0.2">
      <c r="A485" s="171"/>
      <c r="B485" s="67" t="s">
        <v>186</v>
      </c>
      <c r="C485" s="40"/>
      <c r="D485" s="67"/>
      <c r="E485" s="1487" t="s">
        <v>123</v>
      </c>
      <c r="F485" s="1488"/>
      <c r="G485" s="1488"/>
      <c r="H485" s="1489"/>
      <c r="I485" s="40"/>
      <c r="J485" s="40"/>
      <c r="K485" s="67"/>
      <c r="L485" s="67"/>
      <c r="M485" s="292"/>
      <c r="N485" s="292"/>
      <c r="O485" s="292"/>
      <c r="P485" s="292"/>
      <c r="Q485" s="40"/>
      <c r="R485" s="40"/>
      <c r="S485" s="209"/>
      <c r="T485" s="67"/>
    </row>
    <row r="486" spans="1:20" x14ac:dyDescent="0.2">
      <c r="A486" s="171"/>
      <c r="B486" s="143"/>
      <c r="C486" s="119"/>
      <c r="D486" s="1488" t="s">
        <v>303</v>
      </c>
      <c r="E486" s="1488"/>
      <c r="F486" s="120"/>
      <c r="G486" s="119"/>
      <c r="H486" s="1488" t="s">
        <v>304</v>
      </c>
      <c r="I486" s="1488"/>
      <c r="J486" s="120"/>
      <c r="K486" s="159"/>
      <c r="L486" s="292"/>
      <c r="M486" s="292"/>
      <c r="N486" s="72"/>
      <c r="O486" s="159"/>
      <c r="P486" s="292"/>
      <c r="Q486" s="292"/>
      <c r="R486" s="72"/>
      <c r="S486" s="208"/>
      <c r="T486" s="67"/>
    </row>
    <row r="487" spans="1:20" x14ac:dyDescent="0.2">
      <c r="A487" s="171"/>
      <c r="B487" s="144"/>
      <c r="C487" s="210" t="s">
        <v>299</v>
      </c>
      <c r="D487" s="211" t="s">
        <v>606</v>
      </c>
      <c r="E487" s="211" t="s">
        <v>321</v>
      </c>
      <c r="F487" s="211" t="s">
        <v>302</v>
      </c>
      <c r="G487" s="210" t="s">
        <v>299</v>
      </c>
      <c r="H487" s="211" t="s">
        <v>606</v>
      </c>
      <c r="I487" s="211" t="s">
        <v>321</v>
      </c>
      <c r="J487" s="211" t="s">
        <v>302</v>
      </c>
      <c r="K487" s="212"/>
      <c r="L487" s="124"/>
      <c r="M487" s="124"/>
      <c r="N487" s="124"/>
      <c r="O487" s="212"/>
      <c r="P487" s="124"/>
      <c r="Q487" s="124"/>
      <c r="R487" s="124"/>
      <c r="S487" s="208"/>
      <c r="T487" s="67"/>
    </row>
    <row r="488" spans="1:20" x14ac:dyDescent="0.2">
      <c r="A488" s="171"/>
      <c r="B488" s="109"/>
      <c r="C488" s="213" t="s">
        <v>607</v>
      </c>
      <c r="D488" s="213" t="s">
        <v>215</v>
      </c>
      <c r="E488" s="213" t="s">
        <v>215</v>
      </c>
      <c r="F488" s="213" t="s">
        <v>607</v>
      </c>
      <c r="G488" s="213" t="s">
        <v>607</v>
      </c>
      <c r="H488" s="213" t="s">
        <v>215</v>
      </c>
      <c r="I488" s="213" t="s">
        <v>215</v>
      </c>
      <c r="J488" s="213" t="s">
        <v>607</v>
      </c>
      <c r="K488" s="214"/>
      <c r="L488" s="214"/>
      <c r="M488" s="214"/>
      <c r="N488" s="214"/>
      <c r="O488" s="214"/>
      <c r="P488" s="214"/>
      <c r="Q488" s="214"/>
      <c r="R488" s="214"/>
      <c r="S488" s="67"/>
      <c r="T488" s="40"/>
    </row>
    <row r="489" spans="1:20" x14ac:dyDescent="0.2">
      <c r="A489" s="171"/>
      <c r="B489" s="215"/>
      <c r="C489" s="216"/>
      <c r="D489" s="217"/>
      <c r="E489" s="217"/>
      <c r="F489" s="186"/>
      <c r="G489" s="216"/>
      <c r="H489" s="217"/>
      <c r="I489" s="217"/>
      <c r="J489" s="186"/>
      <c r="K489" s="217"/>
      <c r="L489" s="217"/>
      <c r="M489" s="217"/>
      <c r="N489" s="217"/>
      <c r="O489" s="217"/>
      <c r="P489" s="217"/>
      <c r="Q489" s="217"/>
      <c r="R489" s="217"/>
      <c r="S489" s="175"/>
      <c r="T489" s="171"/>
    </row>
    <row r="490" spans="1:20" x14ac:dyDescent="0.2">
      <c r="A490" s="171"/>
      <c r="B490" s="218" t="s">
        <v>608</v>
      </c>
      <c r="C490" s="85">
        <f>H187</f>
        <v>950.00000000000011</v>
      </c>
      <c r="D490" s="35">
        <v>12</v>
      </c>
      <c r="E490" s="35">
        <v>200</v>
      </c>
      <c r="F490" s="87">
        <f>IF(E490=0,0,785.4*D490^2/E490)</f>
        <v>565.48799999999994</v>
      </c>
      <c r="G490" s="85">
        <f>H189</f>
        <v>570.00000000000011</v>
      </c>
      <c r="H490" s="35">
        <v>12</v>
      </c>
      <c r="I490" s="35">
        <v>300</v>
      </c>
      <c r="J490" s="87">
        <f>IF(I490=0,0,785.4*H490^2/I490)</f>
        <v>376.99199999999996</v>
      </c>
      <c r="K490" s="86"/>
      <c r="L490" s="35"/>
      <c r="M490" s="35"/>
      <c r="N490" s="86"/>
      <c r="O490" s="86"/>
      <c r="P490" s="35"/>
      <c r="Q490" s="35"/>
      <c r="R490" s="86"/>
      <c r="S490" s="178"/>
      <c r="T490" s="171"/>
    </row>
    <row r="491" spans="1:20" x14ac:dyDescent="0.2">
      <c r="A491" s="171"/>
      <c r="B491" s="215"/>
      <c r="C491" s="85"/>
      <c r="D491" s="19" t="s">
        <v>199</v>
      </c>
      <c r="E491" s="19" t="s">
        <v>199</v>
      </c>
      <c r="F491" s="87"/>
      <c r="G491" s="85"/>
      <c r="H491" s="19" t="s">
        <v>199</v>
      </c>
      <c r="I491" s="19" t="s">
        <v>199</v>
      </c>
      <c r="J491" s="87"/>
      <c r="K491" s="86"/>
      <c r="L491" s="86"/>
      <c r="M491" s="86"/>
      <c r="N491" s="86"/>
      <c r="O491" s="86"/>
      <c r="P491" s="86"/>
      <c r="Q491" s="86"/>
      <c r="R491" s="86"/>
      <c r="S491" s="175"/>
      <c r="T491" s="171"/>
    </row>
    <row r="492" spans="1:20" x14ac:dyDescent="0.2">
      <c r="A492" s="171"/>
      <c r="B492" s="218" t="s">
        <v>609</v>
      </c>
      <c r="C492" s="85">
        <f>H345</f>
        <v>950.00000000000011</v>
      </c>
      <c r="D492" s="35">
        <v>12</v>
      </c>
      <c r="E492" s="35">
        <v>200</v>
      </c>
      <c r="F492" s="87">
        <f>IF(E492=0,0,785.4*D492^2/E492)</f>
        <v>565.48799999999994</v>
      </c>
      <c r="G492" s="85">
        <f>H347</f>
        <v>570.00000000000011</v>
      </c>
      <c r="H492" s="35">
        <v>12</v>
      </c>
      <c r="I492" s="35">
        <v>300</v>
      </c>
      <c r="J492" s="87">
        <f>IF(I492=0,0,785.4*H492^2/I492)</f>
        <v>376.99199999999996</v>
      </c>
      <c r="K492" s="86"/>
      <c r="L492" s="35"/>
      <c r="M492" s="35"/>
      <c r="N492" s="86"/>
      <c r="O492" s="219"/>
      <c r="P492" s="219"/>
      <c r="Q492" s="219"/>
      <c r="R492" s="219"/>
      <c r="S492" s="220"/>
      <c r="T492" s="171"/>
    </row>
    <row r="493" spans="1:20" x14ac:dyDescent="0.2">
      <c r="A493" s="171"/>
      <c r="B493" s="215"/>
      <c r="C493" s="85"/>
      <c r="D493" s="19" t="s">
        <v>199</v>
      </c>
      <c r="E493" s="86"/>
      <c r="F493" s="87"/>
      <c r="G493" s="85"/>
      <c r="H493" s="19" t="s">
        <v>199</v>
      </c>
      <c r="I493" s="19" t="s">
        <v>199</v>
      </c>
      <c r="J493" s="87"/>
      <c r="K493" s="86"/>
      <c r="L493" s="86"/>
      <c r="M493" s="19"/>
      <c r="N493" s="86"/>
      <c r="O493" s="86"/>
      <c r="P493" s="86"/>
      <c r="Q493" s="86"/>
      <c r="R493" s="86"/>
      <c r="S493" s="175"/>
      <c r="T493" s="171"/>
    </row>
    <row r="494" spans="1:20" x14ac:dyDescent="0.2">
      <c r="A494" s="171"/>
      <c r="B494" s="221" t="s">
        <v>610</v>
      </c>
      <c r="C494" s="74">
        <f>H403</f>
        <v>950.00000000000011</v>
      </c>
      <c r="D494" s="118">
        <v>12</v>
      </c>
      <c r="E494" s="118">
        <v>200</v>
      </c>
      <c r="F494" s="76">
        <f>IF(E494=0,0,785.4*D494^2/E494)</f>
        <v>565.48799999999994</v>
      </c>
      <c r="G494" s="74">
        <f>H405</f>
        <v>570.00000000000011</v>
      </c>
      <c r="H494" s="118">
        <v>12</v>
      </c>
      <c r="I494" s="118">
        <v>300</v>
      </c>
      <c r="J494" s="76">
        <f>IF(I494=0,0,785.4*H494^2/I494)</f>
        <v>376.99199999999996</v>
      </c>
      <c r="K494" s="219"/>
      <c r="L494" s="219"/>
      <c r="M494" s="219"/>
      <c r="N494" s="219"/>
      <c r="O494" s="86"/>
      <c r="P494" s="35"/>
      <c r="Q494" s="35"/>
      <c r="R494" s="86"/>
      <c r="S494" s="220"/>
      <c r="T494" s="171"/>
    </row>
    <row r="495" spans="1:20" x14ac:dyDescent="0.2">
      <c r="A495" s="171"/>
      <c r="B495" s="222"/>
      <c r="C495" s="86"/>
      <c r="D495" s="35"/>
      <c r="E495" s="35"/>
      <c r="F495" s="86"/>
      <c r="G495" s="86"/>
      <c r="H495" s="35"/>
      <c r="I495" s="35"/>
      <c r="J495" s="86"/>
      <c r="K495" s="219"/>
      <c r="L495" s="219"/>
      <c r="M495" s="219"/>
      <c r="N495" s="219"/>
      <c r="O495" s="86"/>
      <c r="P495" s="35"/>
      <c r="Q495" s="35"/>
      <c r="R495" s="86"/>
      <c r="S495" s="220"/>
      <c r="T495" s="171"/>
    </row>
    <row r="496" spans="1:20" x14ac:dyDescent="0.2">
      <c r="A496" s="171"/>
      <c r="B496" s="222"/>
      <c r="C496" s="86"/>
      <c r="D496" s="35"/>
      <c r="E496" s="35"/>
      <c r="F496" s="86"/>
      <c r="G496" s="86"/>
      <c r="H496" s="35"/>
      <c r="I496" s="35"/>
      <c r="J496" s="86"/>
      <c r="K496" s="219"/>
      <c r="L496" s="219"/>
      <c r="M496" s="219"/>
      <c r="N496" s="219"/>
      <c r="O496" s="86"/>
      <c r="P496" s="35"/>
      <c r="Q496" s="35"/>
      <c r="R496" s="86"/>
      <c r="S496" s="220"/>
      <c r="T496" s="171"/>
    </row>
    <row r="497" spans="1:26" x14ac:dyDescent="0.2">
      <c r="A497" s="171"/>
      <c r="B497" s="222"/>
      <c r="C497" s="86"/>
      <c r="D497" s="35"/>
      <c r="E497" s="1490" t="s">
        <v>305</v>
      </c>
      <c r="F497" s="1491"/>
      <c r="G497" s="1491"/>
      <c r="H497" s="1492"/>
      <c r="I497" s="35"/>
      <c r="J497" s="86"/>
      <c r="K497" s="219"/>
      <c r="L497" s="219"/>
      <c r="M497" s="219"/>
      <c r="N497" s="219"/>
      <c r="O497" s="86"/>
      <c r="P497" s="35"/>
      <c r="Q497" s="35"/>
      <c r="R497" s="86"/>
      <c r="S497" s="220"/>
      <c r="T497" s="171"/>
    </row>
    <row r="498" spans="1:26" x14ac:dyDescent="0.2">
      <c r="A498" s="171"/>
      <c r="B498" s="143"/>
      <c r="C498" s="1493" t="s">
        <v>611</v>
      </c>
      <c r="D498" s="1494"/>
      <c r="E498" s="1494"/>
      <c r="F498" s="1495"/>
      <c r="G498" s="1493" t="s">
        <v>612</v>
      </c>
      <c r="H498" s="1494"/>
      <c r="I498" s="1494"/>
      <c r="J498" s="1495"/>
      <c r="K498" s="219"/>
      <c r="L498" s="219"/>
      <c r="M498" s="219"/>
      <c r="N498" s="219"/>
      <c r="O498" s="86"/>
      <c r="P498" s="35"/>
      <c r="Q498" s="35"/>
      <c r="R498" s="86"/>
      <c r="S498" s="220"/>
      <c r="T498" s="171"/>
    </row>
    <row r="499" spans="1:26" x14ac:dyDescent="0.2">
      <c r="A499" s="171"/>
      <c r="B499" s="144"/>
      <c r="C499" s="210" t="s">
        <v>299</v>
      </c>
      <c r="D499" s="211" t="s">
        <v>606</v>
      </c>
      <c r="E499" s="211" t="s">
        <v>321</v>
      </c>
      <c r="F499" s="211" t="s">
        <v>302</v>
      </c>
      <c r="G499" s="210" t="s">
        <v>299</v>
      </c>
      <c r="H499" s="211" t="s">
        <v>606</v>
      </c>
      <c r="I499" s="211" t="s">
        <v>321</v>
      </c>
      <c r="J499" s="211" t="s">
        <v>302</v>
      </c>
      <c r="K499" s="219"/>
      <c r="L499" s="219"/>
      <c r="M499" s="219"/>
      <c r="N499" s="219"/>
      <c r="O499" s="86"/>
      <c r="P499" s="35"/>
      <c r="Q499" s="35"/>
      <c r="R499" s="86"/>
      <c r="S499" s="220"/>
      <c r="T499" s="171"/>
    </row>
    <row r="500" spans="1:26" x14ac:dyDescent="0.2">
      <c r="A500" s="171"/>
      <c r="B500" s="109"/>
      <c r="C500" s="223" t="s">
        <v>607</v>
      </c>
      <c r="D500" s="223" t="s">
        <v>215</v>
      </c>
      <c r="E500" s="223" t="s">
        <v>215</v>
      </c>
      <c r="F500" s="223" t="s">
        <v>607</v>
      </c>
      <c r="G500" s="213" t="s">
        <v>607</v>
      </c>
      <c r="H500" s="213" t="s">
        <v>215</v>
      </c>
      <c r="I500" s="213" t="s">
        <v>215</v>
      </c>
      <c r="J500" s="213" t="s">
        <v>607</v>
      </c>
      <c r="K500" s="219"/>
      <c r="L500" s="219"/>
      <c r="M500" s="219"/>
      <c r="N500" s="219"/>
      <c r="O500" s="86"/>
      <c r="P500" s="35"/>
      <c r="Q500" s="35"/>
      <c r="R500" s="86"/>
      <c r="S500" s="220"/>
      <c r="T500" s="171"/>
    </row>
    <row r="501" spans="1:26" x14ac:dyDescent="0.2">
      <c r="A501" s="171"/>
      <c r="B501" s="216"/>
      <c r="C501" s="82"/>
      <c r="D501" s="151"/>
      <c r="E501" s="151"/>
      <c r="F501" s="84"/>
      <c r="G501" s="83"/>
      <c r="H501" s="151"/>
      <c r="I501" s="151"/>
      <c r="J501" s="84"/>
      <c r="K501" s="219"/>
      <c r="L501" s="219"/>
      <c r="M501" s="219"/>
      <c r="N501" s="219"/>
      <c r="O501" s="86"/>
      <c r="P501" s="35"/>
      <c r="Q501" s="35"/>
      <c r="R501" s="86"/>
      <c r="S501" s="220"/>
      <c r="T501" s="171"/>
    </row>
    <row r="502" spans="1:26" x14ac:dyDescent="0.2">
      <c r="A502" s="171"/>
      <c r="B502" s="185" t="s">
        <v>608</v>
      </c>
      <c r="C502" s="85">
        <f>$H$199</f>
        <v>570.00000000000011</v>
      </c>
      <c r="D502" s="35">
        <v>12</v>
      </c>
      <c r="E502" s="35">
        <v>200</v>
      </c>
      <c r="F502" s="87">
        <f>IF(E502=0,0,785.4*D502^2/E502)</f>
        <v>565.48799999999994</v>
      </c>
      <c r="G502" s="85">
        <f>$H$214</f>
        <v>2389.0088671531953</v>
      </c>
      <c r="H502" s="35">
        <v>16</v>
      </c>
      <c r="I502" s="35">
        <v>150</v>
      </c>
      <c r="J502" s="87">
        <f>IF(I502=0,0,785.4*H502^2/I502)</f>
        <v>1340.4159999999999</v>
      </c>
      <c r="K502" s="219"/>
      <c r="L502" s="219"/>
      <c r="M502" s="219"/>
      <c r="N502" s="219"/>
      <c r="O502" s="86"/>
      <c r="P502" s="35"/>
      <c r="Q502" s="35"/>
      <c r="R502" s="86"/>
      <c r="S502" s="220"/>
      <c r="T502" s="171"/>
    </row>
    <row r="503" spans="1:26" x14ac:dyDescent="0.2">
      <c r="A503" s="171"/>
      <c r="B503" s="216"/>
      <c r="C503" s="85"/>
      <c r="D503" s="86"/>
      <c r="E503" s="86"/>
      <c r="F503" s="87"/>
      <c r="G503" s="85"/>
      <c r="H503" s="86"/>
      <c r="I503" s="86"/>
      <c r="J503" s="87"/>
      <c r="K503" s="219"/>
      <c r="L503" s="219"/>
      <c r="M503" s="219"/>
      <c r="N503" s="219"/>
      <c r="O503" s="86"/>
      <c r="P503" s="35"/>
      <c r="Q503" s="35"/>
      <c r="R503" s="86"/>
      <c r="S503" s="220"/>
      <c r="T503" s="171"/>
    </row>
    <row r="504" spans="1:26" x14ac:dyDescent="0.2">
      <c r="A504" s="171"/>
      <c r="B504" s="185" t="s">
        <v>609</v>
      </c>
      <c r="C504" s="85">
        <f>$H$361</f>
        <v>1222.7942760673511</v>
      </c>
      <c r="D504" s="35">
        <v>16</v>
      </c>
      <c r="E504" s="35">
        <v>150</v>
      </c>
      <c r="F504" s="87">
        <f>IF(E504=0,0,785.4*D504^2/E504)</f>
        <v>1340.4159999999999</v>
      </c>
      <c r="G504" s="224" t="s">
        <v>10</v>
      </c>
      <c r="H504" s="219" t="s">
        <v>10</v>
      </c>
      <c r="I504" s="219" t="s">
        <v>10</v>
      </c>
      <c r="J504" s="225" t="s">
        <v>10</v>
      </c>
      <c r="K504" s="219"/>
      <c r="L504" s="219"/>
      <c r="M504" s="219"/>
      <c r="N504" s="219"/>
      <c r="O504" s="86"/>
      <c r="P504" s="35"/>
      <c r="Q504" s="35"/>
      <c r="R504" s="86"/>
      <c r="S504" s="220"/>
      <c r="T504" s="171"/>
    </row>
    <row r="505" spans="1:26" x14ac:dyDescent="0.2">
      <c r="A505" s="171"/>
      <c r="B505" s="216"/>
      <c r="C505" s="85"/>
      <c r="D505" s="86"/>
      <c r="E505" s="19" t="s">
        <v>199</v>
      </c>
      <c r="F505" s="87"/>
      <c r="G505" s="85"/>
      <c r="H505" s="86"/>
      <c r="I505" s="86"/>
      <c r="J505" s="87"/>
      <c r="K505" s="219"/>
      <c r="L505" s="219"/>
      <c r="M505" s="219"/>
      <c r="N505" s="219"/>
      <c r="O505" s="86"/>
      <c r="P505" s="35"/>
      <c r="Q505" s="35"/>
      <c r="R505" s="86"/>
      <c r="S505" s="220"/>
      <c r="T505" s="171"/>
    </row>
    <row r="506" spans="1:26" x14ac:dyDescent="0.2">
      <c r="A506" s="171"/>
      <c r="B506" s="189" t="s">
        <v>610</v>
      </c>
      <c r="C506" s="226" t="s">
        <v>10</v>
      </c>
      <c r="D506" s="227" t="s">
        <v>10</v>
      </c>
      <c r="E506" s="227" t="s">
        <v>10</v>
      </c>
      <c r="F506" s="228" t="s">
        <v>10</v>
      </c>
      <c r="G506" s="74">
        <f>$H$420</f>
        <v>1290.8243731253597</v>
      </c>
      <c r="H506" s="118">
        <v>12</v>
      </c>
      <c r="I506" s="118">
        <v>150</v>
      </c>
      <c r="J506" s="76">
        <f>IF(I506=0,0,785.4*H506^2/I506)</f>
        <v>753.98399999999992</v>
      </c>
      <c r="K506" s="30"/>
      <c r="L506" s="30"/>
      <c r="M506" s="30"/>
      <c r="N506" s="177"/>
      <c r="O506" s="30"/>
      <c r="P506" s="30"/>
      <c r="Q506" s="30"/>
      <c r="R506" s="30"/>
    </row>
    <row r="507" spans="1:26" ht="13.5" thickBot="1" x14ac:dyDescent="0.25">
      <c r="A507" s="171"/>
      <c r="B507" s="222"/>
      <c r="C507" s="219"/>
      <c r="D507" s="219"/>
      <c r="E507" s="219"/>
      <c r="F507" s="219"/>
      <c r="G507" s="86"/>
      <c r="H507" s="35"/>
      <c r="I507" s="35"/>
      <c r="J507" s="86"/>
      <c r="K507" s="30"/>
      <c r="L507" s="30"/>
      <c r="M507" s="30"/>
      <c r="N507" s="177"/>
      <c r="O507" s="30"/>
      <c r="P507" s="30"/>
      <c r="Q507" s="30"/>
      <c r="R507" s="30"/>
    </row>
    <row r="508" spans="1:26" x14ac:dyDescent="0.2">
      <c r="A508" s="658"/>
      <c r="B508" s="466"/>
      <c r="C508" s="659"/>
      <c r="D508" s="659"/>
      <c r="E508" s="659"/>
      <c r="F508" s="659"/>
      <c r="G508" s="659"/>
      <c r="H508" s="659"/>
      <c r="I508" s="659"/>
      <c r="J508" s="659"/>
      <c r="K508" s="660"/>
      <c r="L508" s="30"/>
      <c r="M508" s="30"/>
      <c r="N508" s="177"/>
      <c r="O508" s="30"/>
      <c r="P508" s="30"/>
      <c r="Q508" s="30"/>
      <c r="R508" s="30"/>
    </row>
    <row r="509" spans="1:26" x14ac:dyDescent="0.2">
      <c r="A509" s="426"/>
      <c r="B509" s="661" t="s">
        <v>613</v>
      </c>
      <c r="C509" s="217"/>
      <c r="D509" s="217"/>
      <c r="E509" s="217"/>
      <c r="F509" s="217"/>
      <c r="G509" s="217"/>
      <c r="H509" s="217"/>
      <c r="I509" s="217"/>
      <c r="J509" s="217"/>
      <c r="K509" s="427"/>
      <c r="O509" s="170"/>
      <c r="P509" s="170"/>
      <c r="Q509" s="170"/>
      <c r="R509" s="170"/>
      <c r="S509" s="170"/>
      <c r="T509" s="170"/>
      <c r="U509" s="170"/>
      <c r="V509" s="170"/>
      <c r="W509" s="170"/>
      <c r="X509" s="170"/>
      <c r="Y509" s="170"/>
      <c r="Z509" s="170"/>
    </row>
    <row r="510" spans="1:26" x14ac:dyDescent="0.2">
      <c r="A510" s="426"/>
      <c r="B510" s="217"/>
      <c r="C510" s="217"/>
      <c r="D510" s="217"/>
      <c r="E510" s="217"/>
      <c r="F510" s="217"/>
      <c r="G510" s="217"/>
      <c r="H510" s="217"/>
      <c r="I510" s="217"/>
      <c r="J510" s="217"/>
      <c r="K510" s="427"/>
    </row>
    <row r="511" spans="1:26" x14ac:dyDescent="0.2">
      <c r="A511" s="426"/>
      <c r="B511" s="654" t="s">
        <v>614</v>
      </c>
      <c r="C511" s="217"/>
      <c r="D511" s="217"/>
      <c r="E511" s="217"/>
      <c r="F511" s="217"/>
      <c r="G511" s="217"/>
      <c r="H511" s="217"/>
      <c r="I511" s="217"/>
      <c r="J511" s="217"/>
      <c r="K511" s="427"/>
      <c r="O511" s="170"/>
      <c r="P511" s="170"/>
      <c r="Q511" s="170"/>
      <c r="R511" s="170"/>
      <c r="S511" s="170"/>
      <c r="T511" s="170"/>
      <c r="U511" s="170"/>
      <c r="V511" s="170"/>
      <c r="W511" s="170"/>
      <c r="X511" s="170"/>
      <c r="Y511" s="170"/>
      <c r="Z511" s="170"/>
    </row>
    <row r="512" spans="1:26" x14ac:dyDescent="0.2">
      <c r="A512" s="426"/>
      <c r="B512" s="217"/>
      <c r="C512" s="222" t="s">
        <v>615</v>
      </c>
      <c r="D512" s="217"/>
      <c r="E512" s="217"/>
      <c r="F512" s="222"/>
      <c r="G512" s="187">
        <f>G117</f>
        <v>409.642</v>
      </c>
      <c r="H512" s="222" t="s">
        <v>57</v>
      </c>
      <c r="I512" s="217"/>
      <c r="J512" s="217"/>
      <c r="K512" s="427"/>
      <c r="O512" s="170"/>
      <c r="P512" s="170"/>
      <c r="Q512" s="170"/>
      <c r="R512" s="170"/>
      <c r="S512" s="170"/>
      <c r="T512" s="170"/>
      <c r="U512" s="170"/>
      <c r="V512" s="170"/>
      <c r="W512" s="170"/>
      <c r="X512" s="170"/>
      <c r="Y512" s="170"/>
      <c r="Z512" s="170"/>
    </row>
    <row r="513" spans="1:26" x14ac:dyDescent="0.2">
      <c r="A513" s="426"/>
      <c r="B513" s="217"/>
      <c r="C513" s="222" t="s">
        <v>616</v>
      </c>
      <c r="D513" s="217"/>
      <c r="E513" s="217"/>
      <c r="F513" s="222"/>
      <c r="G513" s="187">
        <f>I117</f>
        <v>1366.5359000000001</v>
      </c>
      <c r="H513" s="222" t="s">
        <v>58</v>
      </c>
      <c r="I513" s="217"/>
      <c r="J513" s="217"/>
      <c r="K513" s="427"/>
      <c r="O513" s="170"/>
      <c r="P513" s="170"/>
      <c r="Q513" s="170"/>
      <c r="R513" s="170"/>
      <c r="S513" s="170"/>
      <c r="T513" s="170"/>
      <c r="U513" s="170"/>
      <c r="V513" s="170"/>
      <c r="W513" s="170"/>
      <c r="X513" s="170"/>
      <c r="Y513" s="170"/>
      <c r="Z513" s="170"/>
    </row>
    <row r="514" spans="1:26" x14ac:dyDescent="0.2">
      <c r="A514" s="426"/>
      <c r="B514" s="217"/>
      <c r="C514" s="222" t="s">
        <v>617</v>
      </c>
      <c r="D514" s="217"/>
      <c r="E514" s="217"/>
      <c r="F514" s="222"/>
      <c r="G514" s="187">
        <f>H122</f>
        <v>336.44252452386542</v>
      </c>
      <c r="H514" s="222" t="s">
        <v>58</v>
      </c>
      <c r="I514" s="217"/>
      <c r="J514" s="217"/>
      <c r="K514" s="427"/>
      <c r="O514" s="170"/>
      <c r="P514" s="170"/>
      <c r="Q514" s="170"/>
      <c r="R514" s="170"/>
      <c r="S514" s="170"/>
      <c r="T514" s="170"/>
      <c r="U514" s="170"/>
      <c r="V514" s="170"/>
      <c r="W514" s="170"/>
      <c r="X514" s="170"/>
      <c r="Y514" s="170"/>
      <c r="Z514" s="170"/>
    </row>
    <row r="515" spans="1:26" x14ac:dyDescent="0.2">
      <c r="A515" s="426"/>
      <c r="B515" s="217"/>
      <c r="C515" s="217"/>
      <c r="D515" s="217"/>
      <c r="E515" s="217"/>
      <c r="F515" s="217"/>
      <c r="G515" s="217"/>
      <c r="H515" s="217"/>
      <c r="I515" s="217"/>
      <c r="J515" s="217"/>
      <c r="K515" s="427"/>
      <c r="O515" s="170"/>
      <c r="P515" s="170"/>
      <c r="Q515" s="170"/>
      <c r="R515" s="170"/>
      <c r="S515" s="170"/>
      <c r="T515" s="170"/>
      <c r="U515" s="170"/>
      <c r="V515" s="170"/>
      <c r="W515" s="170"/>
      <c r="X515" s="170"/>
      <c r="Y515" s="170"/>
      <c r="Z515" s="170"/>
    </row>
    <row r="516" spans="1:26" x14ac:dyDescent="0.2">
      <c r="A516" s="426"/>
      <c r="B516" s="217"/>
      <c r="C516" s="222" t="s">
        <v>618</v>
      </c>
      <c r="D516" s="217"/>
      <c r="E516" s="217"/>
      <c r="F516" s="222"/>
      <c r="G516" s="187">
        <f>H124</f>
        <v>4.0617216920896855</v>
      </c>
      <c r="H516" s="222" t="s">
        <v>619</v>
      </c>
      <c r="I516" s="217"/>
      <c r="J516" s="217"/>
      <c r="K516" s="427"/>
      <c r="O516" s="170"/>
      <c r="P516" s="170"/>
      <c r="Q516" s="170"/>
      <c r="R516" s="170"/>
      <c r="S516" s="170"/>
      <c r="T516" s="170"/>
      <c r="U516" s="170"/>
      <c r="V516" s="170"/>
      <c r="W516" s="170"/>
      <c r="X516" s="170"/>
      <c r="Y516" s="170"/>
      <c r="Z516" s="170"/>
    </row>
    <row r="517" spans="1:26" x14ac:dyDescent="0.2">
      <c r="A517" s="426"/>
      <c r="B517" s="217"/>
      <c r="C517" s="222" t="s">
        <v>620</v>
      </c>
      <c r="D517" s="217"/>
      <c r="E517" s="217"/>
      <c r="F517" s="222"/>
      <c r="G517" s="187">
        <f>H126</f>
        <v>1.1769834007370772</v>
      </c>
      <c r="H517" s="222" t="s">
        <v>619</v>
      </c>
      <c r="I517" s="217"/>
      <c r="J517" s="217"/>
      <c r="K517" s="427"/>
      <c r="O517" s="170"/>
      <c r="P517" s="170"/>
      <c r="Q517" s="170"/>
      <c r="R517" s="170"/>
      <c r="S517" s="170"/>
      <c r="T517" s="170"/>
      <c r="U517" s="170"/>
      <c r="V517" s="170"/>
      <c r="W517" s="170"/>
      <c r="X517" s="170"/>
      <c r="Y517" s="170"/>
      <c r="Z517" s="170"/>
    </row>
    <row r="518" spans="1:26" x14ac:dyDescent="0.2">
      <c r="A518" s="426"/>
      <c r="B518" s="217"/>
      <c r="C518" s="217"/>
      <c r="D518" s="217"/>
      <c r="E518" s="217"/>
      <c r="F518" s="217"/>
      <c r="G518" s="217"/>
      <c r="H518" s="217"/>
      <c r="I518" s="217"/>
      <c r="J518" s="217"/>
      <c r="K518" s="427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</row>
    <row r="519" spans="1:26" x14ac:dyDescent="0.2">
      <c r="A519" s="426"/>
      <c r="B519" s="654" t="s">
        <v>621</v>
      </c>
      <c r="C519" s="217"/>
      <c r="D519" s="217"/>
      <c r="E519" s="217"/>
      <c r="F519" s="217"/>
      <c r="G519" s="217"/>
      <c r="H519" s="217"/>
      <c r="I519" s="217"/>
      <c r="J519" s="217"/>
      <c r="K519" s="427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</row>
    <row r="520" spans="1:26" x14ac:dyDescent="0.2">
      <c r="A520" s="426"/>
      <c r="B520" s="217"/>
      <c r="C520" s="222" t="s">
        <v>622</v>
      </c>
      <c r="D520" s="217"/>
      <c r="E520" s="217"/>
      <c r="F520" s="217"/>
      <c r="G520" s="187">
        <f>H135</f>
        <v>2.5146185583415148</v>
      </c>
      <c r="H520" s="222" t="s">
        <v>24</v>
      </c>
      <c r="I520" s="217"/>
      <c r="J520" s="217"/>
      <c r="K520" s="427"/>
      <c r="O520" s="170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</row>
    <row r="521" spans="1:26" x14ac:dyDescent="0.2">
      <c r="A521" s="426"/>
      <c r="B521" s="217"/>
      <c r="C521" s="222" t="s">
        <v>623</v>
      </c>
      <c r="D521" s="217"/>
      <c r="E521" s="217"/>
      <c r="F521" s="222"/>
      <c r="G521" s="187">
        <f>H136</f>
        <v>6.0381441658485357E-2</v>
      </c>
      <c r="H521" s="222" t="s">
        <v>24</v>
      </c>
      <c r="I521" s="217"/>
      <c r="J521" s="217"/>
      <c r="K521" s="427"/>
      <c r="O521" s="170"/>
      <c r="P521" s="170"/>
      <c r="Q521" s="170"/>
      <c r="R521" s="170"/>
      <c r="S521" s="170"/>
      <c r="T521" s="170"/>
      <c r="U521" s="170"/>
      <c r="V521" s="170"/>
      <c r="W521" s="170"/>
      <c r="X521" s="170"/>
      <c r="Y521" s="170"/>
      <c r="Z521" s="170"/>
    </row>
    <row r="522" spans="1:26" x14ac:dyDescent="0.2">
      <c r="A522" s="426"/>
      <c r="B522" s="217"/>
      <c r="C522" s="217"/>
      <c r="D522" s="217"/>
      <c r="E522" s="217"/>
      <c r="F522" s="217"/>
      <c r="G522" s="217"/>
      <c r="H522" s="217"/>
      <c r="I522" s="217"/>
      <c r="J522" s="217"/>
      <c r="K522" s="427"/>
      <c r="O522" s="170"/>
      <c r="P522" s="170"/>
      <c r="Q522" s="170"/>
      <c r="R522" s="170"/>
      <c r="S522" s="170"/>
      <c r="T522" s="170"/>
      <c r="U522" s="170"/>
      <c r="V522" s="170"/>
      <c r="W522" s="170"/>
      <c r="X522" s="170"/>
      <c r="Y522" s="170"/>
      <c r="Z522" s="170"/>
    </row>
    <row r="523" spans="1:26" x14ac:dyDescent="0.2">
      <c r="A523" s="426"/>
      <c r="B523" s="217"/>
      <c r="C523" s="222" t="s">
        <v>624</v>
      </c>
      <c r="D523" s="217"/>
      <c r="E523" s="217"/>
      <c r="F523" s="222"/>
      <c r="G523" s="187">
        <f>H143</f>
        <v>85.137711269419981</v>
      </c>
      <c r="H523" s="222" t="s">
        <v>35</v>
      </c>
      <c r="I523" s="217"/>
      <c r="J523" s="217"/>
      <c r="K523" s="427"/>
      <c r="O523" s="170"/>
      <c r="P523" s="170"/>
      <c r="Q523" s="170"/>
      <c r="R523" s="170"/>
      <c r="S523" s="170"/>
      <c r="T523" s="170"/>
      <c r="U523" s="170"/>
      <c r="V523" s="170"/>
      <c r="W523" s="170"/>
      <c r="X523" s="170"/>
      <c r="Y523" s="170"/>
      <c r="Z523" s="170"/>
    </row>
    <row r="524" spans="1:26" x14ac:dyDescent="0.2">
      <c r="A524" s="426"/>
      <c r="B524" s="217"/>
      <c r="C524" s="222" t="s">
        <v>625</v>
      </c>
      <c r="D524" s="217"/>
      <c r="E524" s="217"/>
      <c r="F524" s="222"/>
      <c r="G524" s="187">
        <f>H144</f>
        <v>73.946560575240198</v>
      </c>
      <c r="H524" s="222" t="s">
        <v>35</v>
      </c>
      <c r="I524" s="217"/>
      <c r="J524" s="217"/>
      <c r="K524" s="427"/>
      <c r="O524" s="170"/>
      <c r="P524" s="170"/>
      <c r="Q524" s="170"/>
      <c r="R524" s="170"/>
      <c r="S524" s="170"/>
      <c r="T524" s="170"/>
      <c r="U524" s="170"/>
      <c r="V524" s="170"/>
      <c r="W524" s="170"/>
      <c r="X524" s="170"/>
      <c r="Y524" s="170"/>
      <c r="Z524" s="170"/>
    </row>
    <row r="525" spans="1:26" x14ac:dyDescent="0.2">
      <c r="A525" s="426"/>
      <c r="B525" s="217"/>
      <c r="C525" s="222"/>
      <c r="D525" s="217"/>
      <c r="E525" s="217"/>
      <c r="F525" s="222"/>
      <c r="G525" s="187"/>
      <c r="H525" s="222"/>
      <c r="I525" s="217"/>
      <c r="J525" s="217"/>
      <c r="K525" s="427"/>
      <c r="O525" s="170"/>
      <c r="P525" s="170"/>
      <c r="Q525" s="170"/>
      <c r="R525" s="170"/>
      <c r="S525" s="170"/>
      <c r="T525" s="170"/>
      <c r="U525" s="170"/>
      <c r="V525" s="170"/>
      <c r="W525" s="170"/>
      <c r="X525" s="170"/>
      <c r="Y525" s="170"/>
      <c r="Z525" s="170"/>
    </row>
    <row r="526" spans="1:26" x14ac:dyDescent="0.2">
      <c r="A526" s="655"/>
      <c r="B526" s="217"/>
      <c r="C526" s="217"/>
      <c r="D526" s="217"/>
      <c r="E526" s="217"/>
      <c r="F526" s="217"/>
      <c r="G526" s="217"/>
      <c r="H526" s="217"/>
      <c r="I526" s="217"/>
      <c r="J526" s="217"/>
      <c r="K526" s="427"/>
      <c r="O526" s="170"/>
      <c r="P526" s="170"/>
      <c r="Q526" s="170"/>
      <c r="R526" s="170"/>
      <c r="S526" s="170"/>
      <c r="T526" s="170"/>
      <c r="U526" s="170"/>
      <c r="V526" s="170"/>
      <c r="W526" s="170"/>
      <c r="X526" s="170"/>
      <c r="Y526" s="170"/>
      <c r="Z526" s="170"/>
    </row>
    <row r="527" spans="1:26" x14ac:dyDescent="0.2">
      <c r="A527" s="426"/>
      <c r="B527" s="654" t="s">
        <v>59</v>
      </c>
      <c r="C527" s="72"/>
      <c r="D527" s="72"/>
      <c r="E527" s="72"/>
      <c r="F527" s="72"/>
      <c r="G527" s="159"/>
      <c r="H527" s="72"/>
      <c r="I527" s="72"/>
      <c r="J527" s="217"/>
      <c r="K527" s="427"/>
      <c r="O527" s="170"/>
      <c r="P527" s="170"/>
      <c r="Q527" s="170"/>
      <c r="R527" s="170"/>
      <c r="S527" s="170"/>
      <c r="T527" s="170"/>
      <c r="U527" s="170"/>
      <c r="V527" s="170"/>
      <c r="W527" s="170"/>
      <c r="X527" s="170"/>
      <c r="Y527" s="170"/>
      <c r="Z527" s="170"/>
    </row>
    <row r="528" spans="1:26" x14ac:dyDescent="0.2">
      <c r="A528" s="426"/>
      <c r="B528" s="217"/>
      <c r="C528" s="72"/>
      <c r="D528" s="217"/>
      <c r="E528" s="217"/>
      <c r="F528" s="161"/>
      <c r="G528" s="1483" t="s">
        <v>626</v>
      </c>
      <c r="H528" s="1484"/>
      <c r="I528" s="161"/>
      <c r="J528" s="217"/>
      <c r="K528" s="427"/>
      <c r="O528" s="170"/>
      <c r="P528" s="170"/>
      <c r="Q528" s="170"/>
      <c r="R528" s="170"/>
      <c r="S528" s="170"/>
      <c r="T528" s="170"/>
      <c r="U528" s="170"/>
      <c r="V528" s="170"/>
      <c r="W528" s="170"/>
      <c r="X528" s="170"/>
      <c r="Y528" s="170"/>
      <c r="Z528" s="170"/>
    </row>
    <row r="529" spans="1:26" x14ac:dyDescent="0.2">
      <c r="A529" s="426"/>
      <c r="B529" s="161" t="s">
        <v>196</v>
      </c>
      <c r="C529" s="72"/>
      <c r="D529" s="68" t="s">
        <v>627</v>
      </c>
      <c r="E529" s="182" t="s">
        <v>628</v>
      </c>
      <c r="F529" s="229" t="s">
        <v>629</v>
      </c>
      <c r="G529" s="230"/>
      <c r="H529" s="231"/>
      <c r="I529" s="232" t="s">
        <v>630</v>
      </c>
      <c r="J529" s="217"/>
      <c r="K529" s="427"/>
      <c r="O529" s="170"/>
      <c r="P529" s="170"/>
      <c r="Q529" s="170"/>
      <c r="R529" s="170"/>
      <c r="S529" s="170"/>
      <c r="T529" s="170"/>
      <c r="U529" s="170"/>
      <c r="V529" s="170"/>
      <c r="W529" s="170"/>
      <c r="X529" s="170"/>
      <c r="Y529" s="170"/>
      <c r="Z529" s="170"/>
    </row>
    <row r="530" spans="1:26" x14ac:dyDescent="0.2">
      <c r="A530" s="426"/>
      <c r="B530" s="233"/>
      <c r="C530" s="116"/>
      <c r="D530" s="233"/>
      <c r="E530" s="69"/>
      <c r="F530" s="587" t="s">
        <v>631</v>
      </c>
      <c r="G530" s="234" t="s">
        <v>632</v>
      </c>
      <c r="H530" s="588" t="s">
        <v>633</v>
      </c>
      <c r="I530" s="235" t="s">
        <v>634</v>
      </c>
      <c r="J530" s="217"/>
      <c r="K530" s="427"/>
      <c r="O530" s="170"/>
      <c r="P530" s="170"/>
      <c r="Q530" s="170"/>
      <c r="R530" s="170"/>
      <c r="S530" s="170"/>
      <c r="T530" s="170"/>
      <c r="U530" s="170"/>
      <c r="V530" s="170"/>
      <c r="W530" s="170"/>
      <c r="X530" s="170"/>
      <c r="Y530" s="170"/>
      <c r="Z530" s="170"/>
    </row>
    <row r="531" spans="1:26" x14ac:dyDescent="0.2">
      <c r="A531" s="426"/>
      <c r="B531" s="236"/>
      <c r="C531" s="72"/>
      <c r="D531" s="237" t="s">
        <v>469</v>
      </c>
      <c r="E531" s="238" t="s">
        <v>468</v>
      </c>
      <c r="F531" s="237" t="s">
        <v>215</v>
      </c>
      <c r="G531" s="161" t="s">
        <v>215</v>
      </c>
      <c r="H531" s="238" t="s">
        <v>215</v>
      </c>
      <c r="I531" s="235" t="s">
        <v>215</v>
      </c>
      <c r="J531" s="217"/>
      <c r="K531" s="427"/>
      <c r="O531" s="170"/>
      <c r="P531" s="170"/>
      <c r="Q531" s="170"/>
      <c r="R531" s="170"/>
      <c r="S531" s="170"/>
      <c r="T531" s="170"/>
      <c r="U531" s="170"/>
      <c r="V531" s="170"/>
      <c r="W531" s="170"/>
      <c r="X531" s="170"/>
      <c r="Y531" s="170"/>
      <c r="Z531" s="170"/>
    </row>
    <row r="532" spans="1:26" x14ac:dyDescent="0.2">
      <c r="A532" s="426"/>
      <c r="B532" s="239" t="s">
        <v>635</v>
      </c>
      <c r="C532" s="217"/>
      <c r="D532" s="240">
        <f>H156</f>
        <v>228.73753188227928</v>
      </c>
      <c r="E532" s="188">
        <f>H155</f>
        <v>134.55148934251721</v>
      </c>
      <c r="F532" s="85">
        <f>H163</f>
        <v>427.26192779639894</v>
      </c>
      <c r="G532" s="86">
        <f>H166</f>
        <v>313.89133428702246</v>
      </c>
      <c r="H532" s="87">
        <f>H169</f>
        <v>502.26192779639894</v>
      </c>
      <c r="I532" s="241">
        <f>H170</f>
        <v>650</v>
      </c>
      <c r="J532" s="217"/>
      <c r="K532" s="427"/>
      <c r="O532" s="170"/>
      <c r="P532" s="170"/>
      <c r="Q532" s="170"/>
      <c r="R532" s="170"/>
      <c r="S532" s="170"/>
      <c r="T532" s="170"/>
      <c r="U532" s="170"/>
      <c r="V532" s="170"/>
      <c r="W532" s="170"/>
      <c r="X532" s="170"/>
      <c r="Y532" s="170"/>
      <c r="Z532" s="170"/>
    </row>
    <row r="533" spans="1:26" x14ac:dyDescent="0.2">
      <c r="A533" s="426"/>
      <c r="B533" s="239" t="s">
        <v>636</v>
      </c>
      <c r="C533" s="217"/>
      <c r="D533" s="240">
        <f>I316</f>
        <v>127.25804255200029</v>
      </c>
      <c r="E533" s="188">
        <f>I319</f>
        <v>191.65714821854939</v>
      </c>
      <c r="F533" s="85">
        <f>F325</f>
        <v>318.6897530890451</v>
      </c>
      <c r="G533" s="86">
        <f>F326</f>
        <v>447.1114981627793</v>
      </c>
      <c r="H533" s="87">
        <f>G330</f>
        <v>522.1114981627793</v>
      </c>
      <c r="I533" s="241">
        <f>G331</f>
        <v>700</v>
      </c>
      <c r="J533" s="217"/>
      <c r="K533" s="427"/>
      <c r="O533" s="170"/>
      <c r="P533" s="170"/>
      <c r="Q533" s="170"/>
      <c r="R533" s="170"/>
      <c r="S533" s="170"/>
      <c r="T533" s="170"/>
      <c r="U533" s="170"/>
      <c r="V533" s="170"/>
      <c r="W533" s="170"/>
      <c r="X533" s="170"/>
      <c r="Y533" s="170"/>
      <c r="Z533" s="170"/>
    </row>
    <row r="534" spans="1:26" x14ac:dyDescent="0.2">
      <c r="A534" s="426"/>
      <c r="B534" s="239" t="s">
        <v>610</v>
      </c>
      <c r="C534" s="217"/>
      <c r="D534" s="240">
        <f>I381</f>
        <v>134.33803724584845</v>
      </c>
      <c r="E534" s="188">
        <f>I383</f>
        <v>165.92934459935267</v>
      </c>
      <c r="F534" s="85">
        <f>F389</f>
        <v>327.43490936241142</v>
      </c>
      <c r="G534" s="86">
        <f>F390</f>
        <v>387.09183843425427</v>
      </c>
      <c r="H534" s="87">
        <f>G393</f>
        <v>462.09183843425427</v>
      </c>
      <c r="I534" s="241">
        <f>G394</f>
        <v>700</v>
      </c>
      <c r="J534" s="217"/>
      <c r="K534" s="427"/>
      <c r="O534" s="170"/>
      <c r="P534" s="170"/>
      <c r="Q534" s="170"/>
      <c r="R534" s="170"/>
      <c r="S534" s="170"/>
      <c r="T534" s="170"/>
      <c r="U534" s="170"/>
      <c r="V534" s="170"/>
      <c r="W534" s="170"/>
      <c r="X534" s="170"/>
      <c r="Y534" s="170"/>
      <c r="Z534" s="170"/>
    </row>
    <row r="535" spans="1:26" x14ac:dyDescent="0.2">
      <c r="A535" s="426"/>
      <c r="B535" s="183"/>
      <c r="C535" s="194"/>
      <c r="D535" s="183"/>
      <c r="E535" s="190"/>
      <c r="F535" s="74"/>
      <c r="G535" s="75"/>
      <c r="H535" s="76"/>
      <c r="I535" s="242"/>
      <c r="J535" s="217"/>
      <c r="K535" s="427"/>
      <c r="O535" s="170"/>
      <c r="P535" s="170"/>
      <c r="Q535" s="170"/>
      <c r="R535" s="170"/>
      <c r="S535" s="170"/>
      <c r="T535" s="170"/>
      <c r="U535" s="170"/>
      <c r="V535" s="170"/>
      <c r="W535" s="170"/>
      <c r="X535" s="170"/>
      <c r="Y535" s="170"/>
      <c r="Z535" s="170"/>
    </row>
    <row r="536" spans="1:26" x14ac:dyDescent="0.2">
      <c r="A536" s="426"/>
      <c r="B536" s="217"/>
      <c r="C536" s="222" t="s">
        <v>637</v>
      </c>
      <c r="D536" s="222" t="s">
        <v>638</v>
      </c>
      <c r="E536" s="217"/>
      <c r="F536" s="217"/>
      <c r="G536" s="217"/>
      <c r="H536" s="217"/>
      <c r="I536" s="217"/>
      <c r="J536" s="217"/>
      <c r="K536" s="427"/>
      <c r="O536" s="170"/>
      <c r="P536" s="170"/>
      <c r="Q536" s="170"/>
      <c r="R536" s="170"/>
      <c r="S536" s="170"/>
      <c r="T536" s="170"/>
      <c r="U536" s="170"/>
      <c r="V536" s="170"/>
      <c r="W536" s="170"/>
      <c r="X536" s="170"/>
      <c r="Y536" s="170"/>
      <c r="Z536" s="170"/>
    </row>
    <row r="537" spans="1:26" x14ac:dyDescent="0.2">
      <c r="A537" s="426"/>
      <c r="B537" s="217"/>
      <c r="C537" s="217"/>
      <c r="D537" s="222" t="s">
        <v>639</v>
      </c>
      <c r="E537" s="217"/>
      <c r="F537" s="217"/>
      <c r="G537" s="217"/>
      <c r="H537" s="217"/>
      <c r="I537" s="217"/>
      <c r="J537" s="217"/>
      <c r="K537" s="427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</row>
    <row r="538" spans="1:26" x14ac:dyDescent="0.2">
      <c r="A538" s="426"/>
      <c r="B538" s="217"/>
      <c r="C538" s="217"/>
      <c r="D538" s="222"/>
      <c r="E538" s="217"/>
      <c r="F538" s="217"/>
      <c r="G538" s="217"/>
      <c r="H538" s="217"/>
      <c r="I538" s="217"/>
      <c r="J538" s="217"/>
      <c r="K538" s="427"/>
      <c r="O538" s="170"/>
      <c r="P538" s="170"/>
      <c r="Q538" s="170"/>
      <c r="R538" s="170"/>
      <c r="S538" s="170"/>
      <c r="T538" s="170"/>
      <c r="U538" s="170"/>
      <c r="V538" s="170"/>
      <c r="W538" s="170"/>
      <c r="X538" s="170"/>
      <c r="Y538" s="170"/>
      <c r="Z538" s="170"/>
    </row>
    <row r="539" spans="1:26" x14ac:dyDescent="0.2">
      <c r="A539" s="426"/>
      <c r="B539" s="217"/>
      <c r="C539" s="217"/>
      <c r="D539" s="222"/>
      <c r="E539" s="217"/>
      <c r="F539" s="217"/>
      <c r="G539" s="217"/>
      <c r="H539" s="217"/>
      <c r="I539" s="217"/>
      <c r="J539" s="217"/>
      <c r="K539" s="427"/>
      <c r="O539" s="170"/>
      <c r="P539" s="170"/>
      <c r="Q539" s="170"/>
      <c r="R539" s="170"/>
      <c r="S539" s="170"/>
      <c r="T539" s="170"/>
      <c r="U539" s="170"/>
      <c r="V539" s="170"/>
      <c r="W539" s="170"/>
      <c r="X539" s="170"/>
      <c r="Y539" s="170"/>
      <c r="Z539" s="170"/>
    </row>
    <row r="540" spans="1:26" ht="13.5" thickBot="1" x14ac:dyDescent="0.25">
      <c r="A540" s="429"/>
      <c r="B540" s="430"/>
      <c r="C540" s="430"/>
      <c r="D540" s="467"/>
      <c r="E540" s="430"/>
      <c r="F540" s="430"/>
      <c r="G540" s="430"/>
      <c r="H540" s="430"/>
      <c r="I540" s="430"/>
      <c r="J540" s="430"/>
      <c r="K540" s="650" t="s">
        <v>2430</v>
      </c>
      <c r="O540" s="170"/>
      <c r="P540" s="170"/>
      <c r="Q540" s="170"/>
      <c r="R540" s="170"/>
      <c r="S540" s="170"/>
      <c r="T540" s="170"/>
      <c r="U540" s="170"/>
      <c r="V540" s="170"/>
      <c r="W540" s="170"/>
      <c r="X540" s="170"/>
      <c r="Y540" s="170"/>
      <c r="Z540" s="170"/>
    </row>
    <row r="541" spans="1:26" x14ac:dyDescent="0.2">
      <c r="D541" s="171"/>
      <c r="O541" s="170"/>
      <c r="P541" s="170"/>
      <c r="Q541" s="170"/>
      <c r="R541" s="170"/>
      <c r="S541" s="170"/>
      <c r="T541" s="170"/>
      <c r="U541" s="170"/>
      <c r="V541" s="170"/>
      <c r="W541" s="170"/>
      <c r="X541" s="170"/>
      <c r="Y541" s="170"/>
      <c r="Z541" s="170"/>
    </row>
    <row r="542" spans="1:26" x14ac:dyDescent="0.2">
      <c r="D542" s="171"/>
      <c r="O542" s="170"/>
      <c r="P542" s="170"/>
      <c r="Q542" s="170"/>
      <c r="R542" s="170"/>
      <c r="S542" s="170"/>
      <c r="T542" s="170"/>
      <c r="U542" s="170"/>
      <c r="V542" s="170"/>
      <c r="W542" s="170"/>
      <c r="X542" s="170"/>
      <c r="Y542" s="170"/>
      <c r="Z542" s="170"/>
    </row>
    <row r="543" spans="1:26" x14ac:dyDescent="0.2">
      <c r="D543" s="171"/>
      <c r="O543" s="170"/>
      <c r="P543" s="170"/>
      <c r="Q543" s="170"/>
      <c r="R543" s="170"/>
      <c r="S543" s="170"/>
      <c r="T543" s="170"/>
      <c r="U543" s="170"/>
      <c r="V543" s="170"/>
      <c r="W543" s="170"/>
      <c r="X543" s="170"/>
      <c r="Y543" s="170"/>
      <c r="Z543" s="170"/>
    </row>
    <row r="544" spans="1:26" x14ac:dyDescent="0.2">
      <c r="D544" s="171"/>
      <c r="O544" s="170"/>
      <c r="P544" s="170"/>
      <c r="Q544" s="170"/>
      <c r="R544" s="170"/>
      <c r="S544" s="170"/>
      <c r="T544" s="170"/>
      <c r="U544" s="170"/>
      <c r="V544" s="170"/>
      <c r="W544" s="170"/>
      <c r="X544" s="170"/>
      <c r="Y544" s="170"/>
      <c r="Z544" s="170"/>
    </row>
    <row r="545" spans="1:26" x14ac:dyDescent="0.2">
      <c r="D545" s="171"/>
      <c r="O545" s="170"/>
      <c r="P545" s="170"/>
      <c r="Q545" s="170"/>
      <c r="R545" s="170"/>
      <c r="S545" s="170"/>
      <c r="T545" s="170"/>
      <c r="U545" s="170"/>
      <c r="V545" s="170"/>
      <c r="W545" s="170"/>
      <c r="X545" s="170"/>
      <c r="Y545" s="170"/>
      <c r="Z545" s="170"/>
    </row>
    <row r="546" spans="1:26" x14ac:dyDescent="0.2">
      <c r="D546" s="171"/>
      <c r="O546" s="170"/>
      <c r="P546" s="170"/>
      <c r="Q546" s="170"/>
      <c r="R546" s="170"/>
      <c r="S546" s="170"/>
      <c r="T546" s="170"/>
      <c r="U546" s="170"/>
      <c r="V546" s="170"/>
      <c r="W546" s="170"/>
      <c r="X546" s="170"/>
      <c r="Y546" s="170"/>
      <c r="Z546" s="170"/>
    </row>
    <row r="547" spans="1:26" x14ac:dyDescent="0.2">
      <c r="D547" s="171"/>
      <c r="O547" s="170"/>
      <c r="P547" s="170"/>
      <c r="Q547" s="170"/>
      <c r="R547" s="170"/>
      <c r="S547" s="170"/>
      <c r="T547" s="170"/>
      <c r="U547" s="170"/>
      <c r="V547" s="170"/>
      <c r="W547" s="170"/>
      <c r="X547" s="170"/>
      <c r="Y547" s="170"/>
      <c r="Z547" s="170"/>
    </row>
    <row r="548" spans="1:26" ht="13.5" thickBot="1" x14ac:dyDescent="0.25">
      <c r="D548" s="171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</row>
    <row r="549" spans="1:26" x14ac:dyDescent="0.2">
      <c r="A549" s="423"/>
      <c r="B549" s="424"/>
      <c r="C549" s="424"/>
      <c r="D549" s="466"/>
      <c r="E549" s="424"/>
      <c r="F549" s="424"/>
      <c r="G549" s="424"/>
      <c r="H549" s="424"/>
      <c r="I549" s="424"/>
      <c r="J549" s="424"/>
      <c r="K549" s="425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</row>
    <row r="550" spans="1:26" x14ac:dyDescent="0.2">
      <c r="A550" s="426"/>
      <c r="B550" s="654" t="s">
        <v>640</v>
      </c>
      <c r="C550" s="217"/>
      <c r="D550" s="217"/>
      <c r="E550" s="217"/>
      <c r="F550" s="217"/>
      <c r="G550" s="217" t="str">
        <f>B482</f>
        <v xml:space="preserve">RETURN WALL (C/S) </v>
      </c>
      <c r="H550" s="217"/>
      <c r="I550" s="217"/>
      <c r="J550" s="217"/>
      <c r="K550" s="427"/>
      <c r="O550" s="170"/>
      <c r="P550" s="170"/>
      <c r="Q550" s="170"/>
      <c r="R550" s="170"/>
      <c r="S550" s="170"/>
      <c r="T550" s="170"/>
      <c r="U550" s="170"/>
      <c r="V550" s="170"/>
      <c r="W550" s="170"/>
      <c r="X550" s="170"/>
      <c r="Y550" s="170"/>
      <c r="Z550" s="170"/>
    </row>
    <row r="551" spans="1:26" x14ac:dyDescent="0.2">
      <c r="A551" s="426"/>
      <c r="B551" s="217"/>
      <c r="C551" s="217"/>
      <c r="D551" s="217"/>
      <c r="E551" s="217"/>
      <c r="F551" s="217"/>
      <c r="G551" s="217"/>
      <c r="H551" s="217"/>
      <c r="I551" s="217"/>
      <c r="J551" s="217"/>
      <c r="K551" s="427"/>
      <c r="O551" s="170"/>
      <c r="P551" s="170"/>
      <c r="Q551" s="170"/>
      <c r="R551" s="170"/>
      <c r="S551" s="170"/>
      <c r="T551" s="170"/>
      <c r="U551" s="170"/>
      <c r="V551" s="170"/>
      <c r="W551" s="170"/>
      <c r="X551" s="170"/>
      <c r="Y551" s="170"/>
      <c r="Z551" s="170"/>
    </row>
    <row r="552" spans="1:26" x14ac:dyDescent="0.2">
      <c r="A552" s="426"/>
      <c r="B552" s="243" t="s">
        <v>641</v>
      </c>
      <c r="C552" s="244"/>
      <c r="D552" s="244"/>
      <c r="E552" s="1496" t="s">
        <v>642</v>
      </c>
      <c r="F552" s="1497"/>
      <c r="G552" s="258"/>
      <c r="H552" s="244"/>
      <c r="I552" s="245"/>
      <c r="J552" s="217"/>
      <c r="K552" s="427"/>
      <c r="O552" s="170"/>
      <c r="P552" s="170"/>
      <c r="Q552" s="170"/>
      <c r="R552" s="170"/>
      <c r="S552" s="170"/>
      <c r="T552" s="170"/>
      <c r="U552" s="170"/>
      <c r="V552" s="170"/>
      <c r="W552" s="170"/>
      <c r="X552" s="170"/>
      <c r="Y552" s="170"/>
      <c r="Z552" s="170"/>
    </row>
    <row r="553" spans="1:26" x14ac:dyDescent="0.2">
      <c r="A553" s="426"/>
      <c r="B553" s="216"/>
      <c r="C553" s="217"/>
      <c r="D553" s="217"/>
      <c r="E553" s="243" t="s">
        <v>643</v>
      </c>
      <c r="F553" s="246" t="s">
        <v>644</v>
      </c>
      <c r="G553" s="243" t="s">
        <v>645</v>
      </c>
      <c r="H553" s="247" t="s">
        <v>646</v>
      </c>
      <c r="I553" s="248" t="s">
        <v>647</v>
      </c>
      <c r="J553" s="217"/>
      <c r="K553" s="427"/>
      <c r="O553" s="170"/>
      <c r="P553" s="170"/>
      <c r="Q553" s="170"/>
      <c r="R553" s="170"/>
      <c r="S553" s="170"/>
      <c r="T553" s="170"/>
      <c r="U553" s="170"/>
      <c r="V553" s="170"/>
      <c r="W553" s="170"/>
      <c r="X553" s="170"/>
      <c r="Y553" s="170"/>
      <c r="Z553" s="170"/>
    </row>
    <row r="554" spans="1:26" x14ac:dyDescent="0.2">
      <c r="A554" s="426"/>
      <c r="B554" s="216"/>
      <c r="C554" s="217"/>
      <c r="D554" s="217"/>
      <c r="E554" s="216"/>
      <c r="F554" s="217"/>
      <c r="G554" s="185" t="s">
        <v>648</v>
      </c>
      <c r="H554" s="249" t="s">
        <v>649</v>
      </c>
      <c r="I554" s="250" t="s">
        <v>650</v>
      </c>
      <c r="J554" s="217"/>
      <c r="K554" s="427"/>
      <c r="O554" s="170"/>
      <c r="P554" s="170"/>
      <c r="Q554" s="170"/>
      <c r="R554" s="170"/>
      <c r="S554" s="170"/>
      <c r="T554" s="170"/>
      <c r="U554" s="170"/>
      <c r="V554" s="170"/>
      <c r="W554" s="170"/>
      <c r="X554" s="170"/>
      <c r="Y554" s="170"/>
      <c r="Z554" s="170"/>
    </row>
    <row r="555" spans="1:26" x14ac:dyDescent="0.2">
      <c r="A555" s="426"/>
      <c r="B555" s="251"/>
      <c r="C555" s="217"/>
      <c r="D555" s="217"/>
      <c r="E555" s="252" t="s">
        <v>651</v>
      </c>
      <c r="F555" s="253" t="s">
        <v>651</v>
      </c>
      <c r="G555" s="252" t="s">
        <v>215</v>
      </c>
      <c r="H555" s="195" t="s">
        <v>652</v>
      </c>
      <c r="I555" s="254" t="s">
        <v>651</v>
      </c>
      <c r="J555" s="217"/>
      <c r="K555" s="427"/>
      <c r="O555" s="170"/>
      <c r="P555" s="170"/>
      <c r="Q555" s="170"/>
      <c r="R555" s="170"/>
      <c r="S555" s="170"/>
      <c r="T555" s="170"/>
      <c r="U555" s="170"/>
      <c r="V555" s="170"/>
      <c r="W555" s="170"/>
      <c r="X555" s="170"/>
      <c r="Y555" s="170"/>
      <c r="Z555" s="170"/>
    </row>
    <row r="556" spans="1:26" x14ac:dyDescent="0.2">
      <c r="A556" s="426"/>
      <c r="B556" s="239" t="s">
        <v>635</v>
      </c>
      <c r="C556" s="255" t="s">
        <v>653</v>
      </c>
      <c r="D556" s="245"/>
      <c r="E556" s="86"/>
      <c r="F556" s="86">
        <f>H199</f>
        <v>570.00000000000011</v>
      </c>
      <c r="G556" s="85">
        <f>C200</f>
        <v>12</v>
      </c>
      <c r="H556" s="86">
        <f>E200</f>
        <v>150</v>
      </c>
      <c r="I556" s="87">
        <f>H200</f>
        <v>753.98399999999992</v>
      </c>
      <c r="J556" s="217"/>
      <c r="K556" s="427"/>
      <c r="O556" s="170"/>
      <c r="P556" s="170"/>
      <c r="Q556" s="170"/>
      <c r="R556" s="170"/>
      <c r="S556" s="170"/>
      <c r="T556" s="170"/>
      <c r="U556" s="170"/>
      <c r="V556" s="170"/>
      <c r="W556" s="170"/>
      <c r="X556" s="170"/>
      <c r="Y556" s="170"/>
      <c r="Z556" s="170"/>
    </row>
    <row r="557" spans="1:26" x14ac:dyDescent="0.2">
      <c r="A557" s="426"/>
      <c r="B557" s="216"/>
      <c r="C557" s="185" t="s">
        <v>654</v>
      </c>
      <c r="D557" s="186"/>
      <c r="E557" s="86">
        <f>H214</f>
        <v>2389.0088671531953</v>
      </c>
      <c r="F557" s="256" t="s">
        <v>10</v>
      </c>
      <c r="G557" s="611">
        <f>C216</f>
        <v>20</v>
      </c>
      <c r="H557" s="612">
        <f>E216</f>
        <v>125</v>
      </c>
      <c r="I557" s="613">
        <f>H216</f>
        <v>2513.2800000000002</v>
      </c>
      <c r="J557" s="217"/>
      <c r="K557" s="427"/>
      <c r="O557" s="170"/>
      <c r="P557" s="170"/>
      <c r="Q557" s="170"/>
      <c r="R557" s="170"/>
      <c r="S557" s="170"/>
      <c r="T557" s="170"/>
      <c r="U557" s="170"/>
      <c r="V557" s="170"/>
      <c r="W557" s="170"/>
      <c r="X557" s="170"/>
      <c r="Y557" s="170"/>
      <c r="Z557" s="170"/>
    </row>
    <row r="558" spans="1:26" x14ac:dyDescent="0.2">
      <c r="A558" s="426"/>
      <c r="B558" s="216"/>
      <c r="C558" s="185" t="s">
        <v>655</v>
      </c>
      <c r="D558" s="186"/>
      <c r="E558" s="86"/>
      <c r="F558" s="86">
        <f>H187</f>
        <v>950.00000000000011</v>
      </c>
      <c r="G558" s="85">
        <f>C188</f>
        <v>16</v>
      </c>
      <c r="H558" s="86">
        <f>E188</f>
        <v>200</v>
      </c>
      <c r="I558" s="87">
        <f>H188</f>
        <v>1005.312</v>
      </c>
      <c r="J558" s="217"/>
      <c r="K558" s="427"/>
      <c r="O558" s="170"/>
      <c r="P558" s="170"/>
      <c r="Q558" s="170"/>
      <c r="R558" s="170"/>
      <c r="S558" s="170"/>
      <c r="T558" s="170"/>
      <c r="U558" s="170"/>
      <c r="V558" s="170"/>
      <c r="W558" s="170"/>
      <c r="X558" s="170"/>
      <c r="Y558" s="170"/>
      <c r="Z558" s="170"/>
    </row>
    <row r="559" spans="1:26" x14ac:dyDescent="0.2">
      <c r="A559" s="426"/>
      <c r="B559" s="216"/>
      <c r="C559" s="185" t="s">
        <v>656</v>
      </c>
      <c r="D559" s="186"/>
      <c r="E559" s="86"/>
      <c r="F559" s="86">
        <f>H189</f>
        <v>570.00000000000011</v>
      </c>
      <c r="G559" s="85">
        <f>C190</f>
        <v>16</v>
      </c>
      <c r="H559" s="86">
        <f>E190</f>
        <v>250</v>
      </c>
      <c r="I559" s="87">
        <f>H190</f>
        <v>804.24959999999999</v>
      </c>
      <c r="J559" s="217"/>
      <c r="K559" s="427"/>
      <c r="O559" s="170"/>
      <c r="P559" s="170"/>
      <c r="Q559" s="170"/>
      <c r="R559" s="170"/>
      <c r="S559" s="170"/>
      <c r="T559" s="170"/>
      <c r="U559" s="170"/>
      <c r="V559" s="170"/>
      <c r="W559" s="170"/>
      <c r="X559" s="170"/>
      <c r="Y559" s="170"/>
      <c r="Z559" s="170"/>
    </row>
    <row r="560" spans="1:26" x14ac:dyDescent="0.2">
      <c r="A560" s="426"/>
      <c r="B560" s="216"/>
      <c r="C560" s="216"/>
      <c r="D560" s="186"/>
      <c r="E560" s="217"/>
      <c r="F560" s="217"/>
      <c r="G560" s="216"/>
      <c r="H560" s="217"/>
      <c r="I560" s="186"/>
      <c r="J560" s="217"/>
      <c r="K560" s="427"/>
      <c r="O560" s="170"/>
      <c r="P560" s="170"/>
      <c r="Q560" s="170"/>
      <c r="R560" s="170"/>
      <c r="S560" s="170"/>
      <c r="T560" s="170"/>
      <c r="U560" s="170"/>
      <c r="V560" s="170"/>
      <c r="W560" s="170"/>
      <c r="X560" s="170"/>
      <c r="Y560" s="170"/>
      <c r="Z560" s="170"/>
    </row>
    <row r="561" spans="1:26" x14ac:dyDescent="0.2">
      <c r="A561" s="426"/>
      <c r="B561" s="239" t="s">
        <v>636</v>
      </c>
      <c r="C561" s="185" t="s">
        <v>657</v>
      </c>
      <c r="D561" s="186"/>
      <c r="E561" s="86">
        <f>H361</f>
        <v>1222.7942760673511</v>
      </c>
      <c r="F561" s="256" t="s">
        <v>10</v>
      </c>
      <c r="G561" s="611">
        <f>C362</f>
        <v>16</v>
      </c>
      <c r="H561" s="612">
        <f>E362</f>
        <v>150</v>
      </c>
      <c r="I561" s="613">
        <f>H362</f>
        <v>1340.4159999999999</v>
      </c>
      <c r="J561" s="217"/>
      <c r="K561" s="427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</row>
    <row r="562" spans="1:26" x14ac:dyDescent="0.2">
      <c r="A562" s="426"/>
      <c r="B562" s="216"/>
      <c r="C562" s="185" t="s">
        <v>658</v>
      </c>
      <c r="D562" s="186"/>
      <c r="E562" s="86"/>
      <c r="F562" s="86">
        <f>H345</f>
        <v>950.00000000000011</v>
      </c>
      <c r="G562" s="85">
        <f>C348</f>
        <v>12</v>
      </c>
      <c r="H562" s="86">
        <f>E348</f>
        <v>150</v>
      </c>
      <c r="I562" s="87">
        <f>H348</f>
        <v>753.98399999999992</v>
      </c>
      <c r="J562" s="217"/>
      <c r="K562" s="427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</row>
    <row r="563" spans="1:26" x14ac:dyDescent="0.2">
      <c r="A563" s="426"/>
      <c r="B563" s="216"/>
      <c r="C563" s="185" t="s">
        <v>659</v>
      </c>
      <c r="D563" s="186"/>
      <c r="E563" s="86"/>
      <c r="F563" s="86">
        <f>H359</f>
        <v>380</v>
      </c>
      <c r="G563" s="85">
        <v>12</v>
      </c>
      <c r="H563" s="86">
        <v>300</v>
      </c>
      <c r="I563" s="87">
        <f>785.4*G563^2/H563</f>
        <v>376.99199999999996</v>
      </c>
      <c r="J563" s="217"/>
      <c r="K563" s="427"/>
      <c r="O563" s="170"/>
      <c r="P563" s="170"/>
      <c r="Q563" s="170"/>
      <c r="R563" s="170"/>
      <c r="S563" s="170"/>
      <c r="T563" s="170"/>
      <c r="U563" s="170"/>
      <c r="V563" s="170"/>
      <c r="W563" s="170"/>
      <c r="X563" s="170"/>
      <c r="Y563" s="170"/>
      <c r="Z563" s="170"/>
    </row>
    <row r="564" spans="1:26" x14ac:dyDescent="0.2">
      <c r="A564" s="426"/>
      <c r="B564" s="216"/>
      <c r="C564" s="185" t="s">
        <v>660</v>
      </c>
      <c r="D564" s="186"/>
      <c r="E564" s="86"/>
      <c r="F564" s="86">
        <f>H347</f>
        <v>570.00000000000011</v>
      </c>
      <c r="G564" s="85">
        <f>C348</f>
        <v>12</v>
      </c>
      <c r="H564" s="86">
        <f>E348</f>
        <v>150</v>
      </c>
      <c r="I564" s="87">
        <f>H348</f>
        <v>753.98399999999992</v>
      </c>
      <c r="J564" s="217"/>
      <c r="K564" s="427"/>
      <c r="O564" s="170"/>
      <c r="P564" s="170"/>
      <c r="Q564" s="170"/>
      <c r="R564" s="170"/>
      <c r="S564" s="170"/>
      <c r="T564" s="170"/>
      <c r="U564" s="170"/>
      <c r="V564" s="170"/>
      <c r="W564" s="170"/>
      <c r="X564" s="170"/>
      <c r="Y564" s="170"/>
      <c r="Z564" s="170"/>
    </row>
    <row r="565" spans="1:26" x14ac:dyDescent="0.2">
      <c r="A565" s="426"/>
      <c r="B565" s="216"/>
      <c r="C565" s="216"/>
      <c r="D565" s="186"/>
      <c r="E565" s="86"/>
      <c r="F565" s="217"/>
      <c r="G565" s="216"/>
      <c r="H565" s="217"/>
      <c r="I565" s="186"/>
      <c r="J565" s="217"/>
      <c r="K565" s="427"/>
      <c r="O565" s="170"/>
      <c r="P565" s="170"/>
      <c r="Q565" s="170"/>
      <c r="R565" s="170"/>
      <c r="S565" s="170"/>
      <c r="T565" s="170"/>
      <c r="U565" s="170"/>
      <c r="V565" s="170"/>
      <c r="W565" s="170"/>
      <c r="X565" s="170"/>
      <c r="Y565" s="170"/>
      <c r="Z565" s="170"/>
    </row>
    <row r="566" spans="1:26" x14ac:dyDescent="0.2">
      <c r="A566" s="426"/>
      <c r="B566" s="185" t="s">
        <v>661</v>
      </c>
      <c r="C566" s="185" t="s">
        <v>662</v>
      </c>
      <c r="D566" s="186"/>
      <c r="E566" s="86">
        <f>H420</f>
        <v>1290.8243731253597</v>
      </c>
      <c r="F566" s="256" t="s">
        <v>10</v>
      </c>
      <c r="G566" s="611">
        <f>C421</f>
        <v>16</v>
      </c>
      <c r="H566" s="612">
        <f>E421</f>
        <v>150</v>
      </c>
      <c r="I566" s="613">
        <f>H421</f>
        <v>1340.4159999999999</v>
      </c>
      <c r="J566" s="217"/>
      <c r="K566" s="427"/>
      <c r="O566" s="170"/>
      <c r="P566" s="170"/>
      <c r="Q566" s="170"/>
      <c r="R566" s="170"/>
      <c r="S566" s="170"/>
      <c r="T566" s="170"/>
      <c r="U566" s="170"/>
      <c r="V566" s="170"/>
      <c r="W566" s="170"/>
      <c r="X566" s="170"/>
      <c r="Y566" s="170"/>
      <c r="Z566" s="170"/>
    </row>
    <row r="567" spans="1:26" x14ac:dyDescent="0.2">
      <c r="A567" s="426"/>
      <c r="B567" s="216"/>
      <c r="C567" s="185" t="s">
        <v>658</v>
      </c>
      <c r="D567" s="186"/>
      <c r="E567" s="86"/>
      <c r="F567" s="86">
        <f>H403</f>
        <v>950.00000000000011</v>
      </c>
      <c r="G567" s="85">
        <f>C404</f>
        <v>12</v>
      </c>
      <c r="H567" s="86">
        <f>E404</f>
        <v>200</v>
      </c>
      <c r="I567" s="87">
        <f>H404</f>
        <v>565.48799999999994</v>
      </c>
      <c r="J567" s="217"/>
      <c r="K567" s="427"/>
      <c r="O567" s="170"/>
      <c r="P567" s="170"/>
      <c r="Q567" s="170"/>
      <c r="R567" s="170"/>
      <c r="S567" s="170"/>
      <c r="T567" s="170"/>
      <c r="U567" s="170"/>
      <c r="V567" s="170"/>
      <c r="W567" s="170"/>
      <c r="X567" s="170"/>
      <c r="Y567" s="170"/>
      <c r="Z567" s="170"/>
    </row>
    <row r="568" spans="1:26" x14ac:dyDescent="0.2">
      <c r="A568" s="426"/>
      <c r="B568" s="216"/>
      <c r="C568" s="185" t="s">
        <v>663</v>
      </c>
      <c r="D568" s="186"/>
      <c r="E568" s="86"/>
      <c r="F568" s="86">
        <f>H419</f>
        <v>380</v>
      </c>
      <c r="G568" s="85">
        <v>12</v>
      </c>
      <c r="H568" s="86">
        <v>300</v>
      </c>
      <c r="I568" s="87">
        <f>785.4*G568^2/H568</f>
        <v>376.99199999999996</v>
      </c>
      <c r="J568" s="217"/>
      <c r="K568" s="427"/>
      <c r="O568" s="170"/>
      <c r="P568" s="170"/>
      <c r="Q568" s="170"/>
      <c r="R568" s="170"/>
      <c r="S568" s="170"/>
      <c r="T568" s="170"/>
      <c r="U568" s="170"/>
      <c r="V568" s="170"/>
      <c r="W568" s="170"/>
      <c r="X568" s="170"/>
      <c r="Y568" s="170"/>
      <c r="Z568" s="170"/>
    </row>
    <row r="569" spans="1:26" x14ac:dyDescent="0.2">
      <c r="A569" s="426"/>
      <c r="B569" s="183"/>
      <c r="C569" s="189" t="s">
        <v>660</v>
      </c>
      <c r="D569" s="190"/>
      <c r="E569" s="75"/>
      <c r="F569" s="75">
        <f>H405</f>
        <v>570.00000000000011</v>
      </c>
      <c r="G569" s="74">
        <f>C406</f>
        <v>12</v>
      </c>
      <c r="H569" s="75">
        <f>E406</f>
        <v>150</v>
      </c>
      <c r="I569" s="76">
        <f>H406</f>
        <v>753.98399999999992</v>
      </c>
      <c r="J569" s="217"/>
      <c r="K569" s="427"/>
      <c r="O569" s="170"/>
      <c r="P569" s="170"/>
      <c r="Q569" s="170"/>
      <c r="R569" s="170"/>
      <c r="S569" s="170"/>
      <c r="T569" s="170"/>
      <c r="U569" s="170"/>
      <c r="V569" s="170"/>
      <c r="W569" s="170"/>
      <c r="X569" s="170"/>
      <c r="Y569" s="170"/>
      <c r="Z569" s="170"/>
    </row>
    <row r="570" spans="1:26" x14ac:dyDescent="0.2">
      <c r="A570" s="426"/>
      <c r="B570" s="217"/>
      <c r="C570" s="217"/>
      <c r="D570" s="217"/>
      <c r="E570" s="217"/>
      <c r="F570" s="217"/>
      <c r="G570" s="217"/>
      <c r="H570" s="217"/>
      <c r="I570" s="217"/>
      <c r="J570" s="217"/>
      <c r="K570" s="427"/>
      <c r="O570" s="170"/>
      <c r="P570" s="170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</row>
    <row r="571" spans="1:26" x14ac:dyDescent="0.2">
      <c r="A571" s="655"/>
      <c r="B571" s="217"/>
      <c r="C571" s="217"/>
      <c r="D571" s="217"/>
      <c r="E571" s="217"/>
      <c r="F571" s="217"/>
      <c r="G571" s="217"/>
      <c r="H571" s="217"/>
      <c r="I571" s="217"/>
      <c r="J571" s="217"/>
      <c r="K571" s="427"/>
      <c r="O571" s="170"/>
      <c r="P571" s="170"/>
      <c r="Q571" s="170"/>
      <c r="R571" s="170"/>
      <c r="S571" s="170"/>
      <c r="T571" s="170"/>
      <c r="U571" s="170"/>
      <c r="V571" s="170"/>
      <c r="W571" s="170"/>
      <c r="X571" s="170"/>
      <c r="Y571" s="170"/>
      <c r="Z571" s="170"/>
    </row>
    <row r="572" spans="1:26" x14ac:dyDescent="0.2">
      <c r="A572" s="426"/>
      <c r="B572" s="654" t="s">
        <v>664</v>
      </c>
      <c r="C572" s="217"/>
      <c r="D572" s="217"/>
      <c r="E572" s="217"/>
      <c r="F572" s="217"/>
      <c r="G572" s="217"/>
      <c r="H572" s="217"/>
      <c r="I572" s="217"/>
      <c r="J572" s="217"/>
      <c r="K572" s="427"/>
      <c r="O572" s="170"/>
      <c r="P572" s="170"/>
      <c r="Q572" s="170"/>
      <c r="R572" s="170"/>
      <c r="S572" s="170"/>
      <c r="T572" s="170"/>
      <c r="U572" s="170"/>
      <c r="V572" s="170"/>
      <c r="W572" s="170"/>
      <c r="X572" s="170"/>
      <c r="Y572" s="170"/>
      <c r="Z572" s="170"/>
    </row>
    <row r="573" spans="1:26" x14ac:dyDescent="0.2">
      <c r="A573" s="426"/>
      <c r="B573" s="217"/>
      <c r="C573" s="217"/>
      <c r="D573" s="217"/>
      <c r="E573" s="217"/>
      <c r="F573" s="217"/>
      <c r="G573" s="217"/>
      <c r="H573" s="217"/>
      <c r="I573" s="217"/>
      <c r="J573" s="217"/>
      <c r="K573" s="427"/>
      <c r="O573" s="170"/>
      <c r="P573" s="170"/>
      <c r="Q573" s="170"/>
      <c r="R573" s="170"/>
      <c r="S573" s="170"/>
      <c r="T573" s="170"/>
      <c r="U573" s="170"/>
      <c r="V573" s="170"/>
      <c r="W573" s="170"/>
      <c r="X573" s="170"/>
      <c r="Y573" s="170"/>
      <c r="Z573" s="170"/>
    </row>
    <row r="574" spans="1:26" x14ac:dyDescent="0.2">
      <c r="A574" s="426"/>
      <c r="B574" s="257" t="s">
        <v>196</v>
      </c>
      <c r="C574" s="258"/>
      <c r="D574" s="245"/>
      <c r="E574" s="255" t="s">
        <v>665</v>
      </c>
      <c r="F574" s="247" t="s">
        <v>666</v>
      </c>
      <c r="G574" s="244"/>
      <c r="H574" s="247" t="s">
        <v>667</v>
      </c>
      <c r="I574" s="244"/>
      <c r="J574" s="245"/>
      <c r="K574" s="427"/>
      <c r="O574" s="170"/>
      <c r="P574" s="170"/>
      <c r="Q574" s="170"/>
      <c r="R574" s="170"/>
      <c r="S574" s="170"/>
      <c r="T574" s="170"/>
      <c r="U574" s="170"/>
      <c r="V574" s="170"/>
      <c r="W574" s="170"/>
      <c r="X574" s="170"/>
      <c r="Y574" s="170"/>
      <c r="Z574" s="170"/>
    </row>
    <row r="575" spans="1:26" x14ac:dyDescent="0.2">
      <c r="A575" s="426"/>
      <c r="B575" s="215"/>
      <c r="C575" s="216"/>
      <c r="D575" s="186"/>
      <c r="E575" s="185" t="s">
        <v>668</v>
      </c>
      <c r="F575" s="222" t="s">
        <v>669</v>
      </c>
      <c r="G575" s="222" t="s">
        <v>670</v>
      </c>
      <c r="H575" s="222" t="s">
        <v>671</v>
      </c>
      <c r="I575" s="249" t="s">
        <v>647</v>
      </c>
      <c r="J575" s="259" t="s">
        <v>647</v>
      </c>
      <c r="K575" s="427"/>
      <c r="O575" s="170"/>
      <c r="P575" s="170"/>
      <c r="Q575" s="170"/>
      <c r="R575" s="170"/>
      <c r="S575" s="170"/>
      <c r="T575" s="170"/>
      <c r="U575" s="170"/>
      <c r="V575" s="170"/>
      <c r="W575" s="170"/>
      <c r="X575" s="170"/>
      <c r="Y575" s="170"/>
      <c r="Z575" s="170"/>
    </row>
    <row r="576" spans="1:26" x14ac:dyDescent="0.2">
      <c r="A576" s="426"/>
      <c r="B576" s="215"/>
      <c r="C576" s="216"/>
      <c r="D576" s="186"/>
      <c r="E576" s="239" t="s">
        <v>98</v>
      </c>
      <c r="F576" s="222" t="s">
        <v>672</v>
      </c>
      <c r="G576" s="217"/>
      <c r="H576" s="222" t="s">
        <v>673</v>
      </c>
      <c r="I576" s="249" t="s">
        <v>674</v>
      </c>
      <c r="J576" s="259" t="s">
        <v>644</v>
      </c>
      <c r="K576" s="427"/>
      <c r="O576" s="170"/>
      <c r="P576" s="170"/>
      <c r="Q576" s="170"/>
      <c r="R576" s="170"/>
      <c r="S576" s="170"/>
      <c r="T576" s="170"/>
      <c r="U576" s="170"/>
      <c r="V576" s="170"/>
      <c r="W576" s="170"/>
      <c r="X576" s="170"/>
      <c r="Y576" s="170"/>
      <c r="Z576" s="170"/>
    </row>
    <row r="577" spans="1:26" x14ac:dyDescent="0.2">
      <c r="A577" s="426"/>
      <c r="B577" s="260"/>
      <c r="C577" s="216"/>
      <c r="D577" s="186"/>
      <c r="E577" s="252" t="s">
        <v>214</v>
      </c>
      <c r="F577" s="195" t="s">
        <v>675</v>
      </c>
      <c r="G577" s="253" t="s">
        <v>215</v>
      </c>
      <c r="H577" s="195" t="s">
        <v>676</v>
      </c>
      <c r="I577" s="253" t="s">
        <v>651</v>
      </c>
      <c r="J577" s="254" t="s">
        <v>651</v>
      </c>
      <c r="K577" s="427"/>
      <c r="O577" s="170"/>
      <c r="P577" s="170"/>
      <c r="Q577" s="170"/>
      <c r="R577" s="170"/>
      <c r="S577" s="170"/>
      <c r="T577" s="170"/>
      <c r="U577" s="170"/>
      <c r="V577" s="170"/>
      <c r="W577" s="170"/>
      <c r="X577" s="170"/>
      <c r="Y577" s="170"/>
      <c r="Z577" s="170"/>
    </row>
    <row r="578" spans="1:26" x14ac:dyDescent="0.2">
      <c r="A578" s="426"/>
      <c r="B578" s="261" t="s">
        <v>635</v>
      </c>
      <c r="C578" s="185" t="s">
        <v>677</v>
      </c>
      <c r="D578" s="186"/>
      <c r="E578" s="262">
        <f>G248</f>
        <v>3.9086399999999992</v>
      </c>
      <c r="F578" s="83">
        <f>G255</f>
        <v>493.23999999999995</v>
      </c>
      <c r="G578" s="83">
        <f>G256</f>
        <v>480</v>
      </c>
      <c r="H578" s="263">
        <f>H269</f>
        <v>1.6846000000000003</v>
      </c>
      <c r="I578" s="83">
        <f>H267</f>
        <v>1256.6400000000001</v>
      </c>
      <c r="J578" s="84">
        <f>H268</f>
        <v>380</v>
      </c>
      <c r="K578" s="427"/>
      <c r="O578" s="170"/>
      <c r="P578" s="170"/>
      <c r="Q578" s="170"/>
      <c r="R578" s="170"/>
      <c r="S578" s="170"/>
      <c r="T578" s="170"/>
      <c r="U578" s="170"/>
      <c r="V578" s="170"/>
      <c r="W578" s="170"/>
      <c r="X578" s="170"/>
      <c r="Y578" s="170"/>
      <c r="Z578" s="170"/>
    </row>
    <row r="579" spans="1:26" x14ac:dyDescent="0.2">
      <c r="A579" s="426"/>
      <c r="B579" s="264"/>
      <c r="C579" s="189" t="s">
        <v>678</v>
      </c>
      <c r="D579" s="190"/>
      <c r="E579" s="265">
        <f>G284</f>
        <v>2.9539199999999997</v>
      </c>
      <c r="F579" s="75">
        <f>G290</f>
        <v>427.71999999999997</v>
      </c>
      <c r="G579" s="75">
        <f>G291</f>
        <v>480</v>
      </c>
      <c r="H579" s="191">
        <f>H304</f>
        <v>2.62608</v>
      </c>
      <c r="I579" s="75">
        <f>F302</f>
        <v>628.32000000000005</v>
      </c>
      <c r="J579" s="76">
        <f>F303</f>
        <v>380</v>
      </c>
      <c r="K579" s="427"/>
      <c r="O579" s="170"/>
      <c r="P579" s="170"/>
      <c r="Q579" s="170"/>
      <c r="R579" s="170"/>
      <c r="S579" s="170"/>
      <c r="T579" s="170"/>
      <c r="U579" s="170"/>
      <c r="V579" s="170"/>
      <c r="W579" s="170"/>
      <c r="X579" s="170"/>
      <c r="Y579" s="170"/>
      <c r="Z579" s="170"/>
    </row>
    <row r="580" spans="1:26" x14ac:dyDescent="0.2">
      <c r="A580" s="426"/>
      <c r="B580" s="217"/>
      <c r="C580" s="217"/>
      <c r="D580" s="217"/>
      <c r="E580" s="217"/>
      <c r="F580" s="217"/>
      <c r="G580" s="217"/>
      <c r="H580" s="217"/>
      <c r="I580" s="217"/>
      <c r="J580" s="217"/>
      <c r="K580" s="427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</row>
    <row r="581" spans="1:26" x14ac:dyDescent="0.2">
      <c r="A581" s="655"/>
      <c r="B581" s="217"/>
      <c r="C581" s="217"/>
      <c r="D581" s="217"/>
      <c r="E581" s="217"/>
      <c r="F581" s="217"/>
      <c r="G581" s="217"/>
      <c r="H581" s="217"/>
      <c r="I581" s="217"/>
      <c r="J581" s="217"/>
      <c r="K581" s="427"/>
      <c r="O581" s="170"/>
      <c r="P581" s="170"/>
      <c r="Q581" s="170"/>
      <c r="R581" s="170"/>
      <c r="S581" s="170"/>
      <c r="T581" s="170"/>
      <c r="U581" s="170"/>
      <c r="V581" s="170"/>
      <c r="W581" s="170"/>
      <c r="X581" s="170"/>
      <c r="Y581" s="170"/>
      <c r="Z581" s="170"/>
    </row>
    <row r="582" spans="1:26" x14ac:dyDescent="0.2">
      <c r="A582" s="426"/>
      <c r="B582" s="654" t="s">
        <v>679</v>
      </c>
      <c r="C582" s="217"/>
      <c r="D582" s="217"/>
      <c r="E582" s="217"/>
      <c r="F582" s="217"/>
      <c r="G582" s="217"/>
      <c r="H582" s="217"/>
      <c r="I582" s="217"/>
      <c r="J582" s="217"/>
      <c r="K582" s="427"/>
      <c r="O582" s="170"/>
      <c r="P582" s="170"/>
      <c r="Q582" s="170"/>
      <c r="R582" s="170"/>
      <c r="S582" s="170"/>
      <c r="T582" s="170"/>
      <c r="U582" s="170"/>
      <c r="V582" s="170"/>
      <c r="W582" s="170"/>
      <c r="X582" s="170"/>
      <c r="Y582" s="170"/>
      <c r="Z582" s="170"/>
    </row>
    <row r="583" spans="1:26" x14ac:dyDescent="0.2">
      <c r="A583" s="426"/>
      <c r="B583" s="258"/>
      <c r="C583" s="245"/>
      <c r="D583" s="243" t="s">
        <v>680</v>
      </c>
      <c r="E583" s="246" t="s">
        <v>317</v>
      </c>
      <c r="F583" s="246" t="s">
        <v>681</v>
      </c>
      <c r="G583" s="246" t="s">
        <v>682</v>
      </c>
      <c r="H583" s="247" t="s">
        <v>683</v>
      </c>
      <c r="I583" s="248" t="s">
        <v>317</v>
      </c>
      <c r="J583" s="217"/>
      <c r="K583" s="427"/>
      <c r="O583" s="170"/>
      <c r="P583" s="170"/>
      <c r="Q583" s="170"/>
      <c r="R583" s="170"/>
      <c r="S583" s="170"/>
      <c r="T583" s="170"/>
      <c r="U583" s="170"/>
      <c r="V583" s="170"/>
      <c r="W583" s="170"/>
      <c r="X583" s="170"/>
      <c r="Y583" s="170"/>
      <c r="Z583" s="170"/>
    </row>
    <row r="584" spans="1:26" x14ac:dyDescent="0.2">
      <c r="A584" s="426"/>
      <c r="B584" s="239" t="s">
        <v>196</v>
      </c>
      <c r="C584" s="186"/>
      <c r="D584" s="239" t="s">
        <v>684</v>
      </c>
      <c r="E584" s="222" t="s">
        <v>685</v>
      </c>
      <c r="F584" s="249" t="s">
        <v>686</v>
      </c>
      <c r="G584" s="249" t="s">
        <v>687</v>
      </c>
      <c r="H584" s="222" t="s">
        <v>688</v>
      </c>
      <c r="I584" s="250" t="s">
        <v>689</v>
      </c>
      <c r="J584" s="217"/>
      <c r="K584" s="427"/>
      <c r="O584" s="170"/>
      <c r="P584" s="170"/>
      <c r="Q584" s="170"/>
      <c r="R584" s="170"/>
      <c r="S584" s="170"/>
      <c r="T584" s="170"/>
      <c r="U584" s="170"/>
      <c r="V584" s="170"/>
      <c r="W584" s="170"/>
      <c r="X584" s="170"/>
      <c r="Y584" s="170"/>
      <c r="Z584" s="170"/>
    </row>
    <row r="585" spans="1:26" x14ac:dyDescent="0.2">
      <c r="A585" s="426"/>
      <c r="B585" s="216"/>
      <c r="C585" s="186"/>
      <c r="D585" s="185" t="s">
        <v>648</v>
      </c>
      <c r="E585" s="222" t="s">
        <v>690</v>
      </c>
      <c r="F585" s="249" t="s">
        <v>691</v>
      </c>
      <c r="G585" s="249" t="s">
        <v>692</v>
      </c>
      <c r="H585" s="249" t="s">
        <v>693</v>
      </c>
      <c r="I585" s="250" t="s">
        <v>694</v>
      </c>
      <c r="J585" s="217"/>
      <c r="K585" s="427"/>
      <c r="O585" s="170"/>
      <c r="P585" s="170"/>
      <c r="Q585" s="170"/>
      <c r="R585" s="170"/>
      <c r="S585" s="170"/>
      <c r="T585" s="170"/>
      <c r="U585" s="170"/>
      <c r="V585" s="170"/>
      <c r="W585" s="170"/>
      <c r="X585" s="170"/>
      <c r="Y585" s="170"/>
      <c r="Z585" s="170"/>
    </row>
    <row r="586" spans="1:26" x14ac:dyDescent="0.2">
      <c r="A586" s="426"/>
      <c r="B586" s="216"/>
      <c r="C586" s="186"/>
      <c r="D586" s="239" t="s">
        <v>215</v>
      </c>
      <c r="E586" s="249" t="s">
        <v>695</v>
      </c>
      <c r="F586" s="249" t="s">
        <v>695</v>
      </c>
      <c r="G586" s="249" t="s">
        <v>468</v>
      </c>
      <c r="H586" s="249" t="s">
        <v>215</v>
      </c>
      <c r="I586" s="259" t="s">
        <v>695</v>
      </c>
      <c r="J586" s="217"/>
      <c r="K586" s="427"/>
      <c r="O586" s="170"/>
      <c r="P586" s="170"/>
      <c r="Q586" s="170"/>
      <c r="R586" s="170"/>
      <c r="S586" s="170"/>
      <c r="T586" s="170"/>
      <c r="U586" s="170"/>
      <c r="V586" s="170"/>
      <c r="W586" s="170"/>
      <c r="X586" s="170"/>
      <c r="Y586" s="170"/>
      <c r="Z586" s="170"/>
    </row>
    <row r="587" spans="1:26" x14ac:dyDescent="0.2">
      <c r="A587" s="426"/>
      <c r="B587" s="251"/>
      <c r="C587" s="186"/>
      <c r="D587" s="189"/>
      <c r="E587" s="195"/>
      <c r="F587" s="195"/>
      <c r="G587" s="195"/>
      <c r="H587" s="195"/>
      <c r="I587" s="193"/>
      <c r="J587" s="217"/>
      <c r="K587" s="427"/>
      <c r="O587" s="170"/>
      <c r="P587" s="170"/>
      <c r="Q587" s="170"/>
      <c r="R587" s="170"/>
      <c r="S587" s="170"/>
      <c r="T587" s="170"/>
      <c r="U587" s="170"/>
      <c r="V587" s="170"/>
      <c r="W587" s="170"/>
      <c r="X587" s="170"/>
      <c r="Y587" s="170"/>
      <c r="Z587" s="170"/>
    </row>
    <row r="588" spans="1:26" x14ac:dyDescent="0.2">
      <c r="A588" s="426"/>
      <c r="B588" s="239" t="s">
        <v>635</v>
      </c>
      <c r="C588" s="186"/>
      <c r="D588" s="82">
        <f>C216</f>
        <v>20</v>
      </c>
      <c r="E588" s="83">
        <f>F220</f>
        <v>840.99690843664825</v>
      </c>
      <c r="F588" s="83">
        <f>H220</f>
        <v>1103</v>
      </c>
      <c r="G588" s="263">
        <f>H223</f>
        <v>134.55148934251721</v>
      </c>
      <c r="H588" s="83">
        <f>H224</f>
        <v>502.65482457436696</v>
      </c>
      <c r="I588" s="84">
        <f>H225</f>
        <v>520.84900622411885</v>
      </c>
      <c r="J588" s="217"/>
      <c r="K588" s="427"/>
      <c r="O588" s="170"/>
      <c r="P588" s="170"/>
      <c r="Q588" s="170"/>
      <c r="R588" s="170"/>
      <c r="S588" s="170"/>
      <c r="T588" s="170"/>
      <c r="U588" s="170"/>
      <c r="V588" s="170"/>
      <c r="W588" s="170"/>
      <c r="X588" s="170"/>
      <c r="Y588" s="170"/>
      <c r="Z588" s="170"/>
    </row>
    <row r="589" spans="1:26" x14ac:dyDescent="0.2">
      <c r="A589" s="426"/>
      <c r="B589" s="239" t="s">
        <v>636</v>
      </c>
      <c r="C589" s="186"/>
      <c r="D589" s="85">
        <f>C362</f>
        <v>16</v>
      </c>
      <c r="E589" s="86">
        <f>F365</f>
        <v>1051.2461355458104</v>
      </c>
      <c r="F589" s="86">
        <f>H365</f>
        <v>1103</v>
      </c>
      <c r="G589" s="187">
        <f>H368</f>
        <v>-191.65714821854939</v>
      </c>
      <c r="H589" s="86">
        <f>H369</f>
        <v>335.10321638291123</v>
      </c>
      <c r="I589" s="87">
        <f>H370</f>
        <v>-1023.8290280469918</v>
      </c>
      <c r="J589" s="217"/>
      <c r="K589" s="427"/>
      <c r="O589" s="170"/>
      <c r="P589" s="170"/>
      <c r="Q589" s="170"/>
      <c r="R589" s="170"/>
      <c r="S589" s="170"/>
      <c r="T589" s="170"/>
      <c r="U589" s="170"/>
      <c r="V589" s="170"/>
      <c r="W589" s="170"/>
      <c r="X589" s="170"/>
      <c r="Y589" s="170"/>
      <c r="Z589" s="170"/>
    </row>
    <row r="590" spans="1:26" x14ac:dyDescent="0.2">
      <c r="A590" s="426"/>
      <c r="B590" s="239" t="s">
        <v>696</v>
      </c>
      <c r="C590" s="186"/>
      <c r="D590" s="85">
        <f>C421</f>
        <v>16</v>
      </c>
      <c r="E590" s="86">
        <f>G425</f>
        <v>1051.2461355458104</v>
      </c>
      <c r="F590" s="86">
        <f>I425</f>
        <v>1103</v>
      </c>
      <c r="G590" s="187">
        <f>I383</f>
        <v>165.92934459935267</v>
      </c>
      <c r="H590" s="86">
        <f>H429</f>
        <v>335.10321638291123</v>
      </c>
      <c r="I590" s="87">
        <f>G428</f>
        <v>282.55291929724666</v>
      </c>
      <c r="J590" s="217"/>
      <c r="K590" s="427"/>
      <c r="O590" s="170"/>
      <c r="P590" s="170"/>
      <c r="Q590" s="170"/>
      <c r="R590" s="170"/>
      <c r="S590" s="170"/>
      <c r="T590" s="170"/>
      <c r="U590" s="170"/>
      <c r="V590" s="170"/>
      <c r="W590" s="170"/>
      <c r="X590" s="170"/>
      <c r="Y590" s="170"/>
      <c r="Z590" s="170"/>
    </row>
    <row r="591" spans="1:26" x14ac:dyDescent="0.2">
      <c r="A591" s="426"/>
      <c r="B591" s="251"/>
      <c r="C591" s="186"/>
      <c r="D591" s="251"/>
      <c r="E591" s="266"/>
      <c r="F591" s="266"/>
      <c r="G591" s="266"/>
      <c r="H591" s="266"/>
      <c r="I591" s="267"/>
      <c r="J591" s="217"/>
      <c r="K591" s="427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</row>
    <row r="592" spans="1:26" x14ac:dyDescent="0.2">
      <c r="A592" s="426"/>
      <c r="B592" s="216"/>
      <c r="C592" s="259" t="s">
        <v>637</v>
      </c>
      <c r="D592" s="240" t="str">
        <f>B220</f>
        <v>bs(allow)    =</v>
      </c>
      <c r="E592" s="217"/>
      <c r="F592" s="217">
        <f>F220</f>
        <v>840.99690843664825</v>
      </c>
      <c r="G592" s="217" t="str">
        <f>G220</f>
        <v>KN/m²   &lt;</v>
      </c>
      <c r="H592" s="187">
        <f>H220</f>
        <v>1103</v>
      </c>
      <c r="I592" s="188" t="str">
        <f>I220</f>
        <v>KN/m²</v>
      </c>
      <c r="J592" s="217"/>
      <c r="K592" s="458" t="s">
        <v>199</v>
      </c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</row>
    <row r="593" spans="1:26" x14ac:dyDescent="0.2">
      <c r="A593" s="426"/>
      <c r="B593" s="183"/>
      <c r="C593" s="190"/>
      <c r="D593" s="268" t="str">
        <f>B221</f>
        <v>Use   bs(allow)  =</v>
      </c>
      <c r="E593" s="191"/>
      <c r="F593" s="191">
        <f>F221</f>
        <v>840.99690843664825</v>
      </c>
      <c r="G593" s="75" t="str">
        <f>G221</f>
        <v>KN/m²</v>
      </c>
      <c r="H593" s="191" t="str">
        <f>H221</f>
        <v>&lt;-----</v>
      </c>
      <c r="I593" s="190"/>
      <c r="J593" s="217"/>
      <c r="K593" s="427"/>
      <c r="O593" s="170"/>
      <c r="P593" s="170"/>
      <c r="Q593" s="170"/>
      <c r="R593" s="170"/>
      <c r="S593" s="170"/>
      <c r="T593" s="170"/>
      <c r="U593" s="170"/>
      <c r="V593" s="170"/>
      <c r="W593" s="170"/>
      <c r="X593" s="170"/>
      <c r="Y593" s="170"/>
      <c r="Z593" s="170"/>
    </row>
    <row r="594" spans="1:26" x14ac:dyDescent="0.2">
      <c r="A594" s="426"/>
      <c r="B594" s="217"/>
      <c r="C594" s="217"/>
      <c r="D594" s="217"/>
      <c r="E594" s="217"/>
      <c r="F594" s="217"/>
      <c r="G594" s="217"/>
      <c r="H594" s="217"/>
      <c r="I594" s="217"/>
      <c r="J594" s="217"/>
      <c r="K594" s="427"/>
      <c r="O594" s="170"/>
      <c r="P594" s="170"/>
      <c r="Q594" s="170"/>
      <c r="R594" s="170"/>
      <c r="S594" s="170"/>
      <c r="T594" s="170"/>
      <c r="U594" s="170"/>
      <c r="V594" s="170"/>
      <c r="W594" s="170"/>
      <c r="X594" s="170"/>
      <c r="Y594" s="170"/>
      <c r="Z594" s="170"/>
    </row>
    <row r="595" spans="1:26" x14ac:dyDescent="0.2">
      <c r="A595" s="426"/>
      <c r="B595" s="217"/>
      <c r="C595" s="217"/>
      <c r="D595" s="217"/>
      <c r="E595" s="217"/>
      <c r="F595" s="217"/>
      <c r="G595" s="217"/>
      <c r="H595" s="217"/>
      <c r="I595" s="217"/>
      <c r="J595" s="217"/>
      <c r="K595" s="427"/>
      <c r="O595" s="170"/>
      <c r="P595" s="170"/>
      <c r="Q595" s="170"/>
      <c r="R595" s="170"/>
      <c r="S595" s="170"/>
      <c r="T595" s="170"/>
      <c r="U595" s="170"/>
      <c r="V595" s="170"/>
      <c r="W595" s="170"/>
      <c r="X595" s="170"/>
      <c r="Y595" s="170"/>
      <c r="Z595" s="170"/>
    </row>
    <row r="596" spans="1:26" ht="13.5" thickBot="1" x14ac:dyDescent="0.25">
      <c r="A596" s="429"/>
      <c r="B596" s="430"/>
      <c r="C596" s="430"/>
      <c r="D596" s="430"/>
      <c r="E596" s="430"/>
      <c r="F596" s="430"/>
      <c r="G596" s="430"/>
      <c r="H596" s="430"/>
      <c r="I596" s="430"/>
      <c r="J596" s="430"/>
      <c r="K596" s="650" t="s">
        <v>2431</v>
      </c>
      <c r="O596" s="170"/>
      <c r="P596" s="170"/>
      <c r="Q596" s="170"/>
      <c r="R596" s="170"/>
      <c r="S596" s="170"/>
      <c r="T596" s="170"/>
      <c r="U596" s="170"/>
      <c r="V596" s="170"/>
      <c r="W596" s="170"/>
      <c r="X596" s="170"/>
      <c r="Y596" s="170"/>
      <c r="Z596" s="170"/>
    </row>
    <row r="597" spans="1:26" x14ac:dyDescent="0.2">
      <c r="O597" s="170"/>
      <c r="P597" s="170"/>
      <c r="Q597" s="170"/>
      <c r="R597" s="170"/>
      <c r="S597" s="170"/>
      <c r="T597" s="170"/>
      <c r="U597" s="170"/>
      <c r="V597" s="170"/>
      <c r="W597" s="170"/>
      <c r="X597" s="170"/>
      <c r="Y597" s="170"/>
      <c r="Z597" s="170"/>
    </row>
    <row r="598" spans="1:26" x14ac:dyDescent="0.2">
      <c r="O598" s="170"/>
      <c r="P598" s="170"/>
      <c r="Q598" s="170"/>
      <c r="R598" s="170"/>
      <c r="S598" s="170"/>
      <c r="T598" s="170"/>
      <c r="U598" s="170"/>
      <c r="V598" s="170"/>
      <c r="W598" s="170"/>
      <c r="X598" s="170"/>
      <c r="Y598" s="170"/>
      <c r="Z598" s="170"/>
    </row>
    <row r="599" spans="1:26" x14ac:dyDescent="0.2">
      <c r="O599" s="170"/>
      <c r="P599" s="170"/>
      <c r="Q599" s="170"/>
      <c r="R599" s="170"/>
      <c r="S599" s="170"/>
      <c r="T599" s="170"/>
      <c r="U599" s="170"/>
      <c r="V599" s="170"/>
      <c r="W599" s="170"/>
      <c r="X599" s="170"/>
      <c r="Y599" s="170"/>
      <c r="Z599" s="170"/>
    </row>
    <row r="600" spans="1:26" x14ac:dyDescent="0.2">
      <c r="O600" s="170"/>
      <c r="P600" s="170"/>
      <c r="Q600" s="170"/>
      <c r="R600" s="170"/>
      <c r="S600" s="170"/>
      <c r="T600" s="170"/>
      <c r="U600" s="170"/>
      <c r="V600" s="170"/>
      <c r="W600" s="170"/>
      <c r="X600" s="170"/>
      <c r="Y600" s="170"/>
      <c r="Z600" s="170"/>
    </row>
    <row r="601" spans="1:26" x14ac:dyDescent="0.2">
      <c r="O601" s="170"/>
      <c r="P601" s="170"/>
      <c r="Q601" s="170"/>
      <c r="R601" s="170"/>
      <c r="S601" s="170"/>
      <c r="T601" s="170"/>
      <c r="U601" s="170"/>
      <c r="V601" s="170"/>
      <c r="W601" s="170"/>
      <c r="X601" s="170"/>
      <c r="Y601" s="170"/>
      <c r="Z601" s="170"/>
    </row>
    <row r="602" spans="1:26" x14ac:dyDescent="0.2">
      <c r="O602" s="170"/>
      <c r="P602" s="170"/>
      <c r="Q602" s="170"/>
      <c r="R602" s="170"/>
      <c r="S602" s="170"/>
      <c r="T602" s="170"/>
      <c r="U602" s="170"/>
      <c r="V602" s="170"/>
      <c r="W602" s="170"/>
      <c r="X602" s="170"/>
      <c r="Y602" s="170"/>
      <c r="Z602" s="170"/>
    </row>
    <row r="603" spans="1:26" x14ac:dyDescent="0.2">
      <c r="O603" s="170"/>
      <c r="P603" s="170"/>
      <c r="Q603" s="170"/>
      <c r="R603" s="170"/>
      <c r="S603" s="170"/>
      <c r="T603" s="170"/>
      <c r="U603" s="170"/>
      <c r="V603" s="170"/>
      <c r="W603" s="170"/>
      <c r="X603" s="170"/>
      <c r="Y603" s="170"/>
      <c r="Z603" s="170"/>
    </row>
    <row r="604" spans="1:26" x14ac:dyDescent="0.2"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</row>
    <row r="605" spans="1:26" x14ac:dyDescent="0.2"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</row>
    <row r="606" spans="1:26" x14ac:dyDescent="0.2">
      <c r="O606" s="170"/>
      <c r="P606" s="170"/>
      <c r="Q606" s="170"/>
      <c r="R606" s="170"/>
      <c r="S606" s="170"/>
      <c r="T606" s="170"/>
      <c r="U606" s="170"/>
      <c r="V606" s="170"/>
      <c r="W606" s="170"/>
      <c r="X606" s="170"/>
      <c r="Y606" s="170"/>
      <c r="Z606" s="170"/>
    </row>
    <row r="607" spans="1:26" x14ac:dyDescent="0.2">
      <c r="O607" s="170"/>
      <c r="P607" s="170"/>
      <c r="Q607" s="170"/>
      <c r="R607" s="170"/>
      <c r="S607" s="170"/>
      <c r="T607" s="170"/>
      <c r="U607" s="170"/>
      <c r="V607" s="170"/>
      <c r="W607" s="170"/>
      <c r="X607" s="170"/>
      <c r="Y607" s="170"/>
      <c r="Z607" s="170"/>
    </row>
    <row r="608" spans="1:26" x14ac:dyDescent="0.2">
      <c r="O608" s="170"/>
      <c r="P608" s="170"/>
      <c r="Q608" s="170"/>
      <c r="R608" s="170"/>
      <c r="S608" s="170"/>
      <c r="T608" s="170"/>
      <c r="U608" s="170"/>
      <c r="V608" s="170"/>
      <c r="W608" s="170"/>
      <c r="X608" s="170"/>
      <c r="Y608" s="170"/>
      <c r="Z608" s="170"/>
    </row>
    <row r="609" spans="1:26" x14ac:dyDescent="0.2">
      <c r="O609" s="170"/>
      <c r="P609" s="170"/>
      <c r="Q609" s="170"/>
      <c r="R609" s="170"/>
      <c r="S609" s="170"/>
      <c r="T609" s="170"/>
      <c r="U609" s="170"/>
      <c r="V609" s="170"/>
      <c r="W609" s="170"/>
      <c r="X609" s="170"/>
      <c r="Y609" s="170"/>
      <c r="Z609" s="170"/>
    </row>
    <row r="610" spans="1:26" x14ac:dyDescent="0.2">
      <c r="O610" s="170"/>
      <c r="P610" s="170"/>
      <c r="Q610" s="170"/>
      <c r="R610" s="170"/>
      <c r="S610" s="170"/>
      <c r="T610" s="170"/>
      <c r="U610" s="170"/>
      <c r="V610" s="170"/>
      <c r="W610" s="170"/>
      <c r="X610" s="170"/>
      <c r="Y610" s="170"/>
      <c r="Z610" s="170"/>
    </row>
    <row r="611" spans="1:26" x14ac:dyDescent="0.2">
      <c r="O611" s="170"/>
      <c r="P611" s="170"/>
      <c r="Q611" s="170"/>
      <c r="R611" s="170"/>
      <c r="S611" s="170"/>
      <c r="T611" s="170"/>
      <c r="U611" s="170"/>
      <c r="V611" s="170"/>
      <c r="W611" s="170"/>
      <c r="X611" s="170"/>
      <c r="Y611" s="170"/>
      <c r="Z611" s="170"/>
    </row>
    <row r="612" spans="1:26" x14ac:dyDescent="0.2">
      <c r="A612" s="170"/>
      <c r="B612" s="170"/>
      <c r="C612" s="170"/>
      <c r="D612" s="170"/>
      <c r="E612" s="170"/>
      <c r="F612" s="170"/>
      <c r="G612" s="170"/>
      <c r="H612" s="170"/>
      <c r="I612" s="170"/>
      <c r="J612" s="170"/>
      <c r="K612" s="170"/>
      <c r="L612" s="170"/>
      <c r="M612" s="170"/>
      <c r="N612" s="170"/>
      <c r="O612" s="170"/>
      <c r="P612" s="170"/>
      <c r="Q612" s="170"/>
      <c r="R612" s="170"/>
      <c r="S612" s="170"/>
      <c r="T612" s="170"/>
      <c r="U612" s="170"/>
      <c r="V612" s="170"/>
      <c r="W612" s="170"/>
      <c r="X612" s="170"/>
      <c r="Y612" s="170"/>
      <c r="Z612" s="170"/>
    </row>
  </sheetData>
  <mergeCells count="8">
    <mergeCell ref="G528:H528"/>
    <mergeCell ref="E552:F552"/>
    <mergeCell ref="E485:H485"/>
    <mergeCell ref="D486:E486"/>
    <mergeCell ref="H486:I486"/>
    <mergeCell ref="E497:H497"/>
    <mergeCell ref="C498:F498"/>
    <mergeCell ref="G498:J498"/>
  </mergeCells>
  <pageMargins left="0.75" right="0.25" top="0.75" bottom="0.75" header="0.3" footer="0.3"/>
  <pageSetup paperSize="9" scale="90" orientation="portrait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72"/>
  <sheetViews>
    <sheetView topLeftCell="A22" zoomScaleNormal="100" workbookViewId="0">
      <selection activeCell="O256" sqref="O256"/>
    </sheetView>
  </sheetViews>
  <sheetFormatPr defaultRowHeight="12.75" x14ac:dyDescent="0.2"/>
  <cols>
    <col min="1" max="1" width="4" style="357" customWidth="1"/>
    <col min="2" max="16384" width="9.140625" style="357"/>
  </cols>
  <sheetData>
    <row r="1" spans="1:12" ht="12" customHeight="1" x14ac:dyDescent="0.2">
      <c r="A1" s="6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720"/>
    </row>
    <row r="2" spans="1:12" ht="12" customHeight="1" x14ac:dyDescent="0.2">
      <c r="A2" s="721" t="s">
        <v>2031</v>
      </c>
      <c r="B2" s="722"/>
      <c r="C2" s="722" t="str">
        <f>'Design Data'!C2</f>
        <v>Coastal Embankment Improvement Project Phase-1, CEIP-1.</v>
      </c>
      <c r="D2" s="722"/>
      <c r="E2" s="722"/>
      <c r="F2" s="722"/>
      <c r="G2" s="722"/>
      <c r="H2" s="722"/>
      <c r="I2" s="371"/>
      <c r="J2" s="371"/>
      <c r="K2" s="371"/>
      <c r="L2" s="557"/>
    </row>
    <row r="3" spans="1:12" ht="12" customHeight="1" x14ac:dyDescent="0.2">
      <c r="A3" s="723" t="s">
        <v>2032</v>
      </c>
      <c r="B3" s="724"/>
      <c r="C3" s="703" t="str">
        <f>'Design Data'!C5</f>
        <v>Khulna</v>
      </c>
      <c r="D3" s="703"/>
      <c r="E3" s="703"/>
      <c r="F3" s="703"/>
      <c r="G3" s="703"/>
      <c r="H3" s="703"/>
      <c r="I3" s="395"/>
      <c r="J3" s="395"/>
      <c r="K3" s="395"/>
      <c r="L3" s="484"/>
    </row>
    <row r="4" spans="1:12" ht="12" customHeight="1" x14ac:dyDescent="0.2">
      <c r="A4" s="725" t="s">
        <v>2033</v>
      </c>
      <c r="B4" s="726"/>
      <c r="C4" s="446" t="str">
        <f>'Design Data'!C4</f>
        <v>DR-5</v>
      </c>
      <c r="D4" s="395"/>
      <c r="E4" s="461" t="s">
        <v>1966</v>
      </c>
      <c r="F4" s="446" t="str">
        <f>'Basin (RS)'!H3</f>
        <v>1.50m x 1.80m</v>
      </c>
      <c r="G4" s="395"/>
      <c r="H4" s="395"/>
      <c r="I4" s="371"/>
      <c r="J4" s="371"/>
      <c r="K4" s="395"/>
      <c r="L4" s="484"/>
    </row>
    <row r="5" spans="1:12" ht="12" customHeight="1" x14ac:dyDescent="0.2">
      <c r="A5" s="727"/>
      <c r="B5" s="371"/>
      <c r="C5" s="371"/>
      <c r="D5" s="395"/>
      <c r="E5" s="446" t="s">
        <v>2374</v>
      </c>
      <c r="F5" s="446"/>
      <c r="G5" s="728">
        <f>'Design Data'!D22</f>
        <v>1</v>
      </c>
      <c r="H5" s="395"/>
      <c r="I5" s="395"/>
      <c r="J5" s="395"/>
      <c r="K5" s="395"/>
      <c r="L5" s="484"/>
    </row>
    <row r="6" spans="1:12" ht="12" customHeight="1" x14ac:dyDescent="0.2">
      <c r="A6" s="725" t="s">
        <v>2274</v>
      </c>
      <c r="B6" s="371"/>
      <c r="C6" s="395"/>
      <c r="D6" s="395"/>
      <c r="E6" s="395"/>
      <c r="F6" s="395"/>
      <c r="G6" s="395"/>
      <c r="H6" s="395"/>
      <c r="I6" s="395"/>
      <c r="J6" s="395"/>
      <c r="K6" s="395"/>
      <c r="L6" s="484"/>
    </row>
    <row r="7" spans="1:12" ht="12" customHeight="1" x14ac:dyDescent="0.2">
      <c r="A7" s="725"/>
      <c r="B7" s="371"/>
      <c r="C7" s="395"/>
      <c r="D7" s="395"/>
      <c r="E7" s="395"/>
      <c r="F7" s="395"/>
      <c r="G7" s="395"/>
      <c r="H7" s="395"/>
      <c r="I7" s="395"/>
      <c r="J7" s="395"/>
      <c r="K7" s="395"/>
      <c r="L7" s="484"/>
    </row>
    <row r="8" spans="1:12" ht="12" customHeight="1" x14ac:dyDescent="0.2">
      <c r="A8" s="725" t="s">
        <v>704</v>
      </c>
      <c r="B8" s="371"/>
      <c r="C8" s="395"/>
      <c r="D8" s="395"/>
      <c r="E8" s="395"/>
      <c r="F8" s="395"/>
      <c r="G8" s="395"/>
      <c r="H8" s="395"/>
      <c r="I8" s="395"/>
      <c r="J8" s="395"/>
      <c r="K8" s="395"/>
      <c r="L8" s="484"/>
    </row>
    <row r="9" spans="1:12" ht="12" customHeight="1" x14ac:dyDescent="0.2">
      <c r="A9" s="725"/>
      <c r="B9" s="371"/>
      <c r="C9" s="395"/>
      <c r="D9" s="395"/>
      <c r="E9" s="395" t="s">
        <v>2240</v>
      </c>
      <c r="F9" s="395" t="s">
        <v>729</v>
      </c>
      <c r="G9" s="395" t="s">
        <v>2241</v>
      </c>
      <c r="H9" s="395" t="s">
        <v>2242</v>
      </c>
      <c r="I9" s="395" t="s">
        <v>2243</v>
      </c>
      <c r="J9" s="395" t="s">
        <v>2244</v>
      </c>
      <c r="K9" s="703" t="s">
        <v>2251</v>
      </c>
      <c r="L9" s="729"/>
    </row>
    <row r="10" spans="1:12" ht="12" customHeight="1" x14ac:dyDescent="0.2">
      <c r="A10" s="725"/>
      <c r="B10" s="371"/>
      <c r="C10" s="395"/>
      <c r="D10" s="395"/>
      <c r="E10" s="395" t="s">
        <v>2245</v>
      </c>
      <c r="F10" s="395" t="s">
        <v>2245</v>
      </c>
      <c r="G10" s="395" t="s">
        <v>2245</v>
      </c>
      <c r="H10" s="395" t="s">
        <v>345</v>
      </c>
      <c r="I10" s="395" t="s">
        <v>2246</v>
      </c>
      <c r="J10" s="395" t="s">
        <v>2362</v>
      </c>
      <c r="K10" s="703" t="s">
        <v>2445</v>
      </c>
      <c r="L10" s="729"/>
    </row>
    <row r="11" spans="1:12" ht="12" customHeight="1" x14ac:dyDescent="0.2">
      <c r="A11" s="725"/>
      <c r="B11" s="406" t="s">
        <v>2247</v>
      </c>
      <c r="C11" s="371"/>
      <c r="D11" s="371"/>
      <c r="E11" s="663">
        <f>'Struct4 wing(CS)'!D1058</f>
        <v>16.2</v>
      </c>
      <c r="F11" s="663">
        <f xml:space="preserve">  'Basin (CS)'!E337</f>
        <v>3.2000000000000011</v>
      </c>
      <c r="G11" s="663">
        <f>E11-F11</f>
        <v>12.999999999999998</v>
      </c>
      <c r="H11" s="663">
        <f>'Basin (CS)'!F19</f>
        <v>-2.1</v>
      </c>
      <c r="I11" s="663">
        <f>'Struct5-Retwall(CS)'!F29</f>
        <v>2</v>
      </c>
      <c r="J11" s="663">
        <f>'Design Data'!E38</f>
        <v>3</v>
      </c>
      <c r="K11" s="395">
        <f>'Design Data'!E12</f>
        <v>5.0999999999999996</v>
      </c>
      <c r="L11" s="484"/>
    </row>
    <row r="12" spans="1:12" ht="12" customHeight="1" x14ac:dyDescent="0.2">
      <c r="A12" s="725"/>
      <c r="B12" s="371" t="s">
        <v>2248</v>
      </c>
      <c r="C12" s="371"/>
      <c r="D12" s="371"/>
      <c r="E12" s="663">
        <f>'Struct2(Barrel)'!H71</f>
        <v>13.8</v>
      </c>
      <c r="F12" s="371"/>
      <c r="G12" s="371"/>
      <c r="H12" s="663">
        <f>'Struct2(Barrel)'!E37</f>
        <v>-1.2</v>
      </c>
      <c r="I12" s="663"/>
      <c r="J12" s="371"/>
      <c r="K12" s="395"/>
      <c r="L12" s="484"/>
    </row>
    <row r="13" spans="1:12" ht="12" customHeight="1" x14ac:dyDescent="0.2">
      <c r="A13" s="727"/>
      <c r="B13" s="371" t="s">
        <v>2249</v>
      </c>
      <c r="C13" s="371"/>
      <c r="D13" s="371"/>
      <c r="E13" s="663">
        <f>'Struct4 wing(RS)'!D1016</f>
        <v>16.2</v>
      </c>
      <c r="F13" s="663">
        <f>'Struct4 wing(RS)'!D1012</f>
        <v>3.45</v>
      </c>
      <c r="G13" s="663">
        <f>E13-F13</f>
        <v>12.75</v>
      </c>
      <c r="H13" s="663">
        <f>'Basin (RS)'!F17</f>
        <v>-2.25</v>
      </c>
      <c r="I13" s="663">
        <f>'Struct5-Retwall (RS)'!F29</f>
        <v>2</v>
      </c>
      <c r="J13" s="730">
        <f>'Basin (RS)'!F25</f>
        <v>3.5</v>
      </c>
      <c r="K13" s="395"/>
      <c r="L13" s="484"/>
    </row>
    <row r="14" spans="1:12" ht="12" customHeight="1" x14ac:dyDescent="0.2">
      <c r="A14" s="731"/>
      <c r="B14" s="371" t="s">
        <v>2250</v>
      </c>
      <c r="C14" s="371"/>
      <c r="D14" s="371"/>
      <c r="E14" s="663">
        <f>E11+I11+E12+E13+I13</f>
        <v>50.2</v>
      </c>
      <c r="F14" s="663"/>
      <c r="G14" s="663"/>
      <c r="H14" s="663"/>
      <c r="I14" s="663"/>
      <c r="J14" s="663"/>
      <c r="K14" s="395"/>
      <c r="L14" s="484"/>
    </row>
    <row r="15" spans="1:12" ht="12" customHeight="1" x14ac:dyDescent="0.2">
      <c r="A15" s="727"/>
      <c r="B15" s="371"/>
      <c r="C15" s="395"/>
      <c r="D15" s="395"/>
      <c r="E15" s="395"/>
      <c r="F15" s="395"/>
      <c r="G15" s="395"/>
      <c r="H15" s="395"/>
      <c r="I15" s="395"/>
      <c r="J15" s="395"/>
      <c r="K15" s="395"/>
      <c r="L15" s="484"/>
    </row>
    <row r="16" spans="1:12" ht="12" customHeight="1" x14ac:dyDescent="0.2">
      <c r="A16" s="727"/>
      <c r="B16" s="461" t="s">
        <v>2034</v>
      </c>
      <c r="C16" s="395"/>
      <c r="D16" s="395"/>
      <c r="E16" s="395"/>
      <c r="F16" s="395"/>
      <c r="G16" s="395"/>
      <c r="H16" s="395"/>
      <c r="I16" s="395"/>
      <c r="J16" s="395"/>
      <c r="K16" s="395"/>
      <c r="L16" s="484"/>
    </row>
    <row r="17" spans="1:12" ht="12" customHeight="1" x14ac:dyDescent="0.2">
      <c r="A17" s="727"/>
      <c r="B17" s="406" t="s">
        <v>2035</v>
      </c>
      <c r="C17" s="395"/>
      <c r="D17" s="395"/>
      <c r="E17" s="395"/>
      <c r="F17" s="395"/>
      <c r="G17" s="395">
        <f>'Design Data'!E25</f>
        <v>3.95</v>
      </c>
      <c r="H17" s="395" t="s">
        <v>2343</v>
      </c>
      <c r="I17" s="395"/>
      <c r="J17" s="395"/>
      <c r="K17" s="395"/>
      <c r="L17" s="484"/>
    </row>
    <row r="18" spans="1:12" ht="12" customHeight="1" x14ac:dyDescent="0.2">
      <c r="A18" s="727"/>
      <c r="B18" s="406" t="s">
        <v>2036</v>
      </c>
      <c r="C18" s="395"/>
      <c r="D18" s="395"/>
      <c r="E18" s="395"/>
      <c r="F18" s="395"/>
      <c r="G18" s="395">
        <f>'Basin (RS)'!F8</f>
        <v>2.61</v>
      </c>
      <c r="H18" s="395" t="s">
        <v>2343</v>
      </c>
      <c r="I18" s="395"/>
      <c r="J18" s="395"/>
      <c r="K18" s="395"/>
      <c r="L18" s="484"/>
    </row>
    <row r="19" spans="1:12" ht="12" customHeight="1" x14ac:dyDescent="0.2">
      <c r="A19" s="488"/>
      <c r="B19" s="395"/>
      <c r="C19" s="395"/>
      <c r="D19" s="395"/>
      <c r="E19" s="395"/>
      <c r="F19" s="395"/>
      <c r="G19" s="395"/>
      <c r="H19" s="395"/>
      <c r="I19" s="395"/>
      <c r="J19" s="395"/>
      <c r="K19" s="395"/>
      <c r="L19" s="484"/>
    </row>
    <row r="20" spans="1:12" ht="12" customHeight="1" x14ac:dyDescent="0.2">
      <c r="A20" s="488"/>
      <c r="B20" s="461" t="s">
        <v>2037</v>
      </c>
      <c r="C20" s="395"/>
      <c r="D20" s="395"/>
      <c r="E20" s="395"/>
      <c r="F20" s="395"/>
      <c r="G20" s="395"/>
      <c r="H20" s="395"/>
      <c r="I20" s="395"/>
      <c r="J20" s="395"/>
      <c r="K20" s="395"/>
      <c r="L20" s="484"/>
    </row>
    <row r="21" spans="1:12" ht="12" customHeight="1" x14ac:dyDescent="0.2">
      <c r="A21" s="488"/>
      <c r="B21" s="406" t="s">
        <v>2038</v>
      </c>
      <c r="C21" s="395"/>
      <c r="D21" s="395"/>
      <c r="E21" s="395"/>
      <c r="F21" s="732">
        <f>'Basin (RS)'!F8</f>
        <v>2.61</v>
      </c>
      <c r="G21" s="395" t="s">
        <v>2343</v>
      </c>
      <c r="H21" s="395"/>
      <c r="I21" s="395"/>
      <c r="J21" s="395"/>
      <c r="K21" s="395"/>
      <c r="L21" s="484"/>
    </row>
    <row r="22" spans="1:12" ht="12" customHeight="1" x14ac:dyDescent="0.2">
      <c r="A22" s="488"/>
      <c r="B22" s="406" t="s">
        <v>2039</v>
      </c>
      <c r="C22" s="395"/>
      <c r="D22" s="395"/>
      <c r="E22" s="395"/>
      <c r="F22" s="732">
        <f>'Basin (RS)'!F9</f>
        <v>0.6</v>
      </c>
      <c r="G22" s="395" t="s">
        <v>2343</v>
      </c>
      <c r="H22" s="395"/>
      <c r="I22" s="395"/>
      <c r="J22" s="395"/>
      <c r="K22" s="395"/>
      <c r="L22" s="484"/>
    </row>
    <row r="23" spans="1:12" ht="12" customHeight="1" x14ac:dyDescent="0.2">
      <c r="A23" s="488"/>
      <c r="B23" s="395"/>
      <c r="C23" s="395"/>
      <c r="D23" s="395"/>
      <c r="E23" s="395"/>
      <c r="F23" s="395"/>
      <c r="G23" s="395"/>
      <c r="H23" s="395"/>
      <c r="I23" s="395"/>
      <c r="J23" s="395"/>
      <c r="K23" s="395"/>
      <c r="L23" s="484"/>
    </row>
    <row r="24" spans="1:12" ht="12" customHeight="1" x14ac:dyDescent="0.2">
      <c r="A24" s="488"/>
      <c r="B24" s="461" t="s">
        <v>2040</v>
      </c>
      <c r="C24" s="395"/>
      <c r="D24" s="395"/>
      <c r="E24" s="395"/>
      <c r="F24" s="395"/>
      <c r="G24" s="395"/>
      <c r="H24" s="395"/>
      <c r="I24" s="395"/>
      <c r="J24" s="395"/>
      <c r="K24" s="395"/>
      <c r="L24" s="484"/>
    </row>
    <row r="25" spans="1:12" ht="12" customHeight="1" x14ac:dyDescent="0.2">
      <c r="A25" s="488"/>
      <c r="B25" s="406" t="s">
        <v>2041</v>
      </c>
      <c r="C25" s="395"/>
      <c r="D25" s="395"/>
      <c r="E25" s="395"/>
      <c r="F25" s="732">
        <f>'Basin (CS)'!F9</f>
        <v>0</v>
      </c>
      <c r="G25" s="406" t="s">
        <v>2362</v>
      </c>
      <c r="H25" s="395" t="s">
        <v>2042</v>
      </c>
      <c r="I25" s="395"/>
      <c r="J25" s="395"/>
      <c r="K25" s="395"/>
      <c r="L25" s="484" t="s">
        <v>199</v>
      </c>
    </row>
    <row r="26" spans="1:12" ht="12" customHeight="1" x14ac:dyDescent="0.2">
      <c r="A26" s="488"/>
      <c r="B26" s="406" t="s">
        <v>2043</v>
      </c>
      <c r="C26" s="395"/>
      <c r="D26" s="395"/>
      <c r="E26" s="395"/>
      <c r="F26" s="732">
        <f>'Basin (CS)'!F10</f>
        <v>3</v>
      </c>
      <c r="G26" s="733" t="s">
        <v>2362</v>
      </c>
      <c r="H26" s="473" t="s">
        <v>2044</v>
      </c>
      <c r="I26" s="395"/>
      <c r="J26" s="395"/>
      <c r="K26" s="395"/>
      <c r="L26" s="484"/>
    </row>
    <row r="27" spans="1:12" ht="12" customHeight="1" x14ac:dyDescent="0.2">
      <c r="A27" s="488"/>
      <c r="B27" s="395"/>
      <c r="C27" s="395"/>
      <c r="D27" s="395"/>
      <c r="E27" s="395"/>
      <c r="F27" s="395"/>
      <c r="G27" s="395"/>
      <c r="H27" s="395"/>
      <c r="I27" s="395"/>
      <c r="J27" s="709"/>
      <c r="K27" s="734"/>
      <c r="L27" s="557"/>
    </row>
    <row r="28" spans="1:12" ht="12" customHeight="1" x14ac:dyDescent="0.2">
      <c r="A28" s="488"/>
      <c r="B28" s="406" t="s">
        <v>2045</v>
      </c>
      <c r="C28" s="395"/>
      <c r="D28" s="395"/>
      <c r="E28" s="371"/>
      <c r="F28" s="735">
        <f>'Basin (RS)'!F18</f>
        <v>-2.1</v>
      </c>
      <c r="G28" s="395" t="s">
        <v>2343</v>
      </c>
      <c r="H28" s="395"/>
      <c r="I28" s="395"/>
      <c r="J28" s="733"/>
      <c r="K28" s="734"/>
      <c r="L28" s="557"/>
    </row>
    <row r="29" spans="1:12" ht="12" customHeight="1" x14ac:dyDescent="0.2">
      <c r="A29" s="488"/>
      <c r="B29" s="406" t="s">
        <v>2046</v>
      </c>
      <c r="C29" s="395"/>
      <c r="D29" s="395"/>
      <c r="E29" s="371"/>
      <c r="F29" s="735">
        <f>'Basin (RS)'!F17</f>
        <v>-2.25</v>
      </c>
      <c r="G29" s="395" t="s">
        <v>2343</v>
      </c>
      <c r="H29" s="395"/>
      <c r="I29" s="395"/>
      <c r="J29" s="406"/>
      <c r="K29" s="734"/>
      <c r="L29" s="557"/>
    </row>
    <row r="30" spans="1:12" ht="12" customHeight="1" x14ac:dyDescent="0.2">
      <c r="A30" s="488"/>
      <c r="B30" s="395"/>
      <c r="C30" s="395"/>
      <c r="D30" s="395"/>
      <c r="E30" s="395"/>
      <c r="F30" s="395"/>
      <c r="G30" s="395"/>
      <c r="H30" s="395"/>
      <c r="I30" s="395"/>
      <c r="J30" s="395"/>
      <c r="K30" s="395"/>
      <c r="L30" s="484"/>
    </row>
    <row r="31" spans="1:12" ht="12" customHeight="1" x14ac:dyDescent="0.2">
      <c r="A31" s="488"/>
      <c r="B31" s="406" t="s">
        <v>2047</v>
      </c>
      <c r="C31" s="395"/>
      <c r="D31" s="395"/>
      <c r="E31" s="395"/>
      <c r="F31" s="735">
        <f>F28-B34</f>
        <v>-5.0999999999999996</v>
      </c>
      <c r="G31" s="406" t="s">
        <v>24</v>
      </c>
      <c r="H31" s="371"/>
      <c r="I31" s="371"/>
      <c r="J31" s="395"/>
      <c r="K31" s="395"/>
      <c r="L31" s="484"/>
    </row>
    <row r="32" spans="1:12" ht="12" customHeight="1" x14ac:dyDescent="0.2">
      <c r="A32" s="488"/>
      <c r="B32" s="406" t="s">
        <v>2048</v>
      </c>
      <c r="C32" s="395"/>
      <c r="D32" s="395"/>
      <c r="E32" s="395"/>
      <c r="F32" s="735">
        <f>F29-B35</f>
        <v>-5.25</v>
      </c>
      <c r="G32" s="406" t="s">
        <v>24</v>
      </c>
      <c r="H32" s="371"/>
      <c r="I32" s="371"/>
      <c r="J32" s="395"/>
      <c r="K32" s="395"/>
      <c r="L32" s="484"/>
    </row>
    <row r="33" spans="1:12" ht="12" customHeight="1" x14ac:dyDescent="0.2">
      <c r="A33" s="488"/>
      <c r="B33" s="406"/>
      <c r="C33" s="395"/>
      <c r="D33" s="395"/>
      <c r="E33" s="395"/>
      <c r="F33" s="395"/>
      <c r="G33" s="395"/>
      <c r="H33" s="735"/>
      <c r="I33" s="406"/>
      <c r="J33" s="734"/>
      <c r="K33" s="395"/>
      <c r="L33" s="484"/>
    </row>
    <row r="34" spans="1:12" ht="12" customHeight="1" x14ac:dyDescent="0.2">
      <c r="A34" s="488"/>
      <c r="B34" s="734">
        <f>'Basin (RS)'!H342</f>
        <v>3</v>
      </c>
      <c r="C34" s="395" t="s">
        <v>2049</v>
      </c>
      <c r="D34" s="395"/>
      <c r="E34" s="395"/>
      <c r="F34" s="395"/>
      <c r="G34" s="395"/>
      <c r="H34" s="735"/>
      <c r="I34" s="406"/>
      <c r="J34" s="734"/>
      <c r="K34" s="395"/>
      <c r="L34" s="484"/>
    </row>
    <row r="35" spans="1:12" ht="12" customHeight="1" x14ac:dyDescent="0.2">
      <c r="A35" s="488"/>
      <c r="B35" s="734">
        <f>'Basin (RS)'!H343</f>
        <v>3</v>
      </c>
      <c r="C35" s="395" t="s">
        <v>2050</v>
      </c>
      <c r="D35" s="395"/>
      <c r="E35" s="395"/>
      <c r="F35" s="395"/>
      <c r="G35" s="395"/>
      <c r="H35" s="735"/>
      <c r="I35" s="406"/>
      <c r="J35" s="734"/>
      <c r="K35" s="395"/>
      <c r="L35" s="484"/>
    </row>
    <row r="36" spans="1:12" ht="12" customHeight="1" x14ac:dyDescent="0.2">
      <c r="A36" s="488"/>
      <c r="B36" s="395"/>
      <c r="C36" s="395"/>
      <c r="D36" s="395"/>
      <c r="E36" s="395"/>
      <c r="F36" s="395"/>
      <c r="G36" s="395"/>
      <c r="H36" s="395"/>
      <c r="I36" s="395"/>
      <c r="J36" s="395"/>
      <c r="K36" s="395"/>
      <c r="L36" s="484"/>
    </row>
    <row r="37" spans="1:12" ht="12" customHeight="1" x14ac:dyDescent="0.2">
      <c r="A37" s="488"/>
      <c r="B37" s="406" t="s">
        <v>2051</v>
      </c>
      <c r="C37" s="395"/>
      <c r="D37" s="395"/>
      <c r="E37" s="395"/>
      <c r="F37" s="395"/>
      <c r="G37" s="735">
        <f>F28-D41</f>
        <v>-2.8</v>
      </c>
      <c r="H37" s="395" t="s">
        <v>2343</v>
      </c>
      <c r="I37" s="371"/>
      <c r="J37" s="395"/>
      <c r="K37" s="395"/>
      <c r="L37" s="484"/>
    </row>
    <row r="38" spans="1:12" ht="12" customHeight="1" x14ac:dyDescent="0.2">
      <c r="A38" s="488"/>
      <c r="B38" s="406" t="s">
        <v>2052</v>
      </c>
      <c r="C38" s="395"/>
      <c r="D38" s="395"/>
      <c r="E38" s="395"/>
      <c r="F38" s="395"/>
      <c r="G38" s="735">
        <f>F29-D42</f>
        <v>-2.95</v>
      </c>
      <c r="H38" s="395" t="s">
        <v>2343</v>
      </c>
      <c r="I38" s="371"/>
      <c r="J38" s="395"/>
      <c r="K38" s="395"/>
      <c r="L38" s="484"/>
    </row>
    <row r="39" spans="1:12" ht="12" customHeight="1" x14ac:dyDescent="0.2">
      <c r="A39" s="488"/>
      <c r="B39" s="406"/>
      <c r="C39" s="395"/>
      <c r="D39" s="395"/>
      <c r="E39" s="395"/>
      <c r="F39" s="395"/>
      <c r="G39" s="395"/>
      <c r="H39" s="395"/>
      <c r="I39" s="735"/>
      <c r="J39" s="406"/>
      <c r="K39" s="736"/>
      <c r="L39" s="484"/>
    </row>
    <row r="40" spans="1:12" ht="12" customHeight="1" x14ac:dyDescent="0.2">
      <c r="A40" s="488"/>
      <c r="B40" s="395" t="s">
        <v>2053</v>
      </c>
      <c r="C40" s="371"/>
      <c r="D40" s="395"/>
      <c r="E40" s="395"/>
      <c r="F40" s="395"/>
      <c r="G40" s="395"/>
      <c r="H40" s="395"/>
      <c r="I40" s="735"/>
      <c r="J40" s="406"/>
      <c r="K40" s="736"/>
      <c r="L40" s="484"/>
    </row>
    <row r="41" spans="1:12" ht="12" customHeight="1" x14ac:dyDescent="0.2">
      <c r="A41" s="488"/>
      <c r="B41" s="406" t="s">
        <v>2054</v>
      </c>
      <c r="C41" s="395"/>
      <c r="D41" s="736">
        <f>'Struct4 wing(CS)'!I1071/1000</f>
        <v>0.7</v>
      </c>
      <c r="E41" s="395">
        <f>H241</f>
        <v>0.42554868556848546</v>
      </c>
      <c r="F41" s="395" t="s">
        <v>2055</v>
      </c>
      <c r="G41" s="395"/>
      <c r="H41" s="395"/>
      <c r="I41" s="735"/>
      <c r="J41" s="406"/>
      <c r="K41" s="736"/>
      <c r="L41" s="484"/>
    </row>
    <row r="42" spans="1:12" ht="12" customHeight="1" x14ac:dyDescent="0.2">
      <c r="A42" s="488"/>
      <c r="B42" s="406" t="s">
        <v>2056</v>
      </c>
      <c r="C42" s="395"/>
      <c r="D42" s="736">
        <f>'Struct4 wing(RS)'!I1029/1000</f>
        <v>0.7</v>
      </c>
      <c r="E42" s="395">
        <f>H209</f>
        <v>0.28466114363939365</v>
      </c>
      <c r="F42" s="395" t="s">
        <v>2055</v>
      </c>
      <c r="G42" s="395"/>
      <c r="H42" s="395"/>
      <c r="I42" s="395"/>
      <c r="J42" s="395"/>
      <c r="K42" s="395"/>
      <c r="L42" s="484"/>
    </row>
    <row r="43" spans="1:12" ht="12" customHeight="1" x14ac:dyDescent="0.2">
      <c r="A43" s="488"/>
      <c r="B43" s="406"/>
      <c r="C43" s="736"/>
      <c r="D43" s="395"/>
      <c r="E43" s="395"/>
      <c r="F43" s="395"/>
      <c r="G43" s="395"/>
      <c r="H43" s="395"/>
      <c r="I43" s="395"/>
      <c r="J43" s="395"/>
      <c r="K43" s="395"/>
      <c r="L43" s="484"/>
    </row>
    <row r="44" spans="1:12" ht="12" customHeight="1" x14ac:dyDescent="0.2">
      <c r="A44" s="488"/>
      <c r="B44" s="406" t="s">
        <v>2057</v>
      </c>
      <c r="C44" s="395"/>
      <c r="D44" s="395"/>
      <c r="E44" s="395"/>
      <c r="F44" s="395"/>
      <c r="G44" s="395"/>
      <c r="H44" s="732">
        <f>'Struct2(Barrel)'!F914</f>
        <v>50.2</v>
      </c>
      <c r="I44" s="406" t="s">
        <v>24</v>
      </c>
      <c r="J44" s="395"/>
      <c r="K44" s="395"/>
      <c r="L44" s="484"/>
    </row>
    <row r="45" spans="1:12" ht="12" customHeight="1" x14ac:dyDescent="0.2">
      <c r="A45" s="488"/>
      <c r="B45" s="406" t="s">
        <v>2058</v>
      </c>
      <c r="C45" s="395"/>
      <c r="D45" s="395"/>
      <c r="E45" s="395"/>
      <c r="F45" s="395"/>
      <c r="G45" s="395"/>
      <c r="H45" s="732">
        <f>H44-0.9</f>
        <v>49.300000000000004</v>
      </c>
      <c r="I45" s="406" t="s">
        <v>24</v>
      </c>
      <c r="J45" s="395"/>
      <c r="K45" s="395"/>
    </row>
    <row r="46" spans="1:12" ht="12" customHeight="1" x14ac:dyDescent="0.2">
      <c r="A46" s="488"/>
      <c r="B46" s="395"/>
      <c r="C46" s="395"/>
      <c r="D46" s="395"/>
      <c r="E46" s="395"/>
      <c r="F46" s="395"/>
      <c r="G46" s="395"/>
      <c r="H46" s="395"/>
      <c r="I46" s="395"/>
      <c r="J46" s="395"/>
      <c r="K46" s="395"/>
      <c r="L46" s="484"/>
    </row>
    <row r="47" spans="1:12" ht="12" customHeight="1" x14ac:dyDescent="0.2">
      <c r="A47" s="488"/>
      <c r="B47" s="406" t="s">
        <v>2059</v>
      </c>
      <c r="C47" s="395"/>
      <c r="D47" s="395"/>
      <c r="E47" s="395"/>
      <c r="F47" s="395"/>
      <c r="G47" s="395"/>
      <c r="H47" s="395"/>
      <c r="I47" s="395"/>
      <c r="J47" s="395"/>
      <c r="K47" s="395"/>
      <c r="L47" s="484"/>
    </row>
    <row r="48" spans="1:12" ht="12" customHeight="1" x14ac:dyDescent="0.2">
      <c r="A48" s="488"/>
      <c r="B48" s="406" t="s">
        <v>2060</v>
      </c>
      <c r="C48" s="395"/>
      <c r="D48" s="395"/>
      <c r="E48" s="395"/>
      <c r="F48" s="395"/>
      <c r="G48" s="395"/>
      <c r="H48" s="395"/>
      <c r="I48" s="395"/>
      <c r="J48" s="395"/>
      <c r="K48" s="395"/>
      <c r="L48" s="484"/>
    </row>
    <row r="49" spans="1:12" ht="12" customHeight="1" x14ac:dyDescent="0.2">
      <c r="A49" s="488"/>
      <c r="B49" s="395"/>
      <c r="C49" s="406" t="s">
        <v>2061</v>
      </c>
      <c r="D49" s="395"/>
      <c r="E49" s="395"/>
      <c r="F49" s="395"/>
      <c r="G49" s="395"/>
      <c r="H49" s="395"/>
      <c r="I49" s="395"/>
      <c r="J49" s="395"/>
      <c r="K49" s="395"/>
      <c r="L49" s="484"/>
    </row>
    <row r="50" spans="1:12" ht="12" customHeight="1" x14ac:dyDescent="0.2">
      <c r="A50" s="488"/>
      <c r="B50" s="406" t="s">
        <v>2062</v>
      </c>
      <c r="C50" s="395"/>
      <c r="D50" s="396">
        <v>0</v>
      </c>
      <c r="E50" s="395"/>
      <c r="F50" s="395"/>
      <c r="G50" s="395"/>
      <c r="H50" s="395"/>
      <c r="I50" s="395"/>
      <c r="J50" s="395"/>
      <c r="K50" s="395"/>
      <c r="L50" s="484"/>
    </row>
    <row r="51" spans="1:12" ht="12" customHeight="1" x14ac:dyDescent="0.2">
      <c r="A51" s="488"/>
      <c r="B51" s="406" t="s">
        <v>2063</v>
      </c>
      <c r="C51" s="395"/>
      <c r="D51" s="735">
        <f>C70+D70-0.45</f>
        <v>14.549999999999999</v>
      </c>
      <c r="E51" s="395"/>
      <c r="F51" s="395"/>
      <c r="G51" s="395"/>
      <c r="H51" s="395"/>
      <c r="I51" s="395"/>
      <c r="J51" s="395"/>
      <c r="K51" s="395"/>
      <c r="L51" s="484"/>
    </row>
    <row r="52" spans="1:12" ht="12" customHeight="1" x14ac:dyDescent="0.2">
      <c r="A52" s="488"/>
      <c r="B52" s="406" t="s">
        <v>2064</v>
      </c>
      <c r="C52" s="395"/>
      <c r="D52" s="735">
        <f>D51+F70</f>
        <v>17.75</v>
      </c>
      <c r="E52" s="395"/>
      <c r="F52" s="395"/>
      <c r="G52" s="406" t="s">
        <v>2065</v>
      </c>
      <c r="H52" s="395"/>
      <c r="I52" s="395"/>
      <c r="J52" s="395"/>
      <c r="K52" s="395"/>
      <c r="L52" s="484"/>
    </row>
    <row r="53" spans="1:12" ht="12" customHeight="1" x14ac:dyDescent="0.2">
      <c r="A53" s="488"/>
      <c r="B53" s="406" t="s">
        <v>2066</v>
      </c>
      <c r="C53" s="395"/>
      <c r="D53" s="735">
        <f>D52+G70</f>
        <v>31.55</v>
      </c>
      <c r="E53" s="395"/>
      <c r="F53" s="395"/>
      <c r="G53" s="395"/>
      <c r="H53" s="395"/>
      <c r="I53" s="395"/>
      <c r="J53" s="395"/>
      <c r="K53" s="395"/>
      <c r="L53" s="484"/>
    </row>
    <row r="54" spans="1:12" ht="12" customHeight="1" x14ac:dyDescent="0.2">
      <c r="A54" s="488"/>
      <c r="B54" s="406" t="s">
        <v>2067</v>
      </c>
      <c r="C54" s="395"/>
      <c r="D54" s="735">
        <f>D53+H70</f>
        <v>35</v>
      </c>
      <c r="E54" s="395"/>
      <c r="F54" s="395"/>
      <c r="G54" s="406" t="s">
        <v>2068</v>
      </c>
      <c r="H54" s="395"/>
      <c r="I54" s="395"/>
      <c r="J54" s="395"/>
      <c r="K54" s="395"/>
      <c r="L54" s="484"/>
    </row>
    <row r="55" spans="1:12" ht="12" customHeight="1" thickBot="1" x14ac:dyDescent="0.25">
      <c r="A55" s="737"/>
      <c r="B55" s="738" t="s">
        <v>2069</v>
      </c>
      <c r="C55" s="468"/>
      <c r="D55" s="766">
        <f>$H$45</f>
        <v>49.300000000000004</v>
      </c>
      <c r="E55" s="468"/>
      <c r="F55" s="468"/>
      <c r="G55" s="738" t="s">
        <v>2070</v>
      </c>
      <c r="H55" s="468"/>
      <c r="I55" s="468"/>
      <c r="J55" s="468"/>
      <c r="K55" s="468"/>
      <c r="L55" s="489"/>
    </row>
    <row r="56" spans="1:12" ht="12" customHeight="1" thickBot="1" x14ac:dyDescent="0.25">
      <c r="A56" s="395"/>
      <c r="B56" s="395"/>
      <c r="C56" s="395"/>
      <c r="D56" s="395"/>
      <c r="E56" s="395"/>
      <c r="F56" s="395"/>
      <c r="G56" s="395"/>
      <c r="H56" s="395"/>
      <c r="I56" s="395"/>
      <c r="J56" s="395"/>
      <c r="K56" s="395"/>
      <c r="L56" s="395"/>
    </row>
    <row r="57" spans="1:12" ht="12" customHeight="1" x14ac:dyDescent="0.2">
      <c r="A57" s="438"/>
      <c r="B57" s="644"/>
      <c r="C57" s="767">
        <f>C70</f>
        <v>2</v>
      </c>
      <c r="D57" s="644"/>
      <c r="E57" s="494"/>
      <c r="F57" s="644"/>
      <c r="G57" s="644"/>
      <c r="H57" s="644"/>
      <c r="I57" s="644"/>
      <c r="J57" s="768"/>
      <c r="K57" s="768">
        <f>K70</f>
        <v>2</v>
      </c>
      <c r="L57" s="739"/>
    </row>
    <row r="58" spans="1:12" ht="12" customHeight="1" x14ac:dyDescent="0.2">
      <c r="A58" s="488"/>
      <c r="B58" s="395"/>
      <c r="C58" s="395"/>
      <c r="D58" s="395"/>
      <c r="E58" s="395"/>
      <c r="F58" s="646"/>
      <c r="G58" s="395"/>
      <c r="H58" s="395"/>
      <c r="I58" s="395"/>
      <c r="J58" s="395"/>
      <c r="K58" s="395"/>
      <c r="L58" s="484"/>
    </row>
    <row r="59" spans="1:12" ht="12" customHeight="1" x14ac:dyDescent="0.2">
      <c r="A59" s="488"/>
      <c r="B59" s="395"/>
      <c r="C59" s="371"/>
      <c r="D59" s="371"/>
      <c r="E59" s="395"/>
      <c r="F59" s="741">
        <f>K11</f>
        <v>5.0999999999999996</v>
      </c>
      <c r="G59" s="406"/>
      <c r="H59" s="395"/>
      <c r="I59" s="371"/>
      <c r="J59" s="371"/>
      <c r="K59" s="395"/>
      <c r="L59" s="484"/>
    </row>
    <row r="60" spans="1:12" ht="12" customHeight="1" x14ac:dyDescent="0.2">
      <c r="A60" s="488"/>
      <c r="B60" s="395">
        <f>F59-D61</f>
        <v>2.0999999999999996</v>
      </c>
      <c r="C60" s="406"/>
      <c r="D60" s="742"/>
      <c r="E60" s="395"/>
      <c r="F60" s="406"/>
      <c r="G60" s="406"/>
      <c r="H60" s="395"/>
      <c r="I60" s="406"/>
      <c r="J60" s="742"/>
      <c r="K60" s="395"/>
      <c r="L60" s="484"/>
    </row>
    <row r="61" spans="1:12" ht="12" customHeight="1" x14ac:dyDescent="0.2">
      <c r="A61" s="488"/>
      <c r="B61" s="395"/>
      <c r="C61" s="395"/>
      <c r="D61" s="743">
        <f>'Design Data'!E38</f>
        <v>3</v>
      </c>
      <c r="E61" s="395"/>
      <c r="F61" s="406" t="s">
        <v>2071</v>
      </c>
      <c r="G61" s="406"/>
      <c r="H61" s="395"/>
      <c r="I61" s="395"/>
      <c r="J61" s="744">
        <f>'Basin (RS)'!F25</f>
        <v>3.5</v>
      </c>
      <c r="K61" s="473" t="s">
        <v>2072</v>
      </c>
      <c r="L61" s="484">
        <f>F59-J61</f>
        <v>1.5999999999999996</v>
      </c>
    </row>
    <row r="62" spans="1:12" ht="12" customHeight="1" x14ac:dyDescent="0.2">
      <c r="A62" s="488"/>
      <c r="B62" s="395"/>
      <c r="C62" s="406" t="s">
        <v>2073</v>
      </c>
      <c r="D62" s="395"/>
      <c r="E62" s="395"/>
      <c r="F62" s="406"/>
      <c r="G62" s="395"/>
      <c r="H62" s="395"/>
      <c r="I62" s="395"/>
      <c r="J62" s="395"/>
      <c r="K62" s="406" t="s">
        <v>2074</v>
      </c>
      <c r="L62" s="484"/>
    </row>
    <row r="63" spans="1:12" ht="12" customHeight="1" x14ac:dyDescent="0.2">
      <c r="A63" s="488"/>
      <c r="B63" s="395"/>
      <c r="C63" s="395"/>
      <c r="D63" s="371"/>
      <c r="E63" s="396">
        <f>F21</f>
        <v>2.61</v>
      </c>
      <c r="F63" s="395" t="s">
        <v>2343</v>
      </c>
      <c r="G63" s="395"/>
      <c r="H63" s="371"/>
      <c r="I63" s="396">
        <f>F26</f>
        <v>3</v>
      </c>
      <c r="J63" s="395" t="s">
        <v>2343</v>
      </c>
      <c r="K63" s="395"/>
      <c r="L63" s="484"/>
    </row>
    <row r="64" spans="1:12" ht="12" customHeight="1" x14ac:dyDescent="0.2">
      <c r="A64" s="488"/>
      <c r="B64" s="395">
        <f>D61-D66</f>
        <v>5.0999999999999996</v>
      </c>
      <c r="C64" s="395"/>
      <c r="D64" s="396">
        <f>F25</f>
        <v>0</v>
      </c>
      <c r="E64" s="395" t="s">
        <v>2343</v>
      </c>
      <c r="F64" s="395"/>
      <c r="G64" s="395"/>
      <c r="H64" s="396">
        <f>F22</f>
        <v>0.6</v>
      </c>
      <c r="I64" s="395" t="s">
        <v>2343</v>
      </c>
      <c r="J64" s="395"/>
      <c r="K64" s="395"/>
      <c r="L64" s="484">
        <f>J61-J66</f>
        <v>5.75</v>
      </c>
    </row>
    <row r="65" spans="1:12" ht="12" customHeight="1" x14ac:dyDescent="0.2">
      <c r="A65" s="488"/>
      <c r="B65" s="396"/>
      <c r="C65" s="406"/>
      <c r="D65" s="395"/>
      <c r="E65" s="395"/>
      <c r="F65" s="646">
        <f>H12</f>
        <v>-1.2</v>
      </c>
      <c r="G65" s="395"/>
      <c r="H65" s="395"/>
      <c r="I65" s="395"/>
      <c r="J65" s="395"/>
      <c r="K65" s="396"/>
      <c r="L65" s="745"/>
    </row>
    <row r="66" spans="1:12" ht="12" customHeight="1" x14ac:dyDescent="0.2">
      <c r="A66" s="488" t="s">
        <v>884</v>
      </c>
      <c r="B66" s="406"/>
      <c r="C66" s="395"/>
      <c r="D66" s="396">
        <f>F28</f>
        <v>-2.1</v>
      </c>
      <c r="E66" s="395" t="s">
        <v>2406</v>
      </c>
      <c r="F66" s="746"/>
      <c r="G66" s="406"/>
      <c r="H66" s="395"/>
      <c r="I66" s="371"/>
      <c r="J66" s="396">
        <f>F29</f>
        <v>-2.25</v>
      </c>
      <c r="K66" s="746" t="s">
        <v>2362</v>
      </c>
      <c r="L66" s="747" t="s">
        <v>2075</v>
      </c>
    </row>
    <row r="67" spans="1:12" ht="12" customHeight="1" x14ac:dyDescent="0.2">
      <c r="A67" s="488"/>
      <c r="B67" s="406"/>
      <c r="C67" s="406">
        <f>I241</f>
        <v>0.7</v>
      </c>
      <c r="D67" s="406"/>
      <c r="E67" s="746">
        <f>I242</f>
        <v>0.75</v>
      </c>
      <c r="F67" s="406"/>
      <c r="G67" s="406"/>
      <c r="H67" s="395">
        <f>'Struct4 wing(RS)'!G32/1000</f>
        <v>0.75</v>
      </c>
      <c r="I67" s="406"/>
      <c r="J67" s="742"/>
      <c r="K67" s="406">
        <f>'Struct4 wing(RS)'!G36/1000</f>
        <v>0.7</v>
      </c>
      <c r="L67" s="745"/>
    </row>
    <row r="68" spans="1:12" ht="12" customHeight="1" x14ac:dyDescent="0.2">
      <c r="A68" s="488"/>
      <c r="B68" s="406"/>
      <c r="C68" s="396">
        <f>G37</f>
        <v>-2.8</v>
      </c>
      <c r="D68" s="406" t="s">
        <v>24</v>
      </c>
      <c r="E68" s="406"/>
      <c r="F68" s="406"/>
      <c r="G68" s="406"/>
      <c r="H68" s="746"/>
      <c r="I68" s="395"/>
      <c r="J68" s="395"/>
      <c r="K68" s="406">
        <f>G38</f>
        <v>-2.95</v>
      </c>
      <c r="L68" s="484"/>
    </row>
    <row r="69" spans="1:12" ht="12" customHeight="1" x14ac:dyDescent="0.2">
      <c r="A69" s="488"/>
      <c r="B69" s="406"/>
      <c r="C69" s="395"/>
      <c r="D69" s="395"/>
      <c r="E69" s="406" t="s">
        <v>2076</v>
      </c>
      <c r="F69" s="406" t="s">
        <v>2077</v>
      </c>
      <c r="G69" s="710" t="s">
        <v>2078</v>
      </c>
      <c r="H69" s="746" t="s">
        <v>2079</v>
      </c>
      <c r="I69" s="395"/>
      <c r="J69" s="395"/>
      <c r="K69" s="748">
        <v>6</v>
      </c>
      <c r="L69" s="745" t="s">
        <v>2080</v>
      </c>
    </row>
    <row r="70" spans="1:12" ht="12" customHeight="1" x14ac:dyDescent="0.2">
      <c r="A70" s="488"/>
      <c r="B70" s="710">
        <f>B34</f>
        <v>3</v>
      </c>
      <c r="C70" s="749">
        <f>I11</f>
        <v>2</v>
      </c>
      <c r="D70" s="395">
        <f>G11</f>
        <v>12.999999999999998</v>
      </c>
      <c r="E70" s="395"/>
      <c r="F70" s="740">
        <f>F11</f>
        <v>3.2000000000000011</v>
      </c>
      <c r="G70" s="736">
        <f>E12</f>
        <v>13.8</v>
      </c>
      <c r="H70" s="740">
        <f>F13</f>
        <v>3.45</v>
      </c>
      <c r="I70" s="395">
        <f>G13</f>
        <v>12.75</v>
      </c>
      <c r="J70" s="395"/>
      <c r="K70" s="750">
        <f>I13</f>
        <v>2</v>
      </c>
      <c r="L70" s="484">
        <f>B35</f>
        <v>3</v>
      </c>
    </row>
    <row r="71" spans="1:12" ht="12" customHeight="1" x14ac:dyDescent="0.2">
      <c r="A71" s="488"/>
      <c r="B71" s="406"/>
      <c r="C71" s="395"/>
      <c r="D71" s="395"/>
      <c r="E71" s="395"/>
      <c r="F71" s="395"/>
      <c r="G71" s="395"/>
      <c r="H71" s="395"/>
      <c r="I71" s="395"/>
      <c r="J71" s="395"/>
      <c r="K71" s="746"/>
      <c r="L71" s="557"/>
    </row>
    <row r="72" spans="1:12" ht="12" customHeight="1" x14ac:dyDescent="0.2">
      <c r="A72" s="488"/>
      <c r="B72" s="406"/>
      <c r="C72" s="396">
        <f>F31</f>
        <v>-5.0999999999999996</v>
      </c>
      <c r="D72" s="406" t="s">
        <v>345</v>
      </c>
      <c r="E72" s="395"/>
      <c r="F72" s="395"/>
      <c r="G72" s="395"/>
      <c r="H72" s="395"/>
      <c r="I72" s="395"/>
      <c r="J72" s="395" t="s">
        <v>345</v>
      </c>
      <c r="K72" s="406">
        <f>F32</f>
        <v>-5.25</v>
      </c>
      <c r="L72" s="484"/>
    </row>
    <row r="73" spans="1:12" ht="12" customHeight="1" x14ac:dyDescent="0.2">
      <c r="A73" s="488"/>
      <c r="B73" s="406"/>
      <c r="C73" s="742"/>
      <c r="D73" s="742"/>
      <c r="E73" s="742"/>
      <c r="F73" s="742"/>
      <c r="G73" s="396">
        <f>H45</f>
        <v>49.300000000000004</v>
      </c>
      <c r="H73" s="406" t="s">
        <v>24</v>
      </c>
      <c r="I73" s="742"/>
      <c r="J73" s="742"/>
      <c r="K73" s="406"/>
      <c r="L73" s="484"/>
    </row>
    <row r="74" spans="1:12" ht="12" customHeight="1" thickBot="1" x14ac:dyDescent="0.25">
      <c r="A74" s="488"/>
      <c r="B74" s="406"/>
      <c r="C74" s="395"/>
      <c r="D74" s="751"/>
      <c r="E74" s="395"/>
      <c r="F74" s="395"/>
      <c r="G74" s="396">
        <f>H44</f>
        <v>50.2</v>
      </c>
      <c r="H74" s="406" t="s">
        <v>24</v>
      </c>
      <c r="I74" s="395"/>
      <c r="J74" s="395"/>
      <c r="K74" s="406"/>
      <c r="L74" s="489" t="s">
        <v>2448</v>
      </c>
    </row>
    <row r="75" spans="1:12" ht="12" customHeight="1" x14ac:dyDescent="0.2">
      <c r="A75" s="488"/>
      <c r="B75" s="406"/>
      <c r="C75" s="742"/>
      <c r="D75" s="742"/>
      <c r="E75" s="742"/>
      <c r="F75" s="742"/>
      <c r="G75" s="742"/>
      <c r="H75" s="742"/>
      <c r="I75" s="742"/>
      <c r="J75" s="742"/>
      <c r="K75" s="406"/>
      <c r="L75" s="484"/>
    </row>
    <row r="76" spans="1:12" ht="12" customHeight="1" x14ac:dyDescent="0.2">
      <c r="A76" s="731" t="s">
        <v>2081</v>
      </c>
      <c r="B76" s="395"/>
      <c r="C76" s="395"/>
      <c r="D76" s="395"/>
      <c r="E76" s="395"/>
      <c r="F76" s="395"/>
      <c r="G76" s="395"/>
      <c r="H76" s="395"/>
      <c r="I76" s="395"/>
      <c r="J76" s="395"/>
      <c r="K76" s="395"/>
      <c r="L76" s="484"/>
    </row>
    <row r="77" spans="1:12" ht="12" customHeight="1" x14ac:dyDescent="0.2">
      <c r="A77" s="488"/>
      <c r="B77" s="395"/>
      <c r="C77" s="395"/>
      <c r="D77" s="395"/>
      <c r="E77" s="395"/>
      <c r="F77" s="395"/>
      <c r="G77" s="395"/>
      <c r="H77" s="395"/>
      <c r="I77" s="395"/>
      <c r="J77" s="395"/>
      <c r="K77" s="395"/>
      <c r="L77" s="484"/>
    </row>
    <row r="78" spans="1:12" ht="12" customHeight="1" x14ac:dyDescent="0.2">
      <c r="A78" s="488"/>
      <c r="B78" s="406" t="s">
        <v>2082</v>
      </c>
      <c r="C78" s="395"/>
      <c r="D78" s="395"/>
      <c r="E78" s="395"/>
      <c r="F78" s="395"/>
      <c r="G78" s="395"/>
      <c r="H78" s="395"/>
      <c r="I78" s="395"/>
      <c r="J78" s="395"/>
      <c r="K78" s="395"/>
      <c r="L78" s="484"/>
    </row>
    <row r="79" spans="1:12" ht="12" customHeight="1" x14ac:dyDescent="0.2">
      <c r="A79" s="488"/>
      <c r="B79" s="406"/>
      <c r="C79" s="395"/>
      <c r="D79" s="395"/>
      <c r="E79" s="395"/>
      <c r="F79" s="395"/>
      <c r="G79" s="395"/>
      <c r="H79" s="395"/>
      <c r="I79" s="395"/>
      <c r="J79" s="395"/>
      <c r="K79" s="395"/>
      <c r="L79" s="484"/>
    </row>
    <row r="80" spans="1:12" ht="12" customHeight="1" x14ac:dyDescent="0.2">
      <c r="A80" s="488"/>
      <c r="B80" s="406" t="s">
        <v>2085</v>
      </c>
      <c r="C80" s="395"/>
      <c r="D80" s="395"/>
      <c r="E80" s="395" t="s">
        <v>2086</v>
      </c>
      <c r="F80" s="395"/>
      <c r="G80" s="290"/>
      <c r="H80" s="290"/>
      <c r="I80" s="290"/>
      <c r="J80" s="290"/>
      <c r="K80" s="290"/>
      <c r="L80" s="484"/>
    </row>
    <row r="81" spans="1:12" ht="12" customHeight="1" x14ac:dyDescent="0.2">
      <c r="A81" s="488"/>
      <c r="B81" s="406"/>
      <c r="C81" s="290"/>
      <c r="D81" s="290"/>
      <c r="E81" s="290"/>
      <c r="F81" s="290"/>
      <c r="G81" s="290"/>
      <c r="H81" s="290"/>
      <c r="I81" s="290"/>
      <c r="J81" s="290"/>
      <c r="K81" s="290"/>
      <c r="L81" s="484"/>
    </row>
    <row r="82" spans="1:12" ht="12" customHeight="1" x14ac:dyDescent="0.2">
      <c r="A82" s="488"/>
      <c r="B82" s="406" t="s">
        <v>2253</v>
      </c>
      <c r="C82" s="290"/>
      <c r="D82" s="290"/>
      <c r="E82" s="290">
        <f>G17-G18</f>
        <v>1.3400000000000003</v>
      </c>
      <c r="F82" s="290" t="s">
        <v>24</v>
      </c>
      <c r="G82" s="589"/>
      <c r="H82" s="290"/>
      <c r="I82" s="290"/>
      <c r="J82" s="290"/>
      <c r="K82" s="290"/>
      <c r="L82" s="484"/>
    </row>
    <row r="83" spans="1:12" ht="12" customHeight="1" x14ac:dyDescent="0.2">
      <c r="A83" s="488"/>
      <c r="B83" s="406"/>
      <c r="C83" s="290"/>
      <c r="D83" s="290"/>
      <c r="E83" s="290"/>
      <c r="F83" s="290"/>
      <c r="G83" s="589"/>
      <c r="H83" s="290"/>
      <c r="I83" s="290"/>
      <c r="J83" s="290"/>
      <c r="K83" s="290"/>
      <c r="L83" s="484"/>
    </row>
    <row r="84" spans="1:12" ht="12" customHeight="1" x14ac:dyDescent="0.2">
      <c r="A84" s="488"/>
      <c r="B84" s="406" t="s">
        <v>2256</v>
      </c>
      <c r="C84" s="290"/>
      <c r="D84" s="290"/>
      <c r="E84" s="290">
        <f>B34</f>
        <v>3</v>
      </c>
      <c r="F84" s="290" t="s">
        <v>24</v>
      </c>
      <c r="G84" s="406" t="s">
        <v>2090</v>
      </c>
      <c r="H84" s="395"/>
      <c r="I84" s="395"/>
      <c r="J84" s="290">
        <f>H44</f>
        <v>50.2</v>
      </c>
      <c r="K84" s="290" t="s">
        <v>24</v>
      </c>
      <c r="L84" s="484"/>
    </row>
    <row r="85" spans="1:12" ht="12" customHeight="1" x14ac:dyDescent="0.2">
      <c r="A85" s="488"/>
      <c r="B85" s="406"/>
      <c r="C85" s="290"/>
      <c r="D85" s="290"/>
      <c r="E85" s="290"/>
      <c r="F85" s="290"/>
      <c r="G85" s="290"/>
      <c r="H85" s="290"/>
      <c r="I85" s="290"/>
      <c r="J85" s="290"/>
      <c r="K85" s="290"/>
      <c r="L85" s="484"/>
    </row>
    <row r="86" spans="1:12" ht="12" customHeight="1" x14ac:dyDescent="0.2">
      <c r="A86" s="488"/>
      <c r="B86" s="406" t="s">
        <v>2254</v>
      </c>
      <c r="C86" s="395"/>
      <c r="D86" s="395"/>
      <c r="E86" s="290">
        <f>J84/E84</f>
        <v>16.733333333333334</v>
      </c>
      <c r="F86" s="290" t="s">
        <v>24</v>
      </c>
      <c r="G86" s="708" t="s">
        <v>2092</v>
      </c>
      <c r="H86" s="290"/>
      <c r="I86" s="290"/>
      <c r="J86" s="306">
        <f>(1+SQRT(1+E86^2))/2</f>
        <v>8.8815935901898229</v>
      </c>
      <c r="K86" s="290"/>
      <c r="L86" s="484"/>
    </row>
    <row r="87" spans="1:12" ht="12" customHeight="1" x14ac:dyDescent="0.2">
      <c r="A87" s="488"/>
      <c r="B87" s="406"/>
      <c r="C87" s="395"/>
      <c r="D87" s="395"/>
      <c r="E87" s="290"/>
      <c r="F87" s="290"/>
      <c r="G87" s="589"/>
      <c r="H87" s="290"/>
      <c r="I87" s="290"/>
      <c r="J87" s="290"/>
      <c r="K87" s="290"/>
      <c r="L87" s="484"/>
    </row>
    <row r="88" spans="1:12" ht="12" customHeight="1" x14ac:dyDescent="0.2">
      <c r="A88" s="488"/>
      <c r="B88" s="589" t="s">
        <v>2255</v>
      </c>
      <c r="C88" s="752">
        <f>E82/E84/PI()/SQRT(J86)</f>
        <v>4.7707671774000794E-2</v>
      </c>
      <c r="D88" s="589"/>
      <c r="E88" s="396" t="str">
        <f>IF(C88&lt;=0.143," &lt;  Maximum Permitted Gradient (1/7=0.143)"," &gt;  Maximum Permitted Gradient (1/7=0.143)")</f>
        <v xml:space="preserve"> &lt;  Maximum Permitted Gradient (1/7=0.143)</v>
      </c>
      <c r="F88" s="395"/>
      <c r="G88" s="395"/>
      <c r="H88" s="395"/>
      <c r="I88" s="290"/>
      <c r="J88" s="290"/>
      <c r="K88" s="290"/>
      <c r="L88" s="484"/>
    </row>
    <row r="89" spans="1:12" ht="12" customHeight="1" x14ac:dyDescent="0.2">
      <c r="A89" s="488"/>
      <c r="B89" s="406"/>
      <c r="C89" s="395"/>
      <c r="D89" s="395"/>
      <c r="E89" s="290"/>
      <c r="F89" s="290"/>
      <c r="G89" s="290"/>
      <c r="H89" s="290"/>
      <c r="I89" s="290"/>
      <c r="J89" s="695"/>
      <c r="K89" s="290"/>
      <c r="L89" s="484"/>
    </row>
    <row r="90" spans="1:12" ht="12" customHeight="1" x14ac:dyDescent="0.2">
      <c r="A90" s="488"/>
      <c r="B90" s="396" t="str">
        <f>IF(C88&lt;=0.143," Floor and D/S Cutoff Wall Length is O.K."," Floor and D/S Cutoff Wall Length is Not O.K.")</f>
        <v xml:space="preserve"> Floor and D/S Cutoff Wall Length is O.K.</v>
      </c>
      <c r="C90" s="290"/>
      <c r="D90" s="290"/>
      <c r="E90" s="290"/>
      <c r="F90" s="290"/>
      <c r="G90" s="290"/>
      <c r="H90" s="290"/>
      <c r="I90" s="290"/>
      <c r="J90" s="290"/>
      <c r="K90" s="290"/>
      <c r="L90" s="484"/>
    </row>
    <row r="91" spans="1:12" ht="12" customHeight="1" x14ac:dyDescent="0.2">
      <c r="A91" s="488"/>
      <c r="B91" s="396"/>
      <c r="C91" s="290"/>
      <c r="D91" s="290"/>
      <c r="E91" s="290"/>
      <c r="F91" s="290"/>
      <c r="G91" s="290"/>
      <c r="H91" s="290"/>
      <c r="I91" s="290"/>
      <c r="J91" s="290"/>
      <c r="K91" s="290"/>
      <c r="L91" s="484"/>
    </row>
    <row r="92" spans="1:12" ht="12" customHeight="1" x14ac:dyDescent="0.2">
      <c r="A92" s="488"/>
      <c r="B92" s="461" t="s">
        <v>2083</v>
      </c>
      <c r="C92" s="395"/>
      <c r="D92" s="395"/>
      <c r="E92" s="395"/>
      <c r="F92" s="395"/>
      <c r="G92" s="395"/>
      <c r="H92" s="395"/>
      <c r="I92" s="395"/>
      <c r="J92" s="395"/>
      <c r="K92" s="395"/>
      <c r="L92" s="484"/>
    </row>
    <row r="93" spans="1:12" ht="12" customHeight="1" x14ac:dyDescent="0.2">
      <c r="A93" s="488"/>
      <c r="B93" s="406" t="s">
        <v>2084</v>
      </c>
      <c r="C93" s="395"/>
      <c r="D93" s="395"/>
      <c r="E93" s="395"/>
      <c r="F93" s="395"/>
      <c r="G93" s="395"/>
      <c r="H93" s="395"/>
      <c r="I93" s="395"/>
      <c r="J93" s="395"/>
      <c r="K93" s="395"/>
      <c r="L93" s="484"/>
    </row>
    <row r="94" spans="1:12" ht="12" customHeight="1" x14ac:dyDescent="0.2">
      <c r="A94" s="488"/>
      <c r="B94" s="406" t="s">
        <v>2085</v>
      </c>
      <c r="C94" s="395"/>
      <c r="D94" s="395"/>
      <c r="E94" s="395" t="s">
        <v>2086</v>
      </c>
      <c r="F94" s="395"/>
      <c r="G94" s="395"/>
      <c r="H94" s="395"/>
      <c r="I94" s="395"/>
      <c r="J94" s="395"/>
      <c r="K94" s="395"/>
      <c r="L94" s="484"/>
    </row>
    <row r="95" spans="1:12" ht="12" customHeight="1" x14ac:dyDescent="0.2">
      <c r="A95" s="488"/>
      <c r="B95" s="406" t="s">
        <v>2087</v>
      </c>
      <c r="C95" s="395"/>
      <c r="D95" s="395"/>
      <c r="E95" s="395"/>
      <c r="F95" s="395"/>
      <c r="G95" s="395"/>
      <c r="H95" s="395"/>
      <c r="I95" s="395"/>
      <c r="J95" s="395"/>
      <c r="K95" s="395"/>
      <c r="L95" s="484"/>
    </row>
    <row r="96" spans="1:12" ht="12" customHeight="1" x14ac:dyDescent="0.2">
      <c r="A96" s="488"/>
      <c r="B96" s="406" t="s">
        <v>2088</v>
      </c>
      <c r="C96" s="395"/>
      <c r="D96" s="395"/>
      <c r="E96" s="395"/>
      <c r="F96" s="395"/>
      <c r="G96" s="395"/>
      <c r="H96" s="396">
        <f>IF(($F$21-$F$22)&lt;1,1,($F$21-$F$22))</f>
        <v>2.0099999999999998</v>
      </c>
      <c r="I96" s="406" t="s">
        <v>24</v>
      </c>
      <c r="J96" s="371"/>
      <c r="K96" s="371"/>
      <c r="L96" s="484"/>
    </row>
    <row r="97" spans="1:12" ht="12" customHeight="1" x14ac:dyDescent="0.2">
      <c r="A97" s="488"/>
      <c r="B97" s="395"/>
      <c r="C97" s="395"/>
      <c r="D97" s="395"/>
      <c r="E97" s="395"/>
      <c r="F97" s="395"/>
      <c r="G97" s="395"/>
      <c r="H97" s="395"/>
      <c r="I97" s="395"/>
      <c r="J97" s="371"/>
      <c r="K97" s="395"/>
      <c r="L97" s="484"/>
    </row>
    <row r="98" spans="1:12" ht="12" customHeight="1" x14ac:dyDescent="0.2">
      <c r="A98" s="488"/>
      <c r="B98" s="406" t="s">
        <v>2089</v>
      </c>
      <c r="C98" s="395"/>
      <c r="D98" s="395"/>
      <c r="E98" s="395"/>
      <c r="F98" s="395"/>
      <c r="G98" s="395"/>
      <c r="H98" s="395"/>
      <c r="I98" s="395"/>
      <c r="J98" s="371"/>
      <c r="K98" s="395"/>
      <c r="L98" s="484"/>
    </row>
    <row r="99" spans="1:12" ht="12" customHeight="1" x14ac:dyDescent="0.2">
      <c r="A99" s="488"/>
      <c r="B99" s="406" t="s">
        <v>2252</v>
      </c>
      <c r="C99" s="395"/>
      <c r="D99" s="395"/>
      <c r="E99" s="395"/>
      <c r="F99" s="395"/>
      <c r="G99" s="395"/>
      <c r="H99" s="395">
        <f>F29-F32</f>
        <v>3</v>
      </c>
      <c r="I99" s="395" t="s">
        <v>24</v>
      </c>
      <c r="J99" s="371"/>
      <c r="K99" s="371"/>
      <c r="L99" s="484"/>
    </row>
    <row r="100" spans="1:12" ht="12" customHeight="1" x14ac:dyDescent="0.2">
      <c r="A100" s="488"/>
      <c r="B100" s="395"/>
      <c r="C100" s="395"/>
      <c r="D100" s="395"/>
      <c r="E100" s="395"/>
      <c r="F100" s="395"/>
      <c r="G100" s="395"/>
      <c r="H100" s="395"/>
      <c r="I100" s="395"/>
      <c r="J100" s="395"/>
      <c r="K100" s="395"/>
      <c r="L100" s="484"/>
    </row>
    <row r="101" spans="1:12" ht="12" customHeight="1" x14ac:dyDescent="0.2">
      <c r="A101" s="488"/>
      <c r="B101" s="406" t="s">
        <v>2090</v>
      </c>
      <c r="C101" s="395"/>
      <c r="D101" s="395"/>
      <c r="E101" s="395"/>
      <c r="F101" s="396">
        <f>$H$44</f>
        <v>50.2</v>
      </c>
      <c r="G101" s="406" t="s">
        <v>24</v>
      </c>
      <c r="H101" s="395"/>
      <c r="I101" s="395"/>
      <c r="J101" s="395"/>
      <c r="K101" s="395"/>
      <c r="L101" s="484"/>
    </row>
    <row r="102" spans="1:12" ht="12" customHeight="1" x14ac:dyDescent="0.2">
      <c r="A102" s="488"/>
      <c r="B102" s="395"/>
      <c r="C102" s="395"/>
      <c r="D102" s="395"/>
      <c r="E102" s="395"/>
      <c r="F102" s="395"/>
      <c r="G102" s="395"/>
      <c r="H102" s="395"/>
      <c r="I102" s="395"/>
      <c r="J102" s="395"/>
      <c r="K102" s="395"/>
      <c r="L102" s="484"/>
    </row>
    <row r="103" spans="1:12" ht="12" customHeight="1" x14ac:dyDescent="0.2">
      <c r="A103" s="488"/>
      <c r="B103" s="406" t="s">
        <v>2091</v>
      </c>
      <c r="C103" s="395"/>
      <c r="D103" s="396">
        <f>F101/H99</f>
        <v>16.733333333333334</v>
      </c>
      <c r="E103" s="395"/>
      <c r="F103" s="395"/>
      <c r="G103" s="395"/>
      <c r="H103" s="395"/>
      <c r="I103" s="395"/>
      <c r="J103" s="395"/>
      <c r="K103" s="395"/>
      <c r="L103" s="484"/>
    </row>
    <row r="104" spans="1:12" ht="12" customHeight="1" x14ac:dyDescent="0.2">
      <c r="A104" s="488"/>
      <c r="B104" s="395"/>
      <c r="C104" s="395"/>
      <c r="D104" s="395"/>
      <c r="E104" s="395"/>
      <c r="F104" s="395"/>
      <c r="G104" s="395"/>
      <c r="H104" s="395"/>
      <c r="I104" s="395"/>
      <c r="J104" s="395"/>
      <c r="K104" s="395"/>
      <c r="L104" s="484"/>
    </row>
    <row r="105" spans="1:12" ht="12" customHeight="1" x14ac:dyDescent="0.2">
      <c r="A105" s="488"/>
      <c r="B105" s="406" t="s">
        <v>2092</v>
      </c>
      <c r="C105" s="395"/>
      <c r="D105" s="395"/>
      <c r="E105" s="395"/>
      <c r="F105" s="395"/>
      <c r="G105" s="396">
        <f>(1+SQRT(1+D103^2))/2</f>
        <v>8.8815935901898229</v>
      </c>
      <c r="H105" s="395"/>
      <c r="I105" s="395"/>
      <c r="J105" s="395"/>
      <c r="K105" s="395"/>
      <c r="L105" s="484"/>
    </row>
    <row r="106" spans="1:12" ht="12" customHeight="1" x14ac:dyDescent="0.2">
      <c r="A106" s="488"/>
      <c r="B106" s="395"/>
      <c r="C106" s="395"/>
      <c r="D106" s="395"/>
      <c r="E106" s="395"/>
      <c r="F106" s="395"/>
      <c r="G106" s="395"/>
      <c r="H106" s="395"/>
      <c r="I106" s="395"/>
      <c r="J106" s="395"/>
      <c r="K106" s="395"/>
      <c r="L106" s="484"/>
    </row>
    <row r="107" spans="1:12" ht="12" customHeight="1" x14ac:dyDescent="0.2">
      <c r="A107" s="488"/>
      <c r="B107" s="406" t="s">
        <v>2093</v>
      </c>
      <c r="C107" s="752">
        <f>H96/H99/PI()/SQRT(G105)</f>
        <v>7.1561507661001167E-2</v>
      </c>
      <c r="D107" s="396" t="str">
        <f>IF(C107&lt;=0.143," &lt;›_  Maximum Permitted Gradient (1/7=0.143)"," &gt;  Maximum Permitted Gradient (1/7=0.143)")</f>
        <v xml:space="preserve"> &lt;›_  Maximum Permitted Gradient (1/7=0.143)</v>
      </c>
      <c r="E107" s="395"/>
      <c r="F107" s="395"/>
      <c r="G107" s="395"/>
      <c r="H107" s="395"/>
      <c r="I107" s="395"/>
      <c r="J107" s="395"/>
      <c r="K107" s="395"/>
      <c r="L107" s="484"/>
    </row>
    <row r="108" spans="1:12" ht="12" customHeight="1" x14ac:dyDescent="0.2">
      <c r="A108" s="488"/>
      <c r="B108" s="395"/>
      <c r="C108" s="396"/>
      <c r="D108" s="406"/>
      <c r="E108" s="396"/>
      <c r="F108" s="406"/>
      <c r="G108" s="395"/>
      <c r="H108" s="395"/>
      <c r="I108" s="395"/>
      <c r="J108" s="395"/>
      <c r="K108" s="395"/>
      <c r="L108" s="484"/>
    </row>
    <row r="109" spans="1:12" ht="12" customHeight="1" x14ac:dyDescent="0.2">
      <c r="A109" s="488"/>
      <c r="B109" s="396" t="str">
        <f>IF(C107&lt;=0.143," Floor and D/S Cutoff Wall Length is O.K."," Floor and D/S Cutoff Wall Length is Not O.K.")</f>
        <v xml:space="preserve"> Floor and D/S Cutoff Wall Length is O.K.</v>
      </c>
      <c r="C109" s="395"/>
      <c r="D109" s="395"/>
      <c r="E109" s="395"/>
      <c r="F109" s="395"/>
      <c r="G109" s="395"/>
      <c r="H109" s="395"/>
      <c r="I109" s="395"/>
      <c r="J109" s="395"/>
      <c r="K109" s="395"/>
      <c r="L109" s="484"/>
    </row>
    <row r="110" spans="1:12" ht="12" customHeight="1" x14ac:dyDescent="0.2">
      <c r="A110" s="488"/>
      <c r="B110" s="395"/>
      <c r="C110" s="395"/>
      <c r="D110" s="395"/>
      <c r="E110" s="395"/>
      <c r="F110" s="395"/>
      <c r="G110" s="395"/>
      <c r="H110" s="395"/>
      <c r="I110" s="395"/>
      <c r="J110" s="395"/>
      <c r="K110" s="395"/>
      <c r="L110" s="484"/>
    </row>
    <row r="111" spans="1:12" ht="12" customHeight="1" x14ac:dyDescent="0.2">
      <c r="A111" s="488"/>
      <c r="B111" s="461" t="s">
        <v>2094</v>
      </c>
      <c r="C111" s="395"/>
      <c r="D111" s="395"/>
      <c r="E111" s="395"/>
      <c r="F111" s="395"/>
      <c r="G111" s="395"/>
      <c r="H111" s="395"/>
      <c r="I111" s="395"/>
      <c r="J111" s="395"/>
      <c r="K111" s="395"/>
      <c r="L111" s="484"/>
    </row>
    <row r="112" spans="1:12" ht="12" customHeight="1" x14ac:dyDescent="0.2">
      <c r="A112" s="488"/>
      <c r="B112" s="395"/>
      <c r="C112" s="395"/>
      <c r="D112" s="395"/>
      <c r="E112" s="395"/>
      <c r="F112" s="395"/>
      <c r="G112" s="395"/>
      <c r="H112" s="395"/>
      <c r="I112" s="395"/>
      <c r="J112" s="395"/>
      <c r="K112" s="395"/>
      <c r="L112" s="484"/>
    </row>
    <row r="113" spans="1:13" ht="12" customHeight="1" x14ac:dyDescent="0.2">
      <c r="A113" s="488"/>
      <c r="B113" s="406" t="s">
        <v>2085</v>
      </c>
      <c r="C113" s="395"/>
      <c r="D113" s="395"/>
      <c r="E113" s="395" t="s">
        <v>2086</v>
      </c>
      <c r="F113" s="395"/>
      <c r="G113" s="395"/>
      <c r="H113" s="395"/>
      <c r="I113" s="395"/>
      <c r="J113" s="395"/>
      <c r="K113" s="395"/>
      <c r="L113" s="484"/>
    </row>
    <row r="114" spans="1:13" ht="12" customHeight="1" x14ac:dyDescent="0.2">
      <c r="A114" s="488"/>
      <c r="B114" s="406" t="s">
        <v>2095</v>
      </c>
      <c r="C114" s="395"/>
      <c r="D114" s="395"/>
      <c r="E114" s="395"/>
      <c r="F114" s="395"/>
      <c r="G114" s="395"/>
      <c r="H114" s="395"/>
      <c r="I114" s="395"/>
      <c r="J114" s="395"/>
      <c r="K114" s="395"/>
      <c r="L114" s="484"/>
    </row>
    <row r="115" spans="1:13" ht="12" customHeight="1" x14ac:dyDescent="0.2">
      <c r="A115" s="488"/>
      <c r="B115" s="406" t="s">
        <v>2096</v>
      </c>
      <c r="C115" s="395"/>
      <c r="D115" s="395"/>
      <c r="E115" s="396">
        <f>IF(($F$26-$F$25)&lt;1,1,($F$26-$F$25))</f>
        <v>3</v>
      </c>
      <c r="F115" s="406" t="s">
        <v>24</v>
      </c>
      <c r="G115" s="395"/>
      <c r="H115" s="395"/>
      <c r="I115" s="395"/>
      <c r="J115" s="395"/>
      <c r="K115" s="395"/>
      <c r="L115" s="484"/>
    </row>
    <row r="116" spans="1:13" ht="12" customHeight="1" x14ac:dyDescent="0.2">
      <c r="A116" s="488"/>
      <c r="B116" s="395"/>
      <c r="C116" s="395"/>
      <c r="D116" s="395"/>
      <c r="E116" s="395"/>
      <c r="F116" s="395"/>
      <c r="G116" s="395"/>
      <c r="H116" s="395"/>
      <c r="I116" s="395"/>
      <c r="J116" s="395"/>
      <c r="K116" s="395"/>
      <c r="L116" s="484"/>
    </row>
    <row r="117" spans="1:13" ht="12" customHeight="1" x14ac:dyDescent="0.2">
      <c r="A117" s="488"/>
      <c r="B117" s="406" t="s">
        <v>2097</v>
      </c>
      <c r="C117" s="395"/>
      <c r="D117" s="395"/>
      <c r="E117" s="395"/>
      <c r="F117" s="395"/>
      <c r="G117" s="396">
        <f>F28-$F$31</f>
        <v>2.9999999999999996</v>
      </c>
      <c r="H117" s="406" t="s">
        <v>24</v>
      </c>
      <c r="I117" s="395"/>
      <c r="J117" s="395"/>
      <c r="K117" s="395"/>
      <c r="L117" s="484"/>
    </row>
    <row r="118" spans="1:13" ht="12" customHeight="1" x14ac:dyDescent="0.2">
      <c r="A118" s="488"/>
      <c r="B118" s="395"/>
      <c r="C118" s="395"/>
      <c r="D118" s="395"/>
      <c r="E118" s="395"/>
      <c r="F118" s="395"/>
      <c r="G118" s="395"/>
      <c r="H118" s="395"/>
      <c r="I118" s="395"/>
      <c r="J118" s="395"/>
      <c r="K118" s="395"/>
      <c r="L118" s="484"/>
    </row>
    <row r="119" spans="1:13" ht="12" customHeight="1" x14ac:dyDescent="0.2">
      <c r="A119" s="395"/>
      <c r="B119" s="406" t="s">
        <v>2091</v>
      </c>
      <c r="C119" s="395"/>
      <c r="D119" s="396">
        <f>F101/G117</f>
        <v>16.733333333333338</v>
      </c>
      <c r="E119" s="395"/>
      <c r="F119" s="395"/>
      <c r="G119" s="395"/>
      <c r="H119" s="395"/>
      <c r="I119" s="395"/>
      <c r="J119" s="395"/>
      <c r="K119" s="395"/>
      <c r="L119" s="678"/>
      <c r="M119" s="775"/>
    </row>
    <row r="120" spans="1:13" ht="12" customHeight="1" x14ac:dyDescent="0.2">
      <c r="A120" s="395"/>
      <c r="B120" s="395"/>
      <c r="C120" s="395"/>
      <c r="D120" s="395"/>
      <c r="E120" s="395"/>
      <c r="F120" s="395"/>
      <c r="G120" s="395"/>
      <c r="H120" s="395"/>
      <c r="I120" s="395"/>
      <c r="J120" s="395"/>
      <c r="K120" s="395"/>
      <c r="L120" s="395"/>
      <c r="M120" s="775"/>
    </row>
    <row r="121" spans="1:13" ht="12" customHeight="1" x14ac:dyDescent="0.2">
      <c r="A121" s="488"/>
      <c r="B121" s="406" t="s">
        <v>2092</v>
      </c>
      <c r="C121" s="395"/>
      <c r="D121" s="395"/>
      <c r="E121" s="395"/>
      <c r="F121" s="395"/>
      <c r="G121" s="396">
        <f>(1+SQRT(1+D119^2))/2</f>
        <v>8.8815935901898246</v>
      </c>
      <c r="H121" s="395"/>
      <c r="I121" s="395"/>
      <c r="J121" s="395"/>
      <c r="K121" s="395"/>
      <c r="L121" s="395"/>
      <c r="M121" s="775"/>
    </row>
    <row r="122" spans="1:13" ht="12" customHeight="1" x14ac:dyDescent="0.2">
      <c r="A122" s="488"/>
      <c r="B122" s="395"/>
      <c r="C122" s="395"/>
      <c r="D122" s="395"/>
      <c r="E122" s="395"/>
      <c r="F122" s="395"/>
      <c r="G122" s="395"/>
      <c r="H122" s="395"/>
      <c r="I122" s="395"/>
      <c r="J122" s="395"/>
      <c r="K122" s="395"/>
      <c r="L122" s="484"/>
    </row>
    <row r="123" spans="1:13" ht="12" customHeight="1" x14ac:dyDescent="0.2">
      <c r="A123" s="488"/>
      <c r="B123" s="406" t="s">
        <v>2093</v>
      </c>
      <c r="C123" s="752">
        <f>E115/G117/PI()/SQRT(G121)</f>
        <v>0.10680822038955401</v>
      </c>
      <c r="D123" s="396" t="str">
        <f>IF(C123&lt;=0.167," &lt;›_  Maximum Permitted Gradient (1/6 to 1/7)"," &gt;  Maximum Permitted Gradient (1/6 to 1/7)")</f>
        <v xml:space="preserve"> &lt;›_  Maximum Permitted Gradient (1/6 to 1/7)</v>
      </c>
      <c r="E123" s="395"/>
      <c r="F123" s="395"/>
      <c r="G123" s="395"/>
      <c r="H123" s="395"/>
      <c r="I123" s="753">
        <f>1/7</f>
        <v>0.14285714285714285</v>
      </c>
      <c r="J123" s="371"/>
      <c r="K123" s="395"/>
      <c r="L123" s="484"/>
    </row>
    <row r="124" spans="1:13" ht="12" customHeight="1" x14ac:dyDescent="0.2">
      <c r="A124" s="488"/>
      <c r="B124" s="395"/>
      <c r="C124" s="396"/>
      <c r="D124" s="395"/>
      <c r="E124" s="396"/>
      <c r="F124" s="395"/>
      <c r="G124" s="395"/>
      <c r="H124" s="395"/>
      <c r="I124" s="395"/>
      <c r="J124" s="395"/>
      <c r="K124" s="395"/>
      <c r="L124" s="484"/>
    </row>
    <row r="125" spans="1:13" ht="12" customHeight="1" x14ac:dyDescent="0.2">
      <c r="A125" s="488"/>
      <c r="B125" s="396" t="str">
        <f>IF(C123&lt;=0.168," Floor and D/S Cutoff Wall Length is O.K."," Floor and D/S Cutoff Wall Length is Not O.K.")</f>
        <v xml:space="preserve"> Floor and D/S Cutoff Wall Length is O.K.</v>
      </c>
      <c r="C125" s="395"/>
      <c r="D125" s="395"/>
      <c r="E125" s="395"/>
      <c r="F125" s="395"/>
      <c r="G125" s="395"/>
      <c r="H125" s="395"/>
      <c r="I125" s="395"/>
      <c r="J125" s="395"/>
      <c r="K125" s="395"/>
      <c r="L125" s="484"/>
    </row>
    <row r="126" spans="1:13" ht="12" customHeight="1" x14ac:dyDescent="0.2">
      <c r="A126" s="488"/>
      <c r="B126" s="396"/>
      <c r="C126" s="395"/>
      <c r="D126" s="395"/>
      <c r="E126" s="395"/>
      <c r="F126" s="395"/>
      <c r="G126" s="395"/>
      <c r="H126" s="395"/>
      <c r="I126" s="395"/>
      <c r="J126" s="395"/>
      <c r="K126" s="395"/>
      <c r="L126" s="484"/>
    </row>
    <row r="127" spans="1:13" ht="12" customHeight="1" x14ac:dyDescent="0.2">
      <c r="A127" s="488"/>
      <c r="B127" s="406" t="s">
        <v>2098</v>
      </c>
      <c r="C127" s="395"/>
      <c r="D127" s="395"/>
      <c r="E127" s="395"/>
      <c r="F127" s="395"/>
      <c r="G127" s="395"/>
      <c r="H127" s="395"/>
      <c r="I127" s="395"/>
      <c r="J127" s="395"/>
      <c r="K127" s="395"/>
      <c r="L127" s="484"/>
    </row>
    <row r="128" spans="1:13" ht="12" customHeight="1" x14ac:dyDescent="0.2">
      <c r="A128" s="488"/>
      <c r="B128" s="395"/>
      <c r="C128" s="395"/>
      <c r="D128" s="395"/>
      <c r="E128" s="395"/>
      <c r="F128" s="395"/>
      <c r="G128" s="395"/>
      <c r="H128" s="395"/>
      <c r="I128" s="395"/>
      <c r="J128" s="395"/>
      <c r="K128" s="395"/>
      <c r="L128" s="484"/>
    </row>
    <row r="129" spans="1:12" ht="12" customHeight="1" x14ac:dyDescent="0.2">
      <c r="A129" s="488"/>
      <c r="B129" s="406" t="s">
        <v>2099</v>
      </c>
      <c r="C129" s="395"/>
      <c r="D129" s="395"/>
      <c r="E129" s="395"/>
      <c r="F129" s="395"/>
      <c r="G129" s="395"/>
      <c r="H129" s="395"/>
      <c r="I129" s="395"/>
      <c r="J129" s="395"/>
      <c r="K129" s="395"/>
      <c r="L129" s="484"/>
    </row>
    <row r="130" spans="1:12" ht="12" customHeight="1" x14ac:dyDescent="0.2">
      <c r="A130" s="488"/>
      <c r="B130" s="406" t="s">
        <v>2100</v>
      </c>
      <c r="C130" s="395"/>
      <c r="D130" s="395"/>
      <c r="E130" s="395"/>
      <c r="F130" s="395"/>
      <c r="G130" s="395"/>
      <c r="H130" s="395"/>
      <c r="I130" s="395"/>
      <c r="J130" s="395"/>
      <c r="K130" s="395"/>
      <c r="L130" s="484"/>
    </row>
    <row r="131" spans="1:12" ht="12" customHeight="1" x14ac:dyDescent="0.2">
      <c r="A131" s="488"/>
      <c r="B131" s="406"/>
      <c r="C131" s="395"/>
      <c r="D131" s="395"/>
      <c r="E131" s="395"/>
      <c r="F131" s="395"/>
      <c r="G131" s="395"/>
      <c r="H131" s="395"/>
      <c r="I131" s="395"/>
      <c r="J131" s="395"/>
      <c r="K131" s="395"/>
      <c r="L131" s="484"/>
    </row>
    <row r="132" spans="1:12" ht="12" customHeight="1" x14ac:dyDescent="0.2">
      <c r="A132" s="488"/>
      <c r="B132" s="395"/>
      <c r="C132" s="395"/>
      <c r="D132" s="395"/>
      <c r="E132" s="406" t="s">
        <v>2073</v>
      </c>
      <c r="F132" s="406"/>
      <c r="G132" s="395"/>
      <c r="H132" s="406" t="s">
        <v>2074</v>
      </c>
      <c r="I132" s="395"/>
      <c r="J132" s="395"/>
      <c r="K132" s="395"/>
      <c r="L132" s="484"/>
    </row>
    <row r="133" spans="1:12" ht="12" customHeight="1" x14ac:dyDescent="0.2">
      <c r="A133" s="488"/>
      <c r="B133" s="395"/>
      <c r="C133" s="395"/>
      <c r="D133" s="395"/>
      <c r="E133" s="395"/>
      <c r="F133" s="406"/>
      <c r="G133" s="395"/>
      <c r="H133" s="395"/>
      <c r="I133" s="395"/>
      <c r="J133" s="395"/>
      <c r="K133" s="395"/>
      <c r="L133" s="484"/>
    </row>
    <row r="134" spans="1:12" ht="12" customHeight="1" x14ac:dyDescent="0.2">
      <c r="A134" s="488"/>
      <c r="B134" s="395"/>
      <c r="C134" s="395"/>
      <c r="D134" s="395"/>
      <c r="E134" s="395"/>
      <c r="F134" s="406"/>
      <c r="G134" s="395"/>
      <c r="H134" s="395"/>
      <c r="I134" s="395"/>
      <c r="J134" s="395"/>
      <c r="K134" s="395"/>
      <c r="L134" s="484"/>
    </row>
    <row r="135" spans="1:12" ht="12" customHeight="1" x14ac:dyDescent="0.2">
      <c r="A135" s="488"/>
      <c r="B135" s="395"/>
      <c r="C135" s="395"/>
      <c r="D135" s="742"/>
      <c r="E135" s="742"/>
      <c r="F135" s="742"/>
      <c r="G135" s="742"/>
      <c r="H135" s="742"/>
      <c r="I135" s="742"/>
      <c r="J135" s="395"/>
      <c r="K135" s="395"/>
      <c r="L135" s="484"/>
    </row>
    <row r="136" spans="1:12" ht="12" customHeight="1" x14ac:dyDescent="0.2">
      <c r="A136" s="488"/>
      <c r="B136" s="395"/>
      <c r="C136" s="406" t="s">
        <v>2101</v>
      </c>
      <c r="D136" s="406" t="s">
        <v>2102</v>
      </c>
      <c r="E136" s="395"/>
      <c r="F136" s="395"/>
      <c r="G136" s="395"/>
      <c r="H136" s="395"/>
      <c r="I136" s="406" t="s">
        <v>2103</v>
      </c>
      <c r="J136" s="406" t="s">
        <v>2104</v>
      </c>
      <c r="K136" s="395"/>
      <c r="L136" s="484"/>
    </row>
    <row r="137" spans="1:12" ht="12" customHeight="1" x14ac:dyDescent="0.2">
      <c r="A137" s="488"/>
      <c r="B137" s="395"/>
      <c r="C137" s="395"/>
      <c r="D137" s="406"/>
      <c r="E137" s="395"/>
      <c r="F137" s="395"/>
      <c r="G137" s="395"/>
      <c r="H137" s="395"/>
      <c r="I137" s="406"/>
      <c r="J137" s="395"/>
      <c r="K137" s="395"/>
      <c r="L137" s="484"/>
    </row>
    <row r="138" spans="1:12" ht="12" customHeight="1" x14ac:dyDescent="0.2">
      <c r="A138" s="488"/>
      <c r="B138" s="395"/>
      <c r="C138" s="395"/>
      <c r="D138" s="406"/>
      <c r="E138" s="395"/>
      <c r="F138" s="395"/>
      <c r="G138" s="395"/>
      <c r="H138" s="395"/>
      <c r="I138" s="406"/>
      <c r="J138" s="395"/>
      <c r="K138" s="395"/>
      <c r="L138" s="484"/>
    </row>
    <row r="139" spans="1:12" ht="12" customHeight="1" x14ac:dyDescent="0.2">
      <c r="A139" s="488"/>
      <c r="B139" s="395"/>
      <c r="C139" s="395"/>
      <c r="D139" s="406" t="s">
        <v>2105</v>
      </c>
      <c r="E139" s="395"/>
      <c r="F139" s="395"/>
      <c r="G139" s="395"/>
      <c r="H139" s="395"/>
      <c r="I139" s="406"/>
      <c r="J139" s="406" t="s">
        <v>2106</v>
      </c>
      <c r="K139" s="395"/>
      <c r="L139" s="484"/>
    </row>
    <row r="140" spans="1:12" ht="12" customHeight="1" x14ac:dyDescent="0.2">
      <c r="A140" s="488"/>
      <c r="B140" s="395"/>
      <c r="C140" s="395"/>
      <c r="D140" s="395"/>
      <c r="E140" s="395"/>
      <c r="F140" s="395"/>
      <c r="G140" s="395"/>
      <c r="H140" s="395"/>
      <c r="I140" s="395"/>
      <c r="J140" s="395"/>
      <c r="K140" s="395"/>
      <c r="L140" s="557"/>
    </row>
    <row r="141" spans="1:12" ht="12" customHeight="1" x14ac:dyDescent="0.2">
      <c r="A141" s="488"/>
      <c r="B141" s="371"/>
      <c r="C141" s="371"/>
      <c r="D141" s="395"/>
      <c r="E141" s="395"/>
      <c r="F141" s="395"/>
      <c r="G141" s="395"/>
      <c r="H141" s="395"/>
      <c r="I141" s="395"/>
      <c r="J141" s="395"/>
      <c r="K141" s="395"/>
      <c r="L141" s="484"/>
    </row>
    <row r="142" spans="1:12" ht="12" customHeight="1" x14ac:dyDescent="0.2">
      <c r="A142" s="731"/>
      <c r="B142" s="395"/>
      <c r="C142" s="395"/>
      <c r="D142" s="395"/>
      <c r="E142" s="461" t="s">
        <v>2083</v>
      </c>
      <c r="F142" s="395"/>
      <c r="G142" s="395"/>
      <c r="H142" s="395"/>
      <c r="I142" s="395"/>
      <c r="J142" s="395"/>
      <c r="K142" s="395"/>
      <c r="L142" s="484"/>
    </row>
    <row r="143" spans="1:12" ht="12" customHeight="1" x14ac:dyDescent="0.2">
      <c r="A143" s="488"/>
      <c r="B143" s="645" t="s">
        <v>2107</v>
      </c>
      <c r="C143" s="395"/>
      <c r="D143" s="395"/>
      <c r="E143" s="395"/>
      <c r="F143" s="395"/>
      <c r="G143" s="395"/>
      <c r="H143" s="395"/>
      <c r="I143" s="395"/>
      <c r="J143" s="395"/>
      <c r="K143" s="395"/>
      <c r="L143" s="484"/>
    </row>
    <row r="144" spans="1:12" ht="12" customHeight="1" x14ac:dyDescent="0.2">
      <c r="A144" s="488"/>
      <c r="B144" s="395"/>
      <c r="C144" s="395"/>
      <c r="D144" s="395"/>
      <c r="E144" s="395"/>
      <c r="F144" s="395"/>
      <c r="G144" s="395"/>
      <c r="H144" s="395"/>
      <c r="I144" s="395"/>
      <c r="J144" s="395"/>
      <c r="K144" s="395"/>
      <c r="L144" s="484"/>
    </row>
    <row r="145" spans="1:12" ht="12" customHeight="1" x14ac:dyDescent="0.2">
      <c r="A145" s="488"/>
      <c r="B145" s="406" t="s">
        <v>2090</v>
      </c>
      <c r="C145" s="395"/>
      <c r="D145" s="395"/>
      <c r="E145" s="395"/>
      <c r="F145" s="396">
        <f>$H$44</f>
        <v>50.2</v>
      </c>
      <c r="G145" s="406" t="s">
        <v>24</v>
      </c>
      <c r="H145" s="395"/>
      <c r="I145" s="395"/>
      <c r="J145" s="395"/>
      <c r="K145" s="395"/>
      <c r="L145" s="484"/>
    </row>
    <row r="146" spans="1:12" ht="12" customHeight="1" x14ac:dyDescent="0.2">
      <c r="A146" s="488"/>
      <c r="B146" s="406" t="s">
        <v>2108</v>
      </c>
      <c r="C146" s="395"/>
      <c r="D146" s="395"/>
      <c r="E146" s="395"/>
      <c r="F146" s="395"/>
      <c r="G146" s="395"/>
      <c r="H146" s="395">
        <f>G117</f>
        <v>2.9999999999999996</v>
      </c>
      <c r="I146" s="395" t="s">
        <v>24</v>
      </c>
      <c r="J146" s="395"/>
      <c r="K146" s="395"/>
      <c r="L146" s="484"/>
    </row>
    <row r="147" spans="1:12" ht="12" customHeight="1" x14ac:dyDescent="0.2">
      <c r="A147" s="488"/>
      <c r="B147" s="395"/>
      <c r="C147" s="395"/>
      <c r="D147" s="395"/>
      <c r="E147" s="395"/>
      <c r="F147" s="395"/>
      <c r="G147" s="395"/>
      <c r="H147" s="395"/>
      <c r="I147" s="395"/>
      <c r="J147" s="395"/>
      <c r="K147" s="395"/>
      <c r="L147" s="484"/>
    </row>
    <row r="148" spans="1:12" ht="12" customHeight="1" thickBot="1" x14ac:dyDescent="0.25">
      <c r="A148" s="488"/>
      <c r="B148" s="406" t="s">
        <v>2091</v>
      </c>
      <c r="C148" s="395"/>
      <c r="D148" s="396">
        <f>F145/H146</f>
        <v>16.733333333333338</v>
      </c>
      <c r="E148" s="395"/>
      <c r="F148" s="395"/>
      <c r="G148" s="395"/>
      <c r="H148" s="395"/>
      <c r="I148" s="395"/>
      <c r="J148" s="395"/>
      <c r="K148" s="395"/>
      <c r="L148" s="465" t="s">
        <v>2432</v>
      </c>
    </row>
    <row r="149" spans="1:12" ht="12" customHeight="1" x14ac:dyDescent="0.2">
      <c r="A149" s="488"/>
      <c r="B149" s="406" t="s">
        <v>2092</v>
      </c>
      <c r="C149" s="395"/>
      <c r="D149" s="395"/>
      <c r="E149" s="395"/>
      <c r="F149" s="395"/>
      <c r="G149" s="396">
        <f>(1+SQRT(1+D148^2))/2</f>
        <v>8.8815935901898246</v>
      </c>
      <c r="H149" s="395"/>
      <c r="I149" s="395"/>
      <c r="J149" s="395"/>
      <c r="K149" s="395"/>
      <c r="L149" s="484"/>
    </row>
    <row r="150" spans="1:12" ht="12" customHeight="1" x14ac:dyDescent="0.2">
      <c r="A150" s="488"/>
      <c r="B150" s="395"/>
      <c r="C150" s="395"/>
      <c r="D150" s="395"/>
      <c r="E150" s="395"/>
      <c r="F150" s="395"/>
      <c r="G150" s="395"/>
      <c r="H150" s="395"/>
      <c r="I150" s="395"/>
      <c r="J150" s="395"/>
      <c r="K150" s="395"/>
      <c r="L150" s="484"/>
    </row>
    <row r="151" spans="1:12" ht="12" customHeight="1" x14ac:dyDescent="0.2">
      <c r="A151" s="488"/>
      <c r="B151" s="406" t="s">
        <v>2109</v>
      </c>
      <c r="C151" s="754"/>
      <c r="D151" s="395"/>
      <c r="E151" s="395"/>
      <c r="F151" s="395"/>
      <c r="G151" s="395"/>
      <c r="H151" s="395"/>
      <c r="I151" s="395"/>
      <c r="J151" s="395"/>
      <c r="K151" s="395"/>
      <c r="L151" s="484"/>
    </row>
    <row r="152" spans="1:12" ht="12" customHeight="1" x14ac:dyDescent="0.2">
      <c r="A152" s="488"/>
      <c r="B152" s="395"/>
      <c r="C152" s="395"/>
      <c r="D152" s="395"/>
      <c r="E152" s="395"/>
      <c r="F152" s="395"/>
      <c r="G152" s="395"/>
      <c r="H152" s="395"/>
      <c r="I152" s="395"/>
      <c r="J152" s="395"/>
      <c r="K152" s="395"/>
      <c r="L152" s="484"/>
    </row>
    <row r="153" spans="1:12" ht="12" customHeight="1" x14ac:dyDescent="0.2">
      <c r="A153" s="488"/>
      <c r="B153" s="406" t="s">
        <v>2110</v>
      </c>
      <c r="C153" s="395"/>
      <c r="D153" s="395"/>
      <c r="E153" s="395"/>
      <c r="F153" s="395"/>
      <c r="G153" s="411">
        <f>1-ACOS((G149-2)/G149)/PI()</f>
        <v>0.78215710950401851</v>
      </c>
      <c r="H153" s="395"/>
      <c r="I153" s="395"/>
      <c r="J153" s="395"/>
      <c r="K153" s="395"/>
      <c r="L153" s="484"/>
    </row>
    <row r="154" spans="1:12" ht="12" customHeight="1" x14ac:dyDescent="0.2">
      <c r="A154" s="488"/>
      <c r="B154" s="395"/>
      <c r="C154" s="395"/>
      <c r="D154" s="395"/>
      <c r="E154" s="395"/>
      <c r="F154" s="395"/>
      <c r="G154" s="395"/>
      <c r="H154" s="411"/>
      <c r="I154" s="395"/>
      <c r="J154" s="395"/>
      <c r="K154" s="395"/>
      <c r="L154" s="484"/>
    </row>
    <row r="155" spans="1:12" ht="12" customHeight="1" x14ac:dyDescent="0.2">
      <c r="A155" s="488"/>
      <c r="B155" s="406" t="s">
        <v>2111</v>
      </c>
      <c r="C155" s="395"/>
      <c r="D155" s="395"/>
      <c r="E155" s="395"/>
      <c r="F155" s="395"/>
      <c r="G155" s="411">
        <f>1-ACOS((G149-1)/G149)/PI()</f>
        <v>0.84749595775606568</v>
      </c>
      <c r="H155" s="395"/>
      <c r="I155" s="395"/>
      <c r="J155" s="395"/>
      <c r="K155" s="395"/>
      <c r="L155" s="484"/>
    </row>
    <row r="156" spans="1:12" ht="12" customHeight="1" x14ac:dyDescent="0.2">
      <c r="A156" s="488"/>
      <c r="B156" s="395"/>
      <c r="C156" s="395"/>
      <c r="D156" s="395"/>
      <c r="E156" s="395"/>
      <c r="F156" s="395"/>
      <c r="G156" s="395"/>
      <c r="H156" s="395"/>
      <c r="I156" s="395"/>
      <c r="J156" s="395"/>
      <c r="K156" s="395"/>
      <c r="L156" s="484"/>
    </row>
    <row r="157" spans="1:12" ht="12" customHeight="1" x14ac:dyDescent="0.2">
      <c r="A157" s="488"/>
      <c r="B157" s="406" t="s">
        <v>2112</v>
      </c>
      <c r="C157" s="395"/>
      <c r="D157" s="395"/>
      <c r="E157" s="395"/>
      <c r="F157" s="395"/>
      <c r="G157" s="395"/>
      <c r="H157" s="395"/>
      <c r="I157" s="395"/>
      <c r="J157" s="395"/>
      <c r="K157" s="395"/>
      <c r="L157" s="484"/>
    </row>
    <row r="158" spans="1:12" ht="12" customHeight="1" x14ac:dyDescent="0.2">
      <c r="A158" s="488"/>
      <c r="B158" s="395"/>
      <c r="C158" s="406" t="s">
        <v>2113</v>
      </c>
      <c r="D158" s="395"/>
      <c r="E158" s="395"/>
      <c r="F158" s="395"/>
      <c r="G158" s="395"/>
      <c r="H158" s="395"/>
      <c r="I158" s="395"/>
      <c r="J158" s="395"/>
      <c r="K158" s="395"/>
      <c r="L158" s="484"/>
    </row>
    <row r="159" spans="1:12" ht="12" customHeight="1" x14ac:dyDescent="0.2">
      <c r="A159" s="488"/>
      <c r="B159" s="395"/>
      <c r="C159" s="406" t="s">
        <v>2114</v>
      </c>
      <c r="D159" s="395"/>
      <c r="E159" s="395"/>
      <c r="F159" s="395"/>
      <c r="G159" s="395"/>
      <c r="H159" s="395"/>
      <c r="I159" s="395"/>
      <c r="J159" s="395"/>
      <c r="K159" s="395"/>
      <c r="L159" s="484"/>
    </row>
    <row r="160" spans="1:12" ht="12" customHeight="1" x14ac:dyDescent="0.2">
      <c r="A160" s="488"/>
      <c r="B160" s="395"/>
      <c r="C160" s="395"/>
      <c r="D160" s="395"/>
      <c r="E160" s="395"/>
      <c r="F160" s="395"/>
      <c r="G160" s="395"/>
      <c r="H160" s="395"/>
      <c r="I160" s="395"/>
      <c r="J160" s="395"/>
      <c r="K160" s="395"/>
      <c r="L160" s="484"/>
    </row>
    <row r="161" spans="1:12" ht="12" customHeight="1" x14ac:dyDescent="0.3">
      <c r="A161" s="488"/>
      <c r="B161" s="406" t="s">
        <v>2115</v>
      </c>
      <c r="C161" s="395"/>
      <c r="D161" s="395"/>
      <c r="E161" s="395"/>
      <c r="F161" s="395"/>
      <c r="G161" s="395"/>
      <c r="H161" s="395"/>
      <c r="I161" s="395"/>
      <c r="J161" s="395"/>
      <c r="K161" s="395"/>
      <c r="L161" s="484"/>
    </row>
    <row r="162" spans="1:12" ht="12" customHeight="1" x14ac:dyDescent="0.2">
      <c r="A162" s="488"/>
      <c r="B162" s="395"/>
      <c r="C162" s="395"/>
      <c r="D162" s="395"/>
      <c r="E162" s="395"/>
      <c r="F162" s="395"/>
      <c r="G162" s="395"/>
      <c r="H162" s="395"/>
      <c r="I162" s="395"/>
      <c r="J162" s="395"/>
      <c r="K162" s="395"/>
      <c r="L162" s="484"/>
    </row>
    <row r="163" spans="1:12" ht="12" customHeight="1" x14ac:dyDescent="0.2">
      <c r="A163" s="488"/>
      <c r="B163" s="406" t="s">
        <v>2116</v>
      </c>
      <c r="C163" s="395"/>
      <c r="D163" s="395"/>
      <c r="E163" s="395"/>
      <c r="F163" s="396">
        <f>$H$44</f>
        <v>50.2</v>
      </c>
      <c r="G163" s="406" t="s">
        <v>24</v>
      </c>
      <c r="H163" s="395"/>
      <c r="I163" s="395"/>
      <c r="J163" s="395"/>
      <c r="K163" s="395"/>
      <c r="L163" s="484"/>
    </row>
    <row r="164" spans="1:12" ht="12" customHeight="1" x14ac:dyDescent="0.2">
      <c r="A164" s="488"/>
      <c r="B164" s="406" t="s">
        <v>2117</v>
      </c>
      <c r="C164" s="395"/>
      <c r="D164" s="395"/>
      <c r="E164" s="395"/>
      <c r="F164" s="395"/>
      <c r="G164" s="395"/>
      <c r="H164" s="396">
        <f>$H$45</f>
        <v>49.300000000000004</v>
      </c>
      <c r="I164" s="406" t="s">
        <v>24</v>
      </c>
      <c r="J164" s="371"/>
      <c r="K164" s="371"/>
      <c r="L164" s="484"/>
    </row>
    <row r="165" spans="1:12" ht="12" customHeight="1" x14ac:dyDescent="0.2">
      <c r="A165" s="488"/>
      <c r="B165" s="395"/>
      <c r="C165" s="395"/>
      <c r="D165" s="395"/>
      <c r="E165" s="395"/>
      <c r="F165" s="395"/>
      <c r="G165" s="395"/>
      <c r="H165" s="395"/>
      <c r="I165" s="395"/>
      <c r="J165" s="395"/>
      <c r="K165" s="395"/>
      <c r="L165" s="484"/>
    </row>
    <row r="166" spans="1:12" ht="12" customHeight="1" x14ac:dyDescent="0.2">
      <c r="A166" s="488"/>
      <c r="B166" s="406" t="s">
        <v>2118</v>
      </c>
      <c r="C166" s="395"/>
      <c r="D166" s="395"/>
      <c r="E166" s="395"/>
      <c r="F166" s="395"/>
      <c r="G166" s="395"/>
      <c r="H166" s="395"/>
      <c r="I166" s="395"/>
      <c r="J166" s="395"/>
      <c r="K166" s="395"/>
      <c r="L166" s="484"/>
    </row>
    <row r="167" spans="1:12" ht="12" customHeight="1" x14ac:dyDescent="0.2">
      <c r="A167" s="488"/>
      <c r="B167" s="406" t="s">
        <v>2119</v>
      </c>
      <c r="C167" s="395"/>
      <c r="D167" s="395"/>
      <c r="E167" s="395"/>
      <c r="F167" s="395"/>
      <c r="G167" s="395"/>
      <c r="H167" s="395">
        <f>G37-F31</f>
        <v>2.2999999999999998</v>
      </c>
      <c r="I167" s="395" t="s">
        <v>24</v>
      </c>
      <c r="J167" s="371"/>
      <c r="K167" s="371"/>
      <c r="L167" s="484"/>
    </row>
    <row r="168" spans="1:12" ht="12" customHeight="1" x14ac:dyDescent="0.2">
      <c r="A168" s="488"/>
      <c r="B168" s="395"/>
      <c r="C168" s="395"/>
      <c r="D168" s="395"/>
      <c r="E168" s="395"/>
      <c r="F168" s="395"/>
      <c r="G168" s="395"/>
      <c r="H168" s="395"/>
      <c r="I168" s="395"/>
      <c r="J168" s="395"/>
      <c r="K168" s="395"/>
      <c r="L168" s="484"/>
    </row>
    <row r="169" spans="1:12" ht="12" customHeight="1" x14ac:dyDescent="0.2">
      <c r="A169" s="488"/>
      <c r="B169" s="406" t="s">
        <v>2120</v>
      </c>
      <c r="C169" s="395"/>
      <c r="D169" s="395"/>
      <c r="E169" s="395"/>
      <c r="F169" s="395"/>
      <c r="G169" s="395"/>
      <c r="H169" s="395"/>
      <c r="I169" s="395"/>
      <c r="J169" s="395"/>
      <c r="K169" s="395"/>
      <c r="L169" s="484"/>
    </row>
    <row r="170" spans="1:12" ht="12" customHeight="1" x14ac:dyDescent="0.2">
      <c r="A170" s="488"/>
      <c r="B170" s="406" t="s">
        <v>2121</v>
      </c>
      <c r="C170" s="395"/>
      <c r="D170" s="395"/>
      <c r="E170" s="395"/>
      <c r="F170" s="395"/>
      <c r="G170" s="395"/>
      <c r="H170" s="395">
        <f>G38-F32</f>
        <v>2.2999999999999998</v>
      </c>
      <c r="I170" s="395" t="s">
        <v>24</v>
      </c>
      <c r="J170" s="371"/>
      <c r="K170" s="371"/>
      <c r="L170" s="484"/>
    </row>
    <row r="171" spans="1:12" ht="12" customHeight="1" x14ac:dyDescent="0.2">
      <c r="A171" s="488"/>
      <c r="B171" s="406" t="s">
        <v>198</v>
      </c>
      <c r="C171" s="396"/>
      <c r="D171" s="406"/>
      <c r="E171" s="396"/>
      <c r="F171" s="406"/>
      <c r="G171" s="396"/>
      <c r="H171" s="406"/>
      <c r="I171" s="395"/>
      <c r="J171" s="395"/>
      <c r="K171" s="395"/>
      <c r="L171" s="484"/>
    </row>
    <row r="172" spans="1:12" ht="12" customHeight="1" x14ac:dyDescent="0.3">
      <c r="A172" s="488"/>
      <c r="B172" s="406" t="s">
        <v>2122</v>
      </c>
      <c r="C172" s="395"/>
      <c r="D172" s="411">
        <f>19*SQRT(H170/H164)*(H167+H170)/F163</f>
        <v>0.37605223472767302</v>
      </c>
      <c r="E172" s="406" t="s">
        <v>2123</v>
      </c>
      <c r="F172" s="395"/>
      <c r="G172" s="396"/>
      <c r="H172" s="406"/>
      <c r="I172" s="395"/>
      <c r="J172" s="395"/>
      <c r="K172" s="395"/>
      <c r="L172" s="484"/>
    </row>
    <row r="173" spans="1:12" ht="12" customHeight="1" x14ac:dyDescent="0.2">
      <c r="A173" s="488"/>
      <c r="B173" s="395"/>
      <c r="C173" s="395"/>
      <c r="D173" s="395"/>
      <c r="E173" s="395"/>
      <c r="F173" s="395"/>
      <c r="G173" s="395"/>
      <c r="H173" s="395"/>
      <c r="I173" s="395"/>
      <c r="J173" s="395"/>
      <c r="K173" s="395"/>
      <c r="L173" s="755"/>
    </row>
    <row r="174" spans="1:12" ht="12" customHeight="1" x14ac:dyDescent="0.3">
      <c r="A174" s="488"/>
      <c r="B174" s="406" t="s">
        <v>2124</v>
      </c>
      <c r="C174" s="395"/>
      <c r="D174" s="395"/>
      <c r="E174" s="395"/>
      <c r="F174" s="395"/>
      <c r="G174" s="395"/>
      <c r="H174" s="395"/>
      <c r="I174" s="395"/>
      <c r="J174" s="395"/>
      <c r="K174" s="395"/>
      <c r="L174" s="756"/>
    </row>
    <row r="175" spans="1:12" ht="12" customHeight="1" x14ac:dyDescent="0.2">
      <c r="A175" s="488"/>
      <c r="B175" s="406" t="s">
        <v>2125</v>
      </c>
      <c r="C175" s="395"/>
      <c r="D175" s="395"/>
      <c r="E175" s="395"/>
      <c r="F175" s="395"/>
      <c r="G175" s="395"/>
      <c r="H175" s="395"/>
      <c r="I175" s="395"/>
      <c r="J175" s="395"/>
      <c r="K175" s="395"/>
      <c r="L175" s="484"/>
    </row>
    <row r="176" spans="1:12" ht="12" customHeight="1" x14ac:dyDescent="0.2">
      <c r="A176" s="488"/>
      <c r="B176" s="406" t="s">
        <v>2126</v>
      </c>
      <c r="C176" s="395"/>
      <c r="D176" s="395"/>
      <c r="E176" s="395"/>
      <c r="F176" s="395"/>
      <c r="G176" s="395"/>
      <c r="H176" s="395"/>
      <c r="I176" s="395"/>
      <c r="J176" s="395"/>
      <c r="K176" s="395"/>
      <c r="L176" s="484"/>
    </row>
    <row r="177" spans="1:12" ht="12" customHeight="1" x14ac:dyDescent="0.2">
      <c r="A177" s="488"/>
      <c r="B177" s="406" t="s">
        <v>2127</v>
      </c>
      <c r="C177" s="395"/>
      <c r="D177" s="395"/>
      <c r="E177" s="395"/>
      <c r="F177" s="395"/>
      <c r="G177" s="395"/>
      <c r="H177" s="395"/>
      <c r="I177" s="396">
        <f>$F$28-$G$37</f>
        <v>0.69999999999999973</v>
      </c>
      <c r="J177" s="395" t="s">
        <v>24</v>
      </c>
      <c r="K177" s="371"/>
      <c r="L177" s="557"/>
    </row>
    <row r="178" spans="1:12" ht="12" customHeight="1" x14ac:dyDescent="0.2">
      <c r="A178" s="488"/>
      <c r="B178" s="395"/>
      <c r="C178" s="395"/>
      <c r="D178" s="395"/>
      <c r="E178" s="395"/>
      <c r="F178" s="395"/>
      <c r="G178" s="395"/>
      <c r="H178" s="395"/>
      <c r="I178" s="395"/>
      <c r="J178" s="395"/>
      <c r="K178" s="395"/>
      <c r="L178" s="484"/>
    </row>
    <row r="179" spans="1:12" ht="12" customHeight="1" x14ac:dyDescent="0.2">
      <c r="A179" s="488"/>
      <c r="B179" s="406" t="s">
        <v>2128</v>
      </c>
      <c r="C179" s="395"/>
      <c r="D179" s="395"/>
      <c r="E179" s="395"/>
      <c r="F179" s="395"/>
      <c r="G179" s="395"/>
      <c r="H179" s="395"/>
      <c r="I179" s="395"/>
      <c r="J179" s="395"/>
      <c r="K179" s="395"/>
      <c r="L179" s="484"/>
    </row>
    <row r="180" spans="1:12" ht="12" customHeight="1" x14ac:dyDescent="0.2">
      <c r="A180" s="488"/>
      <c r="B180" s="406" t="s">
        <v>2129</v>
      </c>
      <c r="C180" s="395"/>
      <c r="D180" s="395"/>
      <c r="E180" s="395"/>
      <c r="F180" s="395"/>
      <c r="G180" s="395"/>
      <c r="H180" s="395"/>
      <c r="I180" s="396">
        <f>$F$28-$F$31</f>
        <v>2.9999999999999996</v>
      </c>
      <c r="J180" s="395" t="s">
        <v>24</v>
      </c>
      <c r="K180" s="371"/>
      <c r="L180" s="557"/>
    </row>
    <row r="181" spans="1:12" ht="12" customHeight="1" x14ac:dyDescent="0.2">
      <c r="A181" s="488"/>
      <c r="B181" s="395"/>
      <c r="C181" s="395"/>
      <c r="D181" s="395"/>
      <c r="E181" s="395"/>
      <c r="F181" s="395"/>
      <c r="G181" s="395"/>
      <c r="H181" s="395"/>
      <c r="I181" s="395"/>
      <c r="J181" s="395"/>
      <c r="K181" s="395"/>
      <c r="L181" s="484"/>
    </row>
    <row r="182" spans="1:12" ht="12" customHeight="1" x14ac:dyDescent="0.2">
      <c r="A182" s="488"/>
      <c r="B182" s="406" t="s">
        <v>2130</v>
      </c>
      <c r="C182" s="395"/>
      <c r="D182" s="411">
        <f>(G155-G153)*I177/I180</f>
        <v>1.5245731258811001E-2</v>
      </c>
      <c r="E182" s="406" t="s">
        <v>2131</v>
      </c>
      <c r="F182" s="406" t="s">
        <v>2123</v>
      </c>
      <c r="G182" s="395"/>
      <c r="H182" s="395"/>
      <c r="I182" s="395"/>
      <c r="J182" s="395"/>
      <c r="K182" s="395"/>
      <c r="L182" s="484"/>
    </row>
    <row r="183" spans="1:12" ht="12" customHeight="1" x14ac:dyDescent="0.2">
      <c r="A183" s="488"/>
      <c r="B183" s="395"/>
      <c r="C183" s="406" t="s">
        <v>2132</v>
      </c>
      <c r="D183" s="742"/>
      <c r="E183" s="742"/>
      <c r="F183" s="742"/>
      <c r="G183" s="406"/>
      <c r="H183" s="395"/>
      <c r="I183" s="395"/>
      <c r="J183" s="395"/>
      <c r="K183" s="395"/>
      <c r="L183" s="484"/>
    </row>
    <row r="184" spans="1:12" ht="12" customHeight="1" x14ac:dyDescent="0.2">
      <c r="A184" s="488"/>
      <c r="B184" s="406" t="s">
        <v>2133</v>
      </c>
      <c r="C184" s="395"/>
      <c r="D184" s="395"/>
      <c r="E184" s="395"/>
      <c r="F184" s="395"/>
      <c r="G184" s="395"/>
      <c r="H184" s="411">
        <f>G153+D172+D182</f>
        <v>1.1734550754905024</v>
      </c>
      <c r="I184" s="395"/>
      <c r="J184" s="395"/>
      <c r="K184" s="395"/>
      <c r="L184" s="776"/>
    </row>
    <row r="185" spans="1:12" ht="12" customHeight="1" x14ac:dyDescent="0.2">
      <c r="A185" s="395"/>
      <c r="B185" s="395"/>
      <c r="C185" s="395"/>
      <c r="D185" s="395"/>
      <c r="E185" s="395"/>
      <c r="F185" s="395"/>
      <c r="G185" s="395"/>
      <c r="H185" s="395"/>
      <c r="I185" s="395"/>
      <c r="J185" s="395"/>
      <c r="K185" s="395"/>
      <c r="L185" s="395"/>
    </row>
    <row r="186" spans="1:12" ht="12" customHeight="1" x14ac:dyDescent="0.2">
      <c r="A186" s="727"/>
      <c r="B186" s="645" t="s">
        <v>2134</v>
      </c>
      <c r="C186" s="395"/>
      <c r="D186" s="395"/>
      <c r="E186" s="395"/>
      <c r="F186" s="395"/>
      <c r="G186" s="395"/>
      <c r="H186" s="395"/>
      <c r="I186" s="395"/>
      <c r="J186" s="395"/>
      <c r="K186" s="395"/>
      <c r="L186" s="484"/>
    </row>
    <row r="187" spans="1:12" ht="12" customHeight="1" x14ac:dyDescent="0.2">
      <c r="A187" s="488"/>
      <c r="B187" s="406" t="s">
        <v>2091</v>
      </c>
      <c r="C187" s="395"/>
      <c r="D187" s="396"/>
      <c r="E187" s="396">
        <f>H44/(F29-F32)</f>
        <v>16.733333333333334</v>
      </c>
      <c r="F187" s="396"/>
      <c r="G187" s="371"/>
      <c r="H187" s="371"/>
      <c r="I187" s="395"/>
      <c r="J187" s="395"/>
      <c r="K187" s="395"/>
      <c r="L187" s="484"/>
    </row>
    <row r="188" spans="1:12" ht="12" customHeight="1" x14ac:dyDescent="0.2">
      <c r="A188" s="488"/>
      <c r="B188" s="406" t="s">
        <v>2092</v>
      </c>
      <c r="C188" s="395"/>
      <c r="D188" s="395"/>
      <c r="E188" s="396">
        <f>(1+SQRT(1+E187^2))/2</f>
        <v>8.8815935901898229</v>
      </c>
      <c r="F188" s="395"/>
      <c r="G188" s="371"/>
      <c r="H188" s="395"/>
      <c r="I188" s="395"/>
      <c r="J188" s="395"/>
      <c r="K188" s="395"/>
      <c r="L188" s="484"/>
    </row>
    <row r="189" spans="1:12" ht="12" customHeight="1" x14ac:dyDescent="0.2">
      <c r="A189" s="488"/>
      <c r="B189" s="406" t="s">
        <v>2135</v>
      </c>
      <c r="C189" s="395"/>
      <c r="D189" s="395"/>
      <c r="E189" s="395"/>
      <c r="F189" s="395"/>
      <c r="G189" s="395"/>
      <c r="H189" s="395"/>
      <c r="I189" s="395"/>
      <c r="J189" s="395"/>
      <c r="K189" s="395"/>
      <c r="L189" s="484"/>
    </row>
    <row r="190" spans="1:12" ht="12" customHeight="1" x14ac:dyDescent="0.2">
      <c r="A190" s="488"/>
      <c r="B190" s="406" t="s">
        <v>2136</v>
      </c>
      <c r="C190" s="395"/>
      <c r="D190" s="395"/>
      <c r="E190" s="411">
        <f>ACOS((E188-2)/E188)/PI()</f>
        <v>0.21784289049598152</v>
      </c>
      <c r="F190" s="371"/>
      <c r="G190" s="395"/>
      <c r="H190" s="395"/>
      <c r="I190" s="395"/>
      <c r="J190" s="395"/>
      <c r="K190" s="395"/>
      <c r="L190" s="484"/>
    </row>
    <row r="191" spans="1:12" ht="12" customHeight="1" x14ac:dyDescent="0.2">
      <c r="A191" s="488"/>
      <c r="B191" s="406" t="s">
        <v>2137</v>
      </c>
      <c r="C191" s="395"/>
      <c r="D191" s="395"/>
      <c r="E191" s="411">
        <f>ACOS((E188-1)/E188)/PI()</f>
        <v>0.15250404224393438</v>
      </c>
      <c r="F191" s="371"/>
      <c r="G191" s="395"/>
      <c r="H191" s="395"/>
      <c r="I191" s="395"/>
      <c r="J191" s="395"/>
      <c r="K191" s="395"/>
      <c r="L191" s="484"/>
    </row>
    <row r="192" spans="1:12" ht="12" customHeight="1" x14ac:dyDescent="0.2">
      <c r="A192" s="488"/>
      <c r="B192" s="406" t="s">
        <v>2138</v>
      </c>
      <c r="C192" s="395"/>
      <c r="D192" s="395"/>
      <c r="E192" s="395"/>
      <c r="F192" s="395"/>
      <c r="G192" s="395"/>
      <c r="H192" s="395"/>
      <c r="I192" s="395"/>
      <c r="J192" s="395"/>
      <c r="K192" s="395"/>
      <c r="L192" s="484"/>
    </row>
    <row r="193" spans="1:12" ht="12" customHeight="1" x14ac:dyDescent="0.2">
      <c r="A193" s="488"/>
      <c r="B193" s="406" t="s">
        <v>2139</v>
      </c>
      <c r="C193" s="395"/>
      <c r="D193" s="395"/>
      <c r="E193" s="395"/>
      <c r="F193" s="395">
        <v>19</v>
      </c>
      <c r="G193" s="395">
        <f>((G38-F31)/H45)^0.5</f>
        <v>0.20883138573342558</v>
      </c>
      <c r="H193" s="675">
        <f>((G38-F32)+(G38-F31))/H44</f>
        <v>8.8645418326693204E-2</v>
      </c>
      <c r="I193" s="473" t="s">
        <v>249</v>
      </c>
      <c r="J193" s="757">
        <f>F193*G193*H193/100</f>
        <v>3.5172696541356831E-3</v>
      </c>
      <c r="K193" s="406" t="s">
        <v>2140</v>
      </c>
      <c r="L193" s="484"/>
    </row>
    <row r="194" spans="1:12" ht="12" customHeight="1" x14ac:dyDescent="0.2">
      <c r="A194" s="488"/>
      <c r="B194" s="406" t="s">
        <v>2141</v>
      </c>
      <c r="C194" s="395"/>
      <c r="D194" s="395"/>
      <c r="E194" s="757">
        <f>(E190-E191)*(F29-G38)/(F29-F32)</f>
        <v>1.5245731258811004E-2</v>
      </c>
      <c r="F194" s="406"/>
      <c r="G194" s="411"/>
      <c r="H194" s="406"/>
      <c r="I194" s="396"/>
      <c r="J194" s="406"/>
      <c r="K194" s="411"/>
      <c r="L194" s="745"/>
    </row>
    <row r="195" spans="1:12" ht="12" customHeight="1" x14ac:dyDescent="0.2">
      <c r="A195" s="488"/>
      <c r="B195" s="406" t="s">
        <v>2142</v>
      </c>
      <c r="C195" s="395"/>
      <c r="D195" s="395"/>
      <c r="E195" s="395"/>
      <c r="F195" s="411">
        <f>E190-J193-E194</f>
        <v>0.19907988958303482</v>
      </c>
      <c r="G195" s="395"/>
      <c r="H195" s="371"/>
      <c r="I195" s="395"/>
      <c r="J195" s="395"/>
      <c r="K195" s="395"/>
      <c r="L195" s="557"/>
    </row>
    <row r="196" spans="1:12" ht="12" customHeight="1" x14ac:dyDescent="0.2">
      <c r="A196" s="727"/>
      <c r="B196" s="406" t="s">
        <v>2143</v>
      </c>
      <c r="C196" s="395"/>
      <c r="D196" s="395"/>
      <c r="E196" s="395"/>
      <c r="F196" s="395"/>
      <c r="G196" s="395"/>
      <c r="H196" s="395"/>
      <c r="I196" s="395"/>
      <c r="J196" s="395"/>
      <c r="K196" s="395"/>
      <c r="L196" s="484"/>
    </row>
    <row r="197" spans="1:12" ht="12" customHeight="1" x14ac:dyDescent="0.2">
      <c r="A197" s="488"/>
      <c r="B197" s="406" t="s">
        <v>2144</v>
      </c>
      <c r="C197" s="395"/>
      <c r="D197" s="395"/>
      <c r="E197" s="395"/>
      <c r="F197" s="395"/>
      <c r="G197" s="395"/>
      <c r="H197" s="396">
        <f>$F$21-$F$22</f>
        <v>2.0099999999999998</v>
      </c>
      <c r="I197" s="406" t="s">
        <v>24</v>
      </c>
      <c r="J197" s="395"/>
      <c r="K197" s="371"/>
      <c r="L197" s="557"/>
    </row>
    <row r="198" spans="1:12" ht="12" customHeight="1" x14ac:dyDescent="0.2">
      <c r="A198" s="488"/>
      <c r="B198" s="406" t="s">
        <v>2145</v>
      </c>
      <c r="C198" s="395"/>
      <c r="D198" s="395"/>
      <c r="E198" s="395"/>
      <c r="F198" s="395"/>
      <c r="G198" s="395"/>
      <c r="H198" s="371"/>
      <c r="I198" s="406"/>
      <c r="J198" s="396">
        <f>(23.6-9.81)/9.81</f>
        <v>1.4057084607543324</v>
      </c>
      <c r="K198" s="371"/>
      <c r="L198" s="557"/>
    </row>
    <row r="199" spans="1:12" ht="12" customHeight="1" x14ac:dyDescent="0.2">
      <c r="A199" s="488"/>
      <c r="B199" s="395"/>
      <c r="C199" s="395"/>
      <c r="D199" s="395"/>
      <c r="E199" s="395"/>
      <c r="F199" s="395"/>
      <c r="G199" s="395"/>
      <c r="H199" s="395"/>
      <c r="I199" s="395"/>
      <c r="J199" s="395"/>
      <c r="K199" s="395"/>
      <c r="L199" s="484"/>
    </row>
    <row r="200" spans="1:12" ht="12" customHeight="1" x14ac:dyDescent="0.2">
      <c r="A200" s="488"/>
      <c r="B200" s="406" t="s">
        <v>2238</v>
      </c>
      <c r="C200" s="395"/>
      <c r="D200" s="395"/>
      <c r="E200" s="395"/>
      <c r="F200" s="395"/>
      <c r="G200" s="395"/>
      <c r="H200" s="395"/>
      <c r="I200" s="395"/>
      <c r="J200" s="395"/>
      <c r="K200" s="395"/>
      <c r="L200" s="484"/>
    </row>
    <row r="201" spans="1:12" ht="12" customHeight="1" x14ac:dyDescent="0.2">
      <c r="A201" s="488"/>
      <c r="B201" s="406"/>
      <c r="C201" s="395"/>
      <c r="D201" s="395"/>
      <c r="E201" s="395"/>
      <c r="F201" s="395"/>
      <c r="G201" s="395"/>
      <c r="H201" s="395"/>
      <c r="I201" s="395"/>
      <c r="J201" s="395"/>
      <c r="K201" s="395"/>
      <c r="L201" s="484"/>
    </row>
    <row r="202" spans="1:12" ht="12" customHeight="1" x14ac:dyDescent="0.2">
      <c r="A202" s="488"/>
      <c r="B202" s="761" t="s">
        <v>2146</v>
      </c>
      <c r="C202" s="407"/>
      <c r="D202" s="407" t="s">
        <v>2147</v>
      </c>
      <c r="E202" s="407"/>
      <c r="F202" s="762" t="s">
        <v>2148</v>
      </c>
      <c r="G202" s="1500" t="s">
        <v>2149</v>
      </c>
      <c r="H202" s="1500"/>
      <c r="I202" s="407" t="s">
        <v>2150</v>
      </c>
      <c r="J202" s="762"/>
      <c r="K202" s="763" t="s">
        <v>2151</v>
      </c>
      <c r="L202" s="758"/>
    </row>
    <row r="203" spans="1:12" ht="12" customHeight="1" x14ac:dyDescent="0.2">
      <c r="A203" s="488"/>
      <c r="B203" s="761"/>
      <c r="C203" s="407"/>
      <c r="D203" s="407" t="s">
        <v>2152</v>
      </c>
      <c r="E203" s="407"/>
      <c r="F203" s="407"/>
      <c r="G203" s="1500" t="s">
        <v>2153</v>
      </c>
      <c r="H203" s="1500"/>
      <c r="I203" s="371"/>
      <c r="J203" s="764" t="s">
        <v>2154</v>
      </c>
      <c r="K203" s="763" t="s">
        <v>2155</v>
      </c>
      <c r="L203" s="758"/>
    </row>
    <row r="204" spans="1:12" ht="12" customHeight="1" x14ac:dyDescent="0.2">
      <c r="A204" s="488"/>
      <c r="B204" s="765">
        <v>1</v>
      </c>
      <c r="C204" s="407" t="s">
        <v>2073</v>
      </c>
      <c r="D204" s="407">
        <f t="shared" ref="D204:D209" si="0">D50</f>
        <v>0</v>
      </c>
      <c r="E204" s="407"/>
      <c r="F204" s="408">
        <f>H184</f>
        <v>1.1734550754905024</v>
      </c>
      <c r="G204" s="407"/>
      <c r="H204" s="407">
        <f>$H$197*F204/J198</f>
        <v>1.6779046065285912</v>
      </c>
      <c r="I204" s="407"/>
      <c r="J204" s="407">
        <f t="shared" ref="J204:J209" si="1">($F$21-$F$22)*F204*9.81</f>
        <v>23.138304524029277</v>
      </c>
      <c r="K204" s="407"/>
      <c r="L204" s="758"/>
    </row>
    <row r="205" spans="1:12" ht="12" customHeight="1" x14ac:dyDescent="0.2">
      <c r="A205" s="488"/>
      <c r="B205" s="762" t="s">
        <v>2063</v>
      </c>
      <c r="C205" s="407"/>
      <c r="D205" s="407">
        <f t="shared" si="0"/>
        <v>14.549999999999999</v>
      </c>
      <c r="E205" s="407"/>
      <c r="F205" s="408">
        <f>$F$204-($F$204-$F$209)/$D$209*D205</f>
        <v>0.88588592833119917</v>
      </c>
      <c r="G205" s="407"/>
      <c r="H205" s="407">
        <f>$H$197*F205/J198</f>
        <v>1.266714091619102</v>
      </c>
      <c r="I205" s="407"/>
      <c r="J205" s="407">
        <f t="shared" si="1"/>
        <v>17.467987323427419</v>
      </c>
      <c r="K205" s="407"/>
      <c r="L205" s="758"/>
    </row>
    <row r="206" spans="1:12" ht="12" customHeight="1" x14ac:dyDescent="0.2">
      <c r="A206" s="488"/>
      <c r="B206" s="762" t="s">
        <v>2064</v>
      </c>
      <c r="C206" s="407"/>
      <c r="D206" s="407">
        <f t="shared" si="0"/>
        <v>17.75</v>
      </c>
      <c r="E206" s="407"/>
      <c r="F206" s="408">
        <f>$F$204-($F$204-$F$209)/$D$209*D206</f>
        <v>0.82264048015870628</v>
      </c>
      <c r="G206" s="407"/>
      <c r="H206" s="407">
        <f>$H$197*F206/J198</f>
        <v>1.1762804388555028</v>
      </c>
      <c r="I206" s="409"/>
      <c r="J206" s="407">
        <f t="shared" si="1"/>
        <v>16.220907251817387</v>
      </c>
      <c r="K206" s="407"/>
      <c r="L206" s="758"/>
    </row>
    <row r="207" spans="1:12" ht="12" customHeight="1" x14ac:dyDescent="0.2">
      <c r="A207" s="488"/>
      <c r="B207" s="762" t="s">
        <v>2066</v>
      </c>
      <c r="C207" s="407"/>
      <c r="D207" s="407">
        <f t="shared" si="0"/>
        <v>31.55</v>
      </c>
      <c r="E207" s="407"/>
      <c r="F207" s="408">
        <f>$F$204-($F$204-$F$209)/$D$209*D207</f>
        <v>0.54989448491483095</v>
      </c>
      <c r="G207" s="407"/>
      <c r="H207" s="407">
        <f>$H$197*F207/J198</f>
        <v>0.78628531131248203</v>
      </c>
      <c r="I207" s="409"/>
      <c r="J207" s="407">
        <f>($F$21-$F$22)*F207*9.81</f>
        <v>10.842874442999129</v>
      </c>
      <c r="K207" s="763">
        <f>'Struct4 wing(RS)'!I1025/1000</f>
        <v>0.75</v>
      </c>
      <c r="L207" s="758"/>
    </row>
    <row r="208" spans="1:12" ht="12" customHeight="1" x14ac:dyDescent="0.2">
      <c r="A208" s="488"/>
      <c r="B208" s="762" t="s">
        <v>2067</v>
      </c>
      <c r="C208" s="407"/>
      <c r="D208" s="407">
        <f t="shared" si="0"/>
        <v>35</v>
      </c>
      <c r="E208" s="407"/>
      <c r="F208" s="408">
        <f>$F$204-($F$204-$F$209)/$D$209*D208</f>
        <v>0.48170798610386212</v>
      </c>
      <c r="G208" s="407"/>
      <c r="H208" s="407">
        <f>$H$197*F208/J198</f>
        <v>0.6887865294267268</v>
      </c>
      <c r="I208" s="409"/>
      <c r="J208" s="407">
        <f>($F$21-$F$22)*F208*9.81</f>
        <v>9.4983662407945637</v>
      </c>
      <c r="K208" s="763">
        <f>'Struct4 wing(RS)'!I1026/1000</f>
        <v>0.75</v>
      </c>
      <c r="L208" s="758"/>
    </row>
    <row r="209" spans="1:12" ht="12" customHeight="1" x14ac:dyDescent="0.2">
      <c r="A209" s="488"/>
      <c r="B209" s="765">
        <v>6</v>
      </c>
      <c r="C209" s="407" t="s">
        <v>2074</v>
      </c>
      <c r="D209" s="407">
        <f t="shared" si="0"/>
        <v>49.300000000000004</v>
      </c>
      <c r="E209" s="407"/>
      <c r="F209" s="408">
        <f>F195</f>
        <v>0.19907988958303482</v>
      </c>
      <c r="G209" s="407"/>
      <c r="H209" s="407">
        <f>$H$197*F209/J198</f>
        <v>0.28466114363939365</v>
      </c>
      <c r="I209" s="409"/>
      <c r="J209" s="407">
        <f t="shared" si="1"/>
        <v>3.9254771707872389</v>
      </c>
      <c r="K209" s="763">
        <f>'Struct4 wing(RS)'!I1029/1000</f>
        <v>0.7</v>
      </c>
      <c r="L209" s="557"/>
    </row>
    <row r="210" spans="1:12" ht="12" customHeight="1" x14ac:dyDescent="0.2">
      <c r="A210" s="727"/>
      <c r="I210" s="395"/>
      <c r="J210" s="395"/>
      <c r="K210" s="395"/>
      <c r="L210" s="484"/>
    </row>
    <row r="211" spans="1:12" ht="12" customHeight="1" x14ac:dyDescent="0.2">
      <c r="A211" s="488"/>
      <c r="B211" s="645" t="s">
        <v>2107</v>
      </c>
      <c r="C211" s="395"/>
      <c r="D211" s="395"/>
      <c r="E211" s="395"/>
      <c r="F211" s="395"/>
      <c r="G211" s="461" t="s">
        <v>2094</v>
      </c>
      <c r="H211" s="395"/>
      <c r="I211" s="395"/>
      <c r="J211" s="395"/>
      <c r="K211" s="395"/>
      <c r="L211" s="484"/>
    </row>
    <row r="212" spans="1:12" ht="12" customHeight="1" x14ac:dyDescent="0.2">
      <c r="A212" s="488"/>
      <c r="B212" s="406" t="s">
        <v>2091</v>
      </c>
      <c r="C212" s="395"/>
      <c r="D212" s="396"/>
      <c r="E212" s="396">
        <f>H44/(F28-F31)</f>
        <v>16.733333333333338</v>
      </c>
      <c r="F212" s="396"/>
      <c r="G212" s="406"/>
      <c r="H212" s="371"/>
      <c r="I212" s="395"/>
      <c r="J212" s="395"/>
      <c r="K212" s="395"/>
      <c r="L212" s="484"/>
    </row>
    <row r="213" spans="1:12" ht="12" customHeight="1" x14ac:dyDescent="0.2">
      <c r="A213" s="488"/>
      <c r="B213" s="406" t="s">
        <v>2092</v>
      </c>
      <c r="C213" s="395"/>
      <c r="D213" s="395"/>
      <c r="E213" s="396">
        <f>(1+SQRT(1+E212^2))/2</f>
        <v>8.8815935901898246</v>
      </c>
      <c r="F213" s="395"/>
      <c r="G213" s="371"/>
      <c r="H213" s="395"/>
      <c r="I213" s="395"/>
      <c r="J213" s="395"/>
      <c r="K213" s="395"/>
      <c r="L213" s="484"/>
    </row>
    <row r="214" spans="1:12" ht="12" customHeight="1" x14ac:dyDescent="0.2">
      <c r="A214" s="488"/>
      <c r="B214" s="406" t="s">
        <v>2156</v>
      </c>
      <c r="C214" s="395"/>
      <c r="D214" s="395"/>
      <c r="E214" s="395"/>
      <c r="F214" s="395"/>
      <c r="G214" s="395"/>
      <c r="H214" s="395"/>
      <c r="I214" s="395"/>
      <c r="J214" s="395"/>
      <c r="K214" s="395"/>
      <c r="L214" s="484"/>
    </row>
    <row r="215" spans="1:12" ht="12" customHeight="1" x14ac:dyDescent="0.2">
      <c r="A215" s="488"/>
      <c r="B215" s="406" t="s">
        <v>2157</v>
      </c>
      <c r="C215" s="395"/>
      <c r="D215" s="395"/>
      <c r="E215" s="411">
        <f>ACOS((E213-2)/E213)/PI()</f>
        <v>0.21784289049598152</v>
      </c>
      <c r="F215" s="371"/>
      <c r="G215" s="395"/>
      <c r="H215" s="411"/>
      <c r="I215" s="395"/>
      <c r="J215" s="395"/>
      <c r="K215" s="395"/>
      <c r="L215" s="484"/>
    </row>
    <row r="216" spans="1:12" ht="12" customHeight="1" x14ac:dyDescent="0.2">
      <c r="A216" s="488"/>
      <c r="B216" s="406" t="s">
        <v>2158</v>
      </c>
      <c r="C216" s="395"/>
      <c r="D216" s="395"/>
      <c r="E216" s="411">
        <f>ACOS((E213-1)/E213)/PI()</f>
        <v>0.15250404224393438</v>
      </c>
      <c r="F216" s="371"/>
      <c r="G216" s="395"/>
      <c r="H216" s="411"/>
      <c r="I216" s="395"/>
      <c r="J216" s="395"/>
      <c r="K216" s="395"/>
      <c r="L216" s="484"/>
    </row>
    <row r="217" spans="1:12" ht="12" customHeight="1" x14ac:dyDescent="0.2">
      <c r="A217" s="488"/>
      <c r="B217" s="406" t="s">
        <v>2159</v>
      </c>
      <c r="C217" s="395"/>
      <c r="D217" s="395"/>
      <c r="E217" s="395"/>
      <c r="F217" s="395"/>
      <c r="G217" s="395"/>
      <c r="H217" s="395"/>
      <c r="I217" s="395"/>
      <c r="J217" s="395"/>
      <c r="K217" s="395"/>
      <c r="L217" s="484"/>
    </row>
    <row r="218" spans="1:12" ht="12" customHeight="1" x14ac:dyDescent="0.2">
      <c r="A218" s="488"/>
      <c r="B218" s="406" t="s">
        <v>2139</v>
      </c>
      <c r="C218" s="395"/>
      <c r="D218" s="395"/>
      <c r="E218" s="395"/>
      <c r="F218" s="395">
        <v>19</v>
      </c>
      <c r="G218" s="395">
        <f>((G37-F32)/H45)^0.5</f>
        <v>0.22292541435446869</v>
      </c>
      <c r="H218" s="395">
        <f>((G37-F31)+(G37-F32))/H44</f>
        <v>9.4621513944223107E-2</v>
      </c>
      <c r="I218" s="759" t="s">
        <v>249</v>
      </c>
      <c r="J218" s="757">
        <f>F218*G218*H218/100</f>
        <v>4.0077726385439839E-3</v>
      </c>
      <c r="K218" s="395"/>
      <c r="L218" s="484"/>
    </row>
    <row r="219" spans="1:12" ht="12" customHeight="1" x14ac:dyDescent="0.2">
      <c r="A219" s="488"/>
      <c r="B219" s="406" t="s">
        <v>2160</v>
      </c>
      <c r="C219" s="395"/>
      <c r="D219" s="395"/>
      <c r="E219" s="757">
        <f>(E215-E216)*(F28-G37)/(F28-F31)</f>
        <v>1.5245731258810994E-2</v>
      </c>
      <c r="F219" s="406" t="s">
        <v>2140</v>
      </c>
      <c r="G219" s="371"/>
      <c r="H219" s="371"/>
      <c r="I219" s="371"/>
      <c r="J219" s="371"/>
      <c r="K219" s="371"/>
      <c r="L219" s="557"/>
    </row>
    <row r="220" spans="1:12" ht="12" customHeight="1" x14ac:dyDescent="0.2">
      <c r="A220" s="488"/>
      <c r="B220" s="406" t="s">
        <v>2161</v>
      </c>
      <c r="C220" s="395"/>
      <c r="D220" s="395"/>
      <c r="E220" s="395"/>
      <c r="F220" s="395"/>
      <c r="G220" s="395"/>
      <c r="H220" s="411">
        <f>E215-J218-E219</f>
        <v>0.19858938659862654</v>
      </c>
      <c r="I220" s="395"/>
      <c r="J220" s="395"/>
      <c r="K220" s="395"/>
      <c r="L220" s="484"/>
    </row>
    <row r="221" spans="1:12" ht="12" customHeight="1" thickBot="1" x14ac:dyDescent="0.25">
      <c r="A221" s="488"/>
      <c r="B221" s="406"/>
      <c r="C221" s="395"/>
      <c r="D221" s="395"/>
      <c r="E221" s="395"/>
      <c r="F221" s="395"/>
      <c r="G221" s="395"/>
      <c r="H221" s="411"/>
      <c r="I221" s="395"/>
      <c r="J221" s="395"/>
      <c r="K221" s="395"/>
      <c r="L221" s="776" t="s">
        <v>2433</v>
      </c>
    </row>
    <row r="222" spans="1:12" ht="12" customHeight="1" thickBot="1" x14ac:dyDescent="0.25">
      <c r="A222" s="488"/>
      <c r="B222" s="1125"/>
      <c r="C222" s="644"/>
      <c r="D222" s="644"/>
      <c r="E222" s="644"/>
      <c r="F222" s="644"/>
      <c r="G222" s="644"/>
      <c r="H222" s="1126"/>
      <c r="I222" s="644"/>
      <c r="J222" s="644"/>
      <c r="K222" s="644"/>
      <c r="L222" s="739"/>
    </row>
    <row r="223" spans="1:12" ht="12" customHeight="1" x14ac:dyDescent="0.2">
      <c r="A223" s="631"/>
      <c r="B223" s="656" t="s">
        <v>2134</v>
      </c>
      <c r="C223" s="644"/>
      <c r="D223" s="644"/>
      <c r="E223" s="644"/>
      <c r="F223" s="644"/>
      <c r="G223" s="644"/>
      <c r="H223" s="644"/>
      <c r="I223" s="644"/>
      <c r="J223" s="644"/>
      <c r="K223" s="644"/>
      <c r="L223" s="739"/>
    </row>
    <row r="224" spans="1:12" ht="12" customHeight="1" x14ac:dyDescent="0.2">
      <c r="A224" s="488"/>
      <c r="B224" s="406" t="s">
        <v>2091</v>
      </c>
      <c r="C224" s="395"/>
      <c r="D224" s="396"/>
      <c r="E224" s="396">
        <f>H44/(F29-F32)</f>
        <v>16.733333333333334</v>
      </c>
      <c r="F224" s="396"/>
      <c r="G224" s="406"/>
      <c r="H224" s="371"/>
      <c r="I224" s="395"/>
      <c r="J224" s="395"/>
      <c r="K224" s="395"/>
      <c r="L224" s="484"/>
    </row>
    <row r="225" spans="1:12" ht="12" customHeight="1" x14ac:dyDescent="0.2">
      <c r="A225" s="488"/>
      <c r="B225" s="406" t="s">
        <v>2092</v>
      </c>
      <c r="C225" s="395"/>
      <c r="D225" s="395"/>
      <c r="E225" s="396">
        <f>(1+SQRT(1+E224^2))/2</f>
        <v>8.8815935901898229</v>
      </c>
      <c r="F225" s="395"/>
      <c r="G225" s="371"/>
      <c r="H225" s="395"/>
      <c r="I225" s="395"/>
      <c r="J225" s="395"/>
      <c r="K225" s="395"/>
      <c r="L225" s="484"/>
    </row>
    <row r="226" spans="1:12" ht="12" customHeight="1" x14ac:dyDescent="0.2">
      <c r="A226" s="488"/>
      <c r="B226" s="406" t="s">
        <v>2162</v>
      </c>
      <c r="C226" s="754"/>
      <c r="D226" s="395"/>
      <c r="E226" s="395"/>
      <c r="F226" s="395"/>
      <c r="G226" s="395"/>
      <c r="H226" s="395"/>
      <c r="I226" s="395"/>
      <c r="J226" s="395"/>
      <c r="K226" s="395"/>
      <c r="L226" s="484"/>
    </row>
    <row r="227" spans="1:12" ht="12" customHeight="1" x14ac:dyDescent="0.2">
      <c r="A227" s="488"/>
      <c r="B227" s="406" t="s">
        <v>2163</v>
      </c>
      <c r="C227" s="395"/>
      <c r="D227" s="395"/>
      <c r="E227" s="395"/>
      <c r="F227" s="411">
        <f>1-ACOS((E225-2)/E225)/PI()</f>
        <v>0.78215710950401851</v>
      </c>
      <c r="G227" s="395"/>
      <c r="H227" s="371"/>
      <c r="I227" s="395"/>
      <c r="J227" s="395"/>
      <c r="K227" s="395"/>
      <c r="L227" s="484"/>
    </row>
    <row r="228" spans="1:12" ht="12" customHeight="1" x14ac:dyDescent="0.2">
      <c r="A228" s="488"/>
      <c r="B228" s="406" t="s">
        <v>2164</v>
      </c>
      <c r="C228" s="395"/>
      <c r="D228" s="395"/>
      <c r="E228" s="395"/>
      <c r="F228" s="411">
        <f>1-ACOS((E225-1)/E225)/PI()</f>
        <v>0.84749595775606568</v>
      </c>
      <c r="G228" s="395"/>
      <c r="H228" s="371"/>
      <c r="I228" s="395"/>
      <c r="J228" s="395"/>
      <c r="K228" s="395"/>
      <c r="L228" s="484"/>
    </row>
    <row r="229" spans="1:12" ht="12" customHeight="1" x14ac:dyDescent="0.2">
      <c r="A229" s="488"/>
      <c r="B229" s="406" t="s">
        <v>2165</v>
      </c>
      <c r="C229" s="395"/>
      <c r="D229" s="395"/>
      <c r="E229" s="395"/>
      <c r="F229" s="395"/>
      <c r="G229" s="395"/>
      <c r="H229" s="395"/>
      <c r="I229" s="395"/>
      <c r="J229" s="395"/>
      <c r="K229" s="395"/>
      <c r="L229" s="484"/>
    </row>
    <row r="230" spans="1:12" ht="12" customHeight="1" x14ac:dyDescent="0.2">
      <c r="A230" s="488"/>
      <c r="B230" s="406" t="s">
        <v>2166</v>
      </c>
      <c r="C230" s="395"/>
      <c r="D230" s="395"/>
      <c r="E230" s="371"/>
      <c r="F230" s="395">
        <v>19</v>
      </c>
      <c r="G230" s="395">
        <f>((G38-F31)/H45)^0.5</f>
        <v>0.20883138573342558</v>
      </c>
      <c r="H230" s="395">
        <f>((G38-F32)+(G38-F31))/H44</f>
        <v>8.8645418326693204E-2</v>
      </c>
      <c r="I230" s="473" t="s">
        <v>249</v>
      </c>
      <c r="J230" s="757">
        <f>F230*G230*H230/100</f>
        <v>3.5172696541356831E-3</v>
      </c>
      <c r="K230" s="395"/>
      <c r="L230" s="484"/>
    </row>
    <row r="231" spans="1:12" ht="12" customHeight="1" x14ac:dyDescent="0.2">
      <c r="A231" s="488"/>
      <c r="B231" s="406" t="s">
        <v>2167</v>
      </c>
      <c r="C231" s="395"/>
      <c r="D231" s="395"/>
      <c r="E231" s="757">
        <f>(F228-F227)*(F29-G38)/(F29-F32)</f>
        <v>1.5245731258811008E-2</v>
      </c>
      <c r="F231" s="406"/>
      <c r="G231" s="411"/>
      <c r="H231" s="406"/>
      <c r="I231" s="396"/>
      <c r="J231" s="406"/>
      <c r="K231" s="411"/>
      <c r="L231" s="745"/>
    </row>
    <row r="232" spans="1:12" ht="12" customHeight="1" x14ac:dyDescent="0.2">
      <c r="A232" s="488"/>
      <c r="B232" s="406" t="s">
        <v>2168</v>
      </c>
      <c r="C232" s="395"/>
      <c r="D232" s="395"/>
      <c r="E232" s="395"/>
      <c r="F232" s="411">
        <f>F227+J230+E231</f>
        <v>0.8009201104169652</v>
      </c>
      <c r="G232" s="395"/>
      <c r="H232" s="371"/>
      <c r="I232" s="395"/>
      <c r="J232" s="395"/>
      <c r="K232" s="395"/>
      <c r="L232" s="484"/>
    </row>
    <row r="233" spans="1:12" ht="12" customHeight="1" x14ac:dyDescent="0.2">
      <c r="A233" s="727"/>
      <c r="B233" s="406" t="s">
        <v>2143</v>
      </c>
      <c r="C233" s="395"/>
      <c r="D233" s="395"/>
      <c r="E233" s="395"/>
      <c r="F233" s="395"/>
      <c r="G233" s="395"/>
      <c r="H233" s="395"/>
      <c r="I233" s="395"/>
      <c r="J233" s="395"/>
      <c r="K233" s="395"/>
      <c r="L233" s="484"/>
    </row>
    <row r="234" spans="1:12" ht="12" customHeight="1" x14ac:dyDescent="0.2">
      <c r="A234" s="488"/>
      <c r="B234" s="406" t="s">
        <v>2144</v>
      </c>
      <c r="C234" s="395"/>
      <c r="D234" s="395"/>
      <c r="E234" s="395"/>
      <c r="F234" s="395"/>
      <c r="G234" s="395"/>
      <c r="H234" s="396">
        <f>$F$26-$F$25</f>
        <v>3</v>
      </c>
      <c r="I234" s="395" t="s">
        <v>24</v>
      </c>
      <c r="J234" s="395"/>
      <c r="K234" s="371"/>
      <c r="L234" s="745"/>
    </row>
    <row r="235" spans="1:12" ht="12" customHeight="1" x14ac:dyDescent="0.2">
      <c r="A235" s="488"/>
      <c r="B235" s="406"/>
      <c r="C235" s="395"/>
      <c r="D235" s="395"/>
      <c r="E235" s="395"/>
      <c r="F235" s="395"/>
      <c r="G235" s="395"/>
      <c r="H235" s="396"/>
      <c r="I235" s="395"/>
      <c r="J235" s="395"/>
      <c r="K235" s="371"/>
      <c r="L235" s="745"/>
    </row>
    <row r="236" spans="1:12" ht="12" customHeight="1" x14ac:dyDescent="0.2">
      <c r="A236" s="488"/>
      <c r="B236" s="395" t="s">
        <v>2169</v>
      </c>
      <c r="C236" s="395"/>
      <c r="D236" s="395"/>
      <c r="E236" s="395"/>
      <c r="F236" s="395"/>
      <c r="G236" s="395"/>
      <c r="H236" s="395"/>
      <c r="I236" s="395"/>
      <c r="J236" s="395">
        <f>(23.6-9.81)/9.81</f>
        <v>1.4057084607543324</v>
      </c>
      <c r="K236" s="395"/>
      <c r="L236" s="484"/>
    </row>
    <row r="237" spans="1:12" ht="12" customHeight="1" x14ac:dyDescent="0.2">
      <c r="A237" s="488"/>
      <c r="B237" s="406"/>
      <c r="C237" s="395"/>
      <c r="D237" s="395"/>
      <c r="E237" s="395"/>
      <c r="F237" s="395"/>
      <c r="G237" s="395"/>
      <c r="H237" s="395"/>
      <c r="I237" s="395"/>
      <c r="J237" s="395"/>
      <c r="K237" s="395"/>
      <c r="L237" s="484"/>
    </row>
    <row r="238" spans="1:12" ht="12" customHeight="1" x14ac:dyDescent="0.2">
      <c r="A238" s="488"/>
      <c r="B238" s="406" t="s">
        <v>2239</v>
      </c>
      <c r="C238" s="395"/>
      <c r="D238" s="395"/>
      <c r="E238" s="395"/>
      <c r="F238" s="395"/>
      <c r="G238" s="395"/>
      <c r="H238" s="395"/>
      <c r="I238" s="395"/>
      <c r="J238" s="395"/>
      <c r="K238" s="395"/>
      <c r="L238" s="484"/>
    </row>
    <row r="239" spans="1:12" ht="12" customHeight="1" x14ac:dyDescent="0.2">
      <c r="A239" s="488"/>
      <c r="B239" s="406"/>
      <c r="C239" s="395"/>
      <c r="D239" s="395" t="s">
        <v>2147</v>
      </c>
      <c r="E239" s="395"/>
      <c r="F239" s="395" t="s">
        <v>2170</v>
      </c>
      <c r="G239" s="395"/>
      <c r="H239" s="395" t="s">
        <v>2171</v>
      </c>
      <c r="I239" s="395" t="s">
        <v>2172</v>
      </c>
      <c r="J239" s="395"/>
      <c r="K239" s="395"/>
      <c r="L239" s="484"/>
    </row>
    <row r="240" spans="1:12" ht="12" customHeight="1" x14ac:dyDescent="0.2">
      <c r="A240" s="488"/>
      <c r="B240" s="405" t="s">
        <v>2173</v>
      </c>
      <c r="C240" s="742"/>
      <c r="D240" s="405" t="s">
        <v>2174</v>
      </c>
      <c r="E240" s="742"/>
      <c r="F240" s="742"/>
      <c r="G240" s="742"/>
      <c r="H240" s="742" t="s">
        <v>2175</v>
      </c>
      <c r="I240" s="406"/>
      <c r="J240" s="395"/>
      <c r="K240" s="395"/>
      <c r="L240" s="484"/>
    </row>
    <row r="241" spans="1:12" ht="12" customHeight="1" x14ac:dyDescent="0.2">
      <c r="A241" s="488"/>
      <c r="B241" s="769">
        <v>1</v>
      </c>
      <c r="C241" s="422" t="s">
        <v>2073</v>
      </c>
      <c r="D241" s="770">
        <v>0</v>
      </c>
      <c r="E241" s="422"/>
      <c r="F241" s="771">
        <f>H220</f>
        <v>0.19858938659862654</v>
      </c>
      <c r="G241" s="422"/>
      <c r="H241" s="770">
        <f t="shared" ref="H241:H246" si="2">$H$234*F241/1.4</f>
        <v>0.42554868556848546</v>
      </c>
      <c r="I241" s="743">
        <f>'Struct4 wing(CS)'!I1071/1000</f>
        <v>0.7</v>
      </c>
      <c r="J241" s="395"/>
      <c r="K241" s="395"/>
      <c r="L241" s="484"/>
    </row>
    <row r="242" spans="1:12" ht="12" customHeight="1" x14ac:dyDescent="0.2">
      <c r="A242" s="488"/>
      <c r="B242" s="769">
        <v>2</v>
      </c>
      <c r="C242" s="422"/>
      <c r="D242" s="770">
        <f>D51</f>
        <v>14.549999999999999</v>
      </c>
      <c r="E242" s="422"/>
      <c r="F242" s="771">
        <f>$F$241+($F$246-$F$241)/$D$246*D242</f>
        <v>0.37635636492635122</v>
      </c>
      <c r="G242" s="422"/>
      <c r="H242" s="770">
        <f t="shared" si="2"/>
        <v>0.80647792484218117</v>
      </c>
      <c r="I242" s="743">
        <f>'Struct4 wing(CS)'!I1068/1000</f>
        <v>0.75</v>
      </c>
      <c r="J242" s="395"/>
      <c r="K242" s="395"/>
      <c r="L242" s="484"/>
    </row>
    <row r="243" spans="1:12" ht="12" customHeight="1" x14ac:dyDescent="0.2">
      <c r="A243" s="488"/>
      <c r="B243" s="769">
        <v>3</v>
      </c>
      <c r="C243" s="422"/>
      <c r="D243" s="770">
        <f>D52</f>
        <v>17.75</v>
      </c>
      <c r="E243" s="422"/>
      <c r="F243" s="771">
        <f>$F$241+($F$246-$F$241)/$D$246*D243</f>
        <v>0.41545288249670992</v>
      </c>
      <c r="G243" s="422"/>
      <c r="H243" s="770">
        <f t="shared" si="2"/>
        <v>0.8902561767786642</v>
      </c>
      <c r="I243" s="743">
        <f>'Struct4 wing(CS)'!I1067/1000</f>
        <v>0.75</v>
      </c>
      <c r="J243" s="395"/>
      <c r="K243" s="395"/>
      <c r="L243" s="484"/>
    </row>
    <row r="244" spans="1:12" ht="12" customHeight="1" x14ac:dyDescent="0.2">
      <c r="A244" s="488"/>
      <c r="B244" s="769">
        <v>4</v>
      </c>
      <c r="C244" s="422"/>
      <c r="D244" s="770">
        <f>D53</f>
        <v>31.55</v>
      </c>
      <c r="E244" s="422"/>
      <c r="F244" s="771">
        <f>$F$241+($F$246-$F$241)/$D$246*D244</f>
        <v>0.5840566145188818</v>
      </c>
      <c r="G244" s="422"/>
      <c r="H244" s="770">
        <f t="shared" si="2"/>
        <v>1.2515498882547467</v>
      </c>
      <c r="I244" s="395"/>
      <c r="J244" s="395"/>
      <c r="K244" s="395"/>
      <c r="L244" s="484"/>
    </row>
    <row r="245" spans="1:12" ht="12" customHeight="1" x14ac:dyDescent="0.2">
      <c r="A245" s="488"/>
      <c r="B245" s="769">
        <v>5</v>
      </c>
      <c r="C245" s="422"/>
      <c r="D245" s="770">
        <f>D54</f>
        <v>35</v>
      </c>
      <c r="E245" s="422"/>
      <c r="F245" s="771">
        <f>$F$241+($F$246-$F$241)/$D$246*D245</f>
        <v>0.62620754752442476</v>
      </c>
      <c r="G245" s="422"/>
      <c r="H245" s="770">
        <f t="shared" si="2"/>
        <v>1.3418733161237673</v>
      </c>
      <c r="I245" s="395"/>
      <c r="J245" s="395"/>
      <c r="K245" s="395"/>
      <c r="L245" s="484"/>
    </row>
    <row r="246" spans="1:12" ht="12" customHeight="1" x14ac:dyDescent="0.2">
      <c r="A246" s="488"/>
      <c r="B246" s="769">
        <v>6</v>
      </c>
      <c r="C246" s="422" t="s">
        <v>2074</v>
      </c>
      <c r="D246" s="772">
        <f>$H$45</f>
        <v>49.300000000000004</v>
      </c>
      <c r="E246" s="422"/>
      <c r="F246" s="771">
        <f>F232</f>
        <v>0.8009201104169652</v>
      </c>
      <c r="G246" s="422"/>
      <c r="H246" s="770">
        <f t="shared" si="2"/>
        <v>1.7162573794649256</v>
      </c>
      <c r="I246" s="395"/>
      <c r="J246" s="395"/>
      <c r="K246" s="395"/>
      <c r="L246" s="484"/>
    </row>
    <row r="247" spans="1:12" ht="12" customHeight="1" x14ac:dyDescent="0.2">
      <c r="A247" s="682" t="s">
        <v>2176</v>
      </c>
      <c r="B247" s="395"/>
      <c r="C247" s="395"/>
      <c r="D247" s="395"/>
      <c r="E247" s="395"/>
      <c r="F247" s="395"/>
      <c r="G247" s="395"/>
      <c r="H247" s="395"/>
      <c r="I247" s="395"/>
      <c r="J247" s="395"/>
      <c r="K247" s="395"/>
      <c r="L247" s="484"/>
    </row>
    <row r="248" spans="1:12" ht="12" customHeight="1" x14ac:dyDescent="0.2">
      <c r="A248" s="488" t="s">
        <v>2177</v>
      </c>
      <c r="B248" s="395">
        <v>6</v>
      </c>
      <c r="C248" s="395" t="s">
        <v>2178</v>
      </c>
      <c r="D248" s="395">
        <f>IF((F26-F25)&lt;1,1,(F26-F25))</f>
        <v>3</v>
      </c>
      <c r="E248" s="395"/>
      <c r="F248" s="395" t="s">
        <v>2179</v>
      </c>
      <c r="G248" s="395">
        <f>B248*D248</f>
        <v>18</v>
      </c>
      <c r="H248" s="395" t="s">
        <v>2180</v>
      </c>
      <c r="I248" s="395"/>
      <c r="J248" s="395"/>
      <c r="K248" s="395"/>
      <c r="L248" s="484"/>
    </row>
    <row r="249" spans="1:12" ht="12" customHeight="1" x14ac:dyDescent="0.2">
      <c r="A249" s="731" t="s">
        <v>2181</v>
      </c>
      <c r="B249" s="395"/>
      <c r="C249" s="395"/>
      <c r="D249" s="395"/>
      <c r="E249" s="395">
        <f>H45/3+ABS(F31-G37)*2+ABS(F32-G38)*2</f>
        <v>25.633333333333333</v>
      </c>
      <c r="F249" s="395" t="s">
        <v>2182</v>
      </c>
      <c r="G249" s="740">
        <f>G248</f>
        <v>18</v>
      </c>
      <c r="H249" s="395" t="s">
        <v>24</v>
      </c>
      <c r="I249" s="395" t="str">
        <f>IF(E249&gt;G249,"OK","NotOK")</f>
        <v>OK</v>
      </c>
      <c r="J249" s="395"/>
      <c r="K249" s="395"/>
      <c r="L249" s="484"/>
    </row>
    <row r="250" spans="1:12" ht="12" customHeight="1" x14ac:dyDescent="0.2">
      <c r="A250" s="731"/>
      <c r="B250" s="395"/>
      <c r="C250" s="395"/>
      <c r="D250" s="395"/>
      <c r="E250" s="395"/>
      <c r="F250" s="395"/>
      <c r="G250" s="740"/>
      <c r="H250" s="395"/>
      <c r="I250" s="395"/>
      <c r="J250" s="371"/>
      <c r="K250" s="371"/>
      <c r="L250" s="557"/>
    </row>
    <row r="251" spans="1:12" ht="12" customHeight="1" x14ac:dyDescent="0.2">
      <c r="A251" s="488" t="s">
        <v>2183</v>
      </c>
      <c r="B251" s="395"/>
      <c r="C251" s="395"/>
      <c r="D251" s="395"/>
      <c r="E251" s="395"/>
      <c r="F251" s="395"/>
      <c r="G251" s="395"/>
      <c r="H251" s="395"/>
      <c r="I251" s="395"/>
      <c r="J251" s="371"/>
      <c r="K251" s="371"/>
      <c r="L251" s="557"/>
    </row>
    <row r="252" spans="1:12" ht="12" customHeight="1" x14ac:dyDescent="0.2">
      <c r="A252" s="727"/>
      <c r="B252" s="371"/>
      <c r="C252" s="395"/>
      <c r="D252" s="395"/>
      <c r="E252" s="395"/>
      <c r="F252" s="395"/>
      <c r="G252" s="395"/>
      <c r="H252" s="395"/>
      <c r="I252" s="395"/>
      <c r="J252" s="371"/>
      <c r="K252" s="371"/>
      <c r="L252" s="557"/>
    </row>
    <row r="253" spans="1:12" ht="12" customHeight="1" x14ac:dyDescent="0.2">
      <c r="A253" s="488" t="s">
        <v>2177</v>
      </c>
      <c r="B253" s="395">
        <v>6</v>
      </c>
      <c r="C253" s="395" t="s">
        <v>2178</v>
      </c>
      <c r="D253" s="395">
        <f>G17-G18</f>
        <v>1.3400000000000003</v>
      </c>
      <c r="E253" s="395"/>
      <c r="F253" s="395" t="s">
        <v>2179</v>
      </c>
      <c r="G253" s="395">
        <f>B253*D253</f>
        <v>8.0400000000000027</v>
      </c>
      <c r="H253" s="395" t="s">
        <v>2180</v>
      </c>
      <c r="I253" s="395"/>
      <c r="J253" s="395"/>
      <c r="K253" s="395"/>
      <c r="L253" s="484"/>
    </row>
    <row r="254" spans="1:12" ht="12" customHeight="1" thickBot="1" x14ac:dyDescent="0.25">
      <c r="A254" s="760" t="s">
        <v>2181</v>
      </c>
      <c r="B254" s="395"/>
      <c r="C254" s="395"/>
      <c r="D254" s="395"/>
      <c r="E254" s="395">
        <f>H45/3+ABS(F31-G37)*2+ABS(F32-G38)*2</f>
        <v>25.633333333333333</v>
      </c>
      <c r="F254" s="395" t="s">
        <v>2182</v>
      </c>
      <c r="G254" s="740">
        <f>G253</f>
        <v>8.0400000000000027</v>
      </c>
      <c r="H254" s="395" t="s">
        <v>24</v>
      </c>
      <c r="I254" s="395" t="str">
        <f>IF(E254&gt;G254,"OK","NotOK")</f>
        <v>OK</v>
      </c>
      <c r="J254" s="395"/>
      <c r="K254" s="395"/>
      <c r="L254" s="679"/>
    </row>
    <row r="255" spans="1:12" x14ac:dyDescent="0.2">
      <c r="A255" s="488"/>
      <c r="B255" s="395"/>
      <c r="C255" s="395"/>
      <c r="D255" s="395"/>
      <c r="E255" s="395"/>
      <c r="F255" s="395"/>
      <c r="G255" s="395"/>
      <c r="H255" s="395"/>
      <c r="I255" s="395"/>
      <c r="J255" s="395"/>
      <c r="K255" s="395"/>
      <c r="L255" s="484"/>
    </row>
    <row r="256" spans="1:12" x14ac:dyDescent="0.2">
      <c r="A256" s="727"/>
      <c r="B256" s="371"/>
      <c r="C256" s="371"/>
      <c r="D256" s="371"/>
      <c r="E256" s="371"/>
      <c r="F256" s="371"/>
      <c r="G256" s="371"/>
      <c r="H256" s="371"/>
      <c r="I256" s="371"/>
      <c r="J256" s="371"/>
      <c r="K256" s="395"/>
      <c r="L256" s="557"/>
    </row>
    <row r="257" spans="1:12" x14ac:dyDescent="0.2">
      <c r="A257" s="488"/>
      <c r="B257" s="395"/>
      <c r="C257" s="395"/>
      <c r="D257" s="395"/>
      <c r="E257" s="395"/>
      <c r="F257" s="395"/>
      <c r="G257" s="395"/>
      <c r="H257" s="395"/>
      <c r="I257" s="395"/>
      <c r="J257" s="395"/>
      <c r="K257" s="395"/>
      <c r="L257" s="484"/>
    </row>
    <row r="258" spans="1:12" x14ac:dyDescent="0.2">
      <c r="A258" s="488"/>
      <c r="B258" s="395"/>
      <c r="C258" s="395"/>
      <c r="D258" s="395"/>
      <c r="E258" s="395"/>
      <c r="F258" s="395"/>
      <c r="G258" s="395"/>
      <c r="H258" s="395"/>
      <c r="I258" s="395"/>
      <c r="J258" s="1501" t="s">
        <v>2503</v>
      </c>
      <c r="K258" s="1501"/>
      <c r="L258" s="1502"/>
    </row>
    <row r="259" spans="1:12" x14ac:dyDescent="0.2">
      <c r="A259" s="488"/>
      <c r="B259" s="395"/>
      <c r="C259" s="395"/>
      <c r="D259" s="395"/>
      <c r="E259" s="395"/>
      <c r="F259" s="395"/>
      <c r="G259" s="395"/>
      <c r="H259" s="395"/>
      <c r="I259" s="395"/>
      <c r="J259" s="1501" t="s">
        <v>2439</v>
      </c>
      <c r="K259" s="1501"/>
      <c r="L259" s="1502"/>
    </row>
    <row r="260" spans="1:12" ht="13.5" thickBot="1" x14ac:dyDescent="0.25">
      <c r="A260" s="737"/>
      <c r="B260" s="468"/>
      <c r="C260" s="468"/>
      <c r="D260" s="468"/>
      <c r="E260" s="468"/>
      <c r="F260" s="465" t="s">
        <v>2434</v>
      </c>
      <c r="G260" s="468"/>
      <c r="H260" s="468"/>
      <c r="I260" s="468"/>
      <c r="J260" s="1498" t="s">
        <v>2440</v>
      </c>
      <c r="K260" s="1498"/>
      <c r="L260" s="1499"/>
    </row>
    <row r="261" spans="1:12" x14ac:dyDescent="0.2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</row>
    <row r="262" spans="1:12" x14ac:dyDescent="0.2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</row>
    <row r="263" spans="1:12" x14ac:dyDescent="0.2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</row>
    <row r="264" spans="1:12" x14ac:dyDescent="0.2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</row>
    <row r="265" spans="1:12" x14ac:dyDescent="0.2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</row>
    <row r="266" spans="1:12" x14ac:dyDescent="0.2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</row>
    <row r="267" spans="1:12" x14ac:dyDescent="0.2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</row>
    <row r="268" spans="1:12" x14ac:dyDescent="0.2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</row>
    <row r="269" spans="1:12" x14ac:dyDescent="0.2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</row>
    <row r="270" spans="1:12" x14ac:dyDescent="0.2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</row>
    <row r="271" spans="1:12" x14ac:dyDescent="0.2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</row>
    <row r="272" spans="1:12" x14ac:dyDescent="0.2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</row>
  </sheetData>
  <mergeCells count="5">
    <mergeCell ref="J260:L260"/>
    <mergeCell ref="G202:H202"/>
    <mergeCell ref="G203:H203"/>
    <mergeCell ref="J258:L258"/>
    <mergeCell ref="J259:L259"/>
  </mergeCells>
  <pageMargins left="0.75" right="0.25" top="0.75" bottom="0.75" header="0.3" footer="0.3"/>
  <pageSetup paperSize="9" scale="85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O19936"/>
  <sheetViews>
    <sheetView topLeftCell="A137" zoomScale="110" zoomScaleNormal="110" workbookViewId="0">
      <selection activeCell="K135" sqref="K135"/>
    </sheetView>
  </sheetViews>
  <sheetFormatPr defaultRowHeight="12.75" x14ac:dyDescent="0.2"/>
  <cols>
    <col min="1" max="1" width="5.85546875" customWidth="1"/>
    <col min="3" max="3" width="9.5703125" bestFit="1" customWidth="1"/>
    <col min="4" max="4" width="11.140625" bestFit="1" customWidth="1"/>
    <col min="7" max="7" width="9.7109375" bestFit="1" customWidth="1"/>
    <col min="13" max="13" width="9.28515625" customWidth="1"/>
  </cols>
  <sheetData>
    <row r="1" spans="2:12" x14ac:dyDescent="0.2">
      <c r="B1" s="826" t="s">
        <v>2031</v>
      </c>
      <c r="C1" s="827"/>
      <c r="D1" s="826" t="str">
        <f>'Design Data'!C2</f>
        <v>Coastal Embankment Improvement Project Phase-1, CEIP-1.</v>
      </c>
      <c r="E1" s="827"/>
      <c r="F1" s="827"/>
      <c r="G1" s="827"/>
      <c r="H1" s="827"/>
      <c r="I1" s="827"/>
      <c r="J1" s="827"/>
      <c r="K1" s="827"/>
    </row>
    <row r="2" spans="2:12" x14ac:dyDescent="0.2">
      <c r="B2" s="826" t="s">
        <v>2337</v>
      </c>
      <c r="C2" s="827"/>
      <c r="D2" s="826" t="str">
        <f>'Design Data'!C3</f>
        <v>Polder- 16</v>
      </c>
      <c r="E2" s="827"/>
      <c r="F2" s="827"/>
      <c r="G2" s="828" t="s">
        <v>1966</v>
      </c>
      <c r="H2" s="826" t="str">
        <f>'Basin (RS)'!H3</f>
        <v>1.50m x 1.80m</v>
      </c>
      <c r="I2" s="826"/>
      <c r="J2" s="827"/>
      <c r="K2" s="827"/>
    </row>
    <row r="3" spans="2:12" x14ac:dyDescent="0.2">
      <c r="B3" s="826" t="s">
        <v>2270</v>
      </c>
      <c r="C3" s="829" t="str">
        <f>'Design Data'!C4</f>
        <v>DR-5</v>
      </c>
      <c r="D3" s="827"/>
      <c r="E3" s="827"/>
      <c r="F3" s="827"/>
      <c r="G3" s="1503" t="s">
        <v>2454</v>
      </c>
      <c r="H3" s="1503"/>
      <c r="I3" s="830">
        <f>'Design Data'!D22</f>
        <v>1</v>
      </c>
      <c r="J3" s="827"/>
      <c r="K3" s="827"/>
    </row>
    <row r="4" spans="2:12" x14ac:dyDescent="0.2">
      <c r="B4" s="827"/>
      <c r="C4" s="827"/>
      <c r="D4" s="827"/>
      <c r="E4" s="827"/>
      <c r="F4" s="827"/>
      <c r="G4" s="827"/>
      <c r="H4" s="827"/>
      <c r="I4" s="827"/>
      <c r="J4" s="827"/>
      <c r="K4" s="827"/>
    </row>
    <row r="5" spans="2:12" x14ac:dyDescent="0.2">
      <c r="B5" s="831" t="s">
        <v>2275</v>
      </c>
      <c r="C5" s="831"/>
      <c r="D5" s="831"/>
      <c r="E5" s="831"/>
      <c r="F5" s="832"/>
      <c r="G5" s="832"/>
      <c r="H5" s="832"/>
      <c r="I5" s="832"/>
      <c r="J5" s="832"/>
      <c r="K5" s="832"/>
      <c r="L5" s="174"/>
    </row>
    <row r="6" spans="2:12" x14ac:dyDescent="0.2">
      <c r="B6" s="832"/>
      <c r="C6" s="832"/>
      <c r="D6" s="832"/>
      <c r="E6" s="832"/>
      <c r="F6" s="832"/>
      <c r="G6" s="832"/>
      <c r="H6" s="832"/>
      <c r="I6" s="832"/>
      <c r="J6" s="832"/>
      <c r="K6" s="832"/>
      <c r="L6" s="174"/>
    </row>
    <row r="7" spans="2:12" x14ac:dyDescent="0.2">
      <c r="B7" s="832" t="s">
        <v>2468</v>
      </c>
      <c r="C7" s="832"/>
      <c r="D7" s="832"/>
      <c r="E7" s="832"/>
      <c r="F7" s="832"/>
      <c r="G7" s="832"/>
      <c r="H7" s="832"/>
      <c r="I7" s="832"/>
      <c r="J7" s="832"/>
      <c r="K7" s="832"/>
      <c r="L7" s="174"/>
    </row>
    <row r="8" spans="2:12" x14ac:dyDescent="0.2">
      <c r="B8" s="832" t="s">
        <v>2550</v>
      </c>
      <c r="C8" s="832"/>
      <c r="D8" s="832"/>
      <c r="E8" s="832"/>
      <c r="F8" s="832"/>
      <c r="G8" s="832"/>
      <c r="H8" s="832"/>
      <c r="I8" s="832"/>
      <c r="J8" s="832"/>
      <c r="K8" s="832"/>
      <c r="L8" s="174"/>
    </row>
    <row r="9" spans="2:12" x14ac:dyDescent="0.2">
      <c r="B9" s="832" t="s">
        <v>2551</v>
      </c>
      <c r="C9" s="832"/>
      <c r="D9" s="832"/>
      <c r="E9" s="832"/>
      <c r="F9" s="832"/>
      <c r="G9" s="832"/>
      <c r="H9" s="832"/>
      <c r="I9" s="832"/>
      <c r="J9" s="832"/>
      <c r="K9" s="832"/>
      <c r="L9" s="174"/>
    </row>
    <row r="10" spans="2:12" x14ac:dyDescent="0.2">
      <c r="B10" s="832"/>
      <c r="C10" s="832"/>
      <c r="D10" s="832"/>
      <c r="E10" s="832"/>
      <c r="F10" s="832"/>
      <c r="G10" s="832"/>
      <c r="H10" s="832"/>
      <c r="I10" s="832"/>
      <c r="J10" s="832"/>
      <c r="K10" s="832"/>
      <c r="L10" s="174"/>
    </row>
    <row r="11" spans="2:12" x14ac:dyDescent="0.2">
      <c r="B11" s="832" t="s">
        <v>2552</v>
      </c>
      <c r="C11" s="832"/>
      <c r="D11" s="832"/>
      <c r="E11" s="832"/>
      <c r="F11" s="832"/>
      <c r="G11" s="832"/>
      <c r="H11" s="832"/>
      <c r="I11" s="832"/>
      <c r="J11" s="832"/>
      <c r="K11" s="832"/>
      <c r="L11" s="174"/>
    </row>
    <row r="12" spans="2:12" x14ac:dyDescent="0.2">
      <c r="B12" s="832" t="s">
        <v>2553</v>
      </c>
      <c r="C12" s="832"/>
      <c r="D12" s="832"/>
      <c r="E12" s="832"/>
      <c r="F12" s="832"/>
      <c r="G12" s="832"/>
      <c r="H12" s="832"/>
      <c r="I12" s="832"/>
      <c r="J12" s="832"/>
      <c r="K12" s="832"/>
      <c r="L12" s="174"/>
    </row>
    <row r="13" spans="2:12" x14ac:dyDescent="0.2">
      <c r="B13" s="1409" t="s">
        <v>2407</v>
      </c>
      <c r="C13" s="832"/>
      <c r="D13" s="832"/>
      <c r="E13" s="832"/>
      <c r="F13" s="832"/>
      <c r="G13" s="832"/>
      <c r="H13" s="832"/>
      <c r="I13" s="832"/>
      <c r="J13" s="832"/>
      <c r="K13" s="832"/>
      <c r="L13" s="174"/>
    </row>
    <row r="14" spans="2:12" x14ac:dyDescent="0.2">
      <c r="B14" s="832"/>
      <c r="C14" s="832"/>
      <c r="D14" s="832"/>
      <c r="E14" s="832"/>
      <c r="F14" s="832"/>
      <c r="G14" s="832"/>
      <c r="H14" s="832"/>
      <c r="I14" s="832"/>
      <c r="J14" s="832"/>
      <c r="K14" s="832"/>
      <c r="L14" s="174"/>
    </row>
    <row r="15" spans="2:12" x14ac:dyDescent="0.2">
      <c r="B15" s="833" t="s">
        <v>2554</v>
      </c>
      <c r="C15" s="832"/>
      <c r="D15" s="832"/>
      <c r="E15" s="832"/>
      <c r="F15" s="832"/>
      <c r="G15" s="832"/>
      <c r="H15" s="832"/>
      <c r="I15" s="832"/>
      <c r="J15" s="832"/>
      <c r="K15" s="832"/>
      <c r="L15" s="174"/>
    </row>
    <row r="16" spans="2:12" x14ac:dyDescent="0.2">
      <c r="B16" s="833" t="s">
        <v>2280</v>
      </c>
      <c r="C16" s="832"/>
      <c r="D16" s="832"/>
      <c r="E16" s="832"/>
      <c r="F16" s="832"/>
      <c r="G16" s="832"/>
      <c r="H16" s="832"/>
      <c r="I16" s="832"/>
      <c r="J16" s="832"/>
      <c r="K16" s="832"/>
      <c r="L16" s="174"/>
    </row>
    <row r="17" spans="2:13" x14ac:dyDescent="0.2">
      <c r="B17" s="827"/>
      <c r="C17" s="832" t="s">
        <v>2277</v>
      </c>
      <c r="D17" s="834">
        <v>2.6629999999999998</v>
      </c>
      <c r="E17" s="832" t="s">
        <v>2343</v>
      </c>
      <c r="F17" s="832"/>
      <c r="G17" s="835" t="s">
        <v>2410</v>
      </c>
      <c r="H17" s="832"/>
      <c r="I17" s="832"/>
      <c r="J17" s="832"/>
      <c r="K17" s="832"/>
      <c r="L17" s="174"/>
    </row>
    <row r="18" spans="2:13" x14ac:dyDescent="0.2">
      <c r="B18" s="832"/>
      <c r="C18" s="832" t="s">
        <v>2278</v>
      </c>
      <c r="D18" s="834">
        <v>2.3130000000000002</v>
      </c>
      <c r="E18" s="832" t="s">
        <v>2343</v>
      </c>
      <c r="F18" s="832"/>
      <c r="G18" s="836" t="s">
        <v>2408</v>
      </c>
      <c r="H18" s="832"/>
      <c r="I18" s="832"/>
      <c r="J18" s="832"/>
      <c r="K18" s="832"/>
      <c r="L18" s="174"/>
    </row>
    <row r="19" spans="2:13" x14ac:dyDescent="0.2">
      <c r="B19" s="832"/>
      <c r="C19" s="832" t="s">
        <v>2279</v>
      </c>
      <c r="D19" s="834">
        <v>1.1200000000000001</v>
      </c>
      <c r="E19" s="832" t="s">
        <v>2343</v>
      </c>
      <c r="F19" s="832"/>
      <c r="G19" s="837" t="s">
        <v>2409</v>
      </c>
      <c r="H19" s="832"/>
      <c r="I19" s="832"/>
      <c r="J19" s="832"/>
      <c r="K19" s="832"/>
      <c r="L19" s="174"/>
    </row>
    <row r="20" spans="2:13" x14ac:dyDescent="0.2">
      <c r="B20" s="832"/>
      <c r="C20" s="832"/>
      <c r="D20" s="832"/>
      <c r="E20" s="832"/>
      <c r="F20" s="832"/>
      <c r="G20" s="832"/>
      <c r="H20" s="832"/>
      <c r="I20" s="832"/>
      <c r="J20" s="832"/>
      <c r="K20" s="832"/>
      <c r="L20" s="174"/>
    </row>
    <row r="21" spans="2:13" x14ac:dyDescent="0.2">
      <c r="B21" s="832" t="s">
        <v>2281</v>
      </c>
      <c r="C21" s="832"/>
      <c r="D21" s="832"/>
      <c r="E21" s="832"/>
      <c r="F21" s="832"/>
      <c r="G21" s="832"/>
      <c r="H21" s="832"/>
      <c r="I21" s="832"/>
      <c r="J21" s="832"/>
      <c r="K21" s="832"/>
      <c r="L21" s="174"/>
    </row>
    <row r="22" spans="2:13" x14ac:dyDescent="0.2">
      <c r="B22" s="832"/>
      <c r="C22" s="832" t="s">
        <v>2282</v>
      </c>
      <c r="D22" s="832"/>
      <c r="E22" s="834">
        <f>'Struct2(Barrel)'!E37-'Struct2(Barrel)'!E30/1000-0.075</f>
        <v>-2.0249999999999999</v>
      </c>
      <c r="F22" s="832" t="s">
        <v>2343</v>
      </c>
      <c r="G22" s="832"/>
      <c r="H22" s="832"/>
      <c r="I22" s="832"/>
      <c r="J22" s="832"/>
      <c r="K22" s="832"/>
      <c r="L22" s="174"/>
    </row>
    <row r="23" spans="2:13" x14ac:dyDescent="0.2">
      <c r="B23" s="832"/>
      <c r="C23" s="832" t="s">
        <v>2283</v>
      </c>
      <c r="D23" s="832"/>
      <c r="E23" s="834">
        <f>'Struct4 wing(CS)'!H13-'Struct4 wing(CS)'!G31/1000-0.075</f>
        <v>-2.9250000000000003</v>
      </c>
      <c r="F23" s="832" t="s">
        <v>2343</v>
      </c>
      <c r="G23" s="832"/>
      <c r="H23" s="832"/>
      <c r="I23" s="832"/>
      <c r="J23" s="832"/>
      <c r="K23" s="832"/>
      <c r="L23" s="174"/>
    </row>
    <row r="24" spans="2:13" x14ac:dyDescent="0.2">
      <c r="B24" s="832"/>
      <c r="C24" s="832" t="s">
        <v>2284</v>
      </c>
      <c r="D24" s="832"/>
      <c r="E24" s="834">
        <f>'Struct4 wing(RS)'!H13-'Struct4 wing(RS)'!G32/1000-0.075</f>
        <v>-3.0750000000000002</v>
      </c>
      <c r="F24" s="832" t="s">
        <v>2343</v>
      </c>
      <c r="G24" s="832"/>
      <c r="H24" s="832"/>
      <c r="I24" s="832"/>
      <c r="J24" s="832"/>
      <c r="K24" s="832"/>
      <c r="L24" s="174"/>
    </row>
    <row r="25" spans="2:13" x14ac:dyDescent="0.2">
      <c r="B25" s="832"/>
      <c r="C25" s="832"/>
      <c r="D25" s="832"/>
      <c r="E25" s="832"/>
      <c r="F25" s="832"/>
      <c r="G25" s="832"/>
      <c r="H25" s="832"/>
      <c r="I25" s="832"/>
      <c r="J25" s="832"/>
      <c r="K25" s="832"/>
      <c r="L25" s="174"/>
    </row>
    <row r="26" spans="2:13" ht="13.5" thickBot="1" x14ac:dyDescent="0.25">
      <c r="B26" s="832"/>
      <c r="C26" s="1514" t="s">
        <v>2446</v>
      </c>
      <c r="D26" s="1514"/>
      <c r="E26" s="832"/>
      <c r="F26" s="1514" t="s">
        <v>2555</v>
      </c>
      <c r="G26" s="1514"/>
      <c r="H26" s="832"/>
      <c r="I26" s="1514" t="s">
        <v>2556</v>
      </c>
      <c r="J26" s="1514"/>
      <c r="K26" s="832"/>
      <c r="L26" s="174"/>
    </row>
    <row r="27" spans="2:13" ht="39" thickBot="1" x14ac:dyDescent="0.25">
      <c r="B27" s="827"/>
      <c r="C27" s="838" t="s">
        <v>2411</v>
      </c>
      <c r="D27" s="839" t="s">
        <v>2412</v>
      </c>
      <c r="E27" s="827"/>
      <c r="F27" s="838" t="s">
        <v>2411</v>
      </c>
      <c r="G27" s="840" t="s">
        <v>2412</v>
      </c>
      <c r="H27" s="827"/>
      <c r="I27" s="838" t="s">
        <v>2411</v>
      </c>
      <c r="J27" s="840" t="s">
        <v>2412</v>
      </c>
      <c r="K27" s="832"/>
      <c r="L27" s="174"/>
    </row>
    <row r="28" spans="2:13" x14ac:dyDescent="0.2">
      <c r="B28" s="827"/>
      <c r="C28" s="841">
        <f>2.663-1.52</f>
        <v>1.1429999999999998</v>
      </c>
      <c r="D28" s="827">
        <v>1</v>
      </c>
      <c r="E28" s="827"/>
      <c r="F28" s="842">
        <v>0.79300000000000004</v>
      </c>
      <c r="G28" s="827">
        <v>1</v>
      </c>
      <c r="H28" s="827"/>
      <c r="I28" s="841">
        <v>-0.4</v>
      </c>
      <c r="J28" s="827">
        <v>1</v>
      </c>
      <c r="K28" s="832"/>
      <c r="L28" s="174"/>
    </row>
    <row r="29" spans="2:13" x14ac:dyDescent="0.2">
      <c r="B29" s="827"/>
      <c r="C29" s="841">
        <f>3.05-2.663</f>
        <v>0.38700000000000001</v>
      </c>
      <c r="D29" s="827">
        <v>1</v>
      </c>
      <c r="E29" s="827"/>
      <c r="F29" s="843">
        <v>-0.73699999999999999</v>
      </c>
      <c r="G29" s="827">
        <v>1</v>
      </c>
      <c r="H29" s="827"/>
      <c r="I29" s="841">
        <v>-1.93</v>
      </c>
      <c r="J29" s="827">
        <v>2</v>
      </c>
      <c r="K29" s="832"/>
      <c r="L29" s="174"/>
    </row>
    <row r="30" spans="2:13" x14ac:dyDescent="0.2">
      <c r="B30" s="827"/>
      <c r="C30" s="841">
        <f>2.663-4.57</f>
        <v>-1.9070000000000005</v>
      </c>
      <c r="D30" s="827">
        <v>1</v>
      </c>
      <c r="E30" s="827"/>
      <c r="F30" s="842">
        <v>-2.2570000000000001</v>
      </c>
      <c r="G30" s="827">
        <v>1</v>
      </c>
      <c r="H30" s="827"/>
      <c r="I30" s="841">
        <v>-3.45</v>
      </c>
      <c r="J30" s="827">
        <v>1</v>
      </c>
      <c r="K30" s="832"/>
      <c r="L30" s="174"/>
      <c r="M30">
        <f>AVERAGE(J28:J32)</f>
        <v>1.2</v>
      </c>
    </row>
    <row r="31" spans="2:13" x14ac:dyDescent="0.2">
      <c r="B31" s="827"/>
      <c r="C31" s="841">
        <f>2.663-6.1</f>
        <v>-3.4369999999999998</v>
      </c>
      <c r="D31" s="827">
        <v>1</v>
      </c>
      <c r="E31" s="827"/>
      <c r="F31" s="842">
        <v>-3.7869999999999999</v>
      </c>
      <c r="G31" s="827">
        <v>3</v>
      </c>
      <c r="H31" s="827"/>
      <c r="I31" s="841">
        <v>-4.9800000000000004</v>
      </c>
      <c r="J31" s="827">
        <v>1</v>
      </c>
      <c r="K31" s="832"/>
      <c r="L31" s="174"/>
    </row>
    <row r="32" spans="2:13" x14ac:dyDescent="0.2">
      <c r="B32" s="827"/>
      <c r="C32" s="841">
        <v>-4.9569999999999999</v>
      </c>
      <c r="D32" s="827">
        <v>1</v>
      </c>
      <c r="E32" s="827"/>
      <c r="F32" s="842">
        <f>-5.307</f>
        <v>-5.3070000000000004</v>
      </c>
      <c r="G32" s="827">
        <v>2</v>
      </c>
      <c r="H32" s="827"/>
      <c r="I32" s="841">
        <v>-6.5</v>
      </c>
      <c r="J32" s="827">
        <v>1</v>
      </c>
      <c r="K32" s="832"/>
      <c r="L32" s="174"/>
    </row>
    <row r="33" spans="2:13" x14ac:dyDescent="0.2">
      <c r="B33" s="827"/>
      <c r="C33" s="841">
        <v>-6.4870000000000001</v>
      </c>
      <c r="D33" s="827">
        <v>1</v>
      </c>
      <c r="E33" s="827"/>
      <c r="F33" s="842">
        <f>-6.837</f>
        <v>-6.8369999999999997</v>
      </c>
      <c r="G33" s="827">
        <v>1</v>
      </c>
      <c r="H33" s="827"/>
      <c r="I33" s="841">
        <v>-8.0299999999999994</v>
      </c>
      <c r="J33" s="827">
        <v>1</v>
      </c>
      <c r="K33" s="832"/>
      <c r="L33" s="174"/>
    </row>
    <row r="34" spans="2:13" x14ac:dyDescent="0.2">
      <c r="B34" s="827"/>
      <c r="C34" s="841">
        <v>-8.0370000000000008</v>
      </c>
      <c r="D34" s="827">
        <v>2</v>
      </c>
      <c r="E34" s="827"/>
      <c r="F34" s="842">
        <v>-8.3870000000000005</v>
      </c>
      <c r="G34" s="827">
        <v>3</v>
      </c>
      <c r="H34" s="827"/>
      <c r="I34" s="841">
        <v>-9.58</v>
      </c>
      <c r="J34" s="827">
        <v>2</v>
      </c>
      <c r="K34" s="832"/>
      <c r="L34" s="174"/>
    </row>
    <row r="35" spans="2:13" x14ac:dyDescent="0.2">
      <c r="B35" s="827"/>
      <c r="C35" s="841">
        <v>-9.5370000000000008</v>
      </c>
      <c r="D35" s="827">
        <v>2</v>
      </c>
      <c r="E35" s="827"/>
      <c r="F35" s="842">
        <v>-9.8870000000000005</v>
      </c>
      <c r="G35" s="827">
        <v>4</v>
      </c>
      <c r="H35" s="827"/>
      <c r="I35" s="841">
        <v>-11.08</v>
      </c>
      <c r="J35" s="827">
        <v>2</v>
      </c>
      <c r="K35" s="832"/>
      <c r="L35" s="174"/>
    </row>
    <row r="36" spans="2:13" x14ac:dyDescent="0.2">
      <c r="B36" s="827"/>
      <c r="C36" s="841">
        <v>-11.037000000000001</v>
      </c>
      <c r="D36" s="827">
        <v>2</v>
      </c>
      <c r="E36" s="827"/>
      <c r="F36" s="842">
        <v>-11.387</v>
      </c>
      <c r="G36" s="827">
        <v>3</v>
      </c>
      <c r="H36" s="827"/>
      <c r="I36" s="841">
        <v>-12.58</v>
      </c>
      <c r="J36" s="827">
        <v>3</v>
      </c>
      <c r="K36" s="832"/>
      <c r="L36" s="174"/>
      <c r="M36" s="419"/>
    </row>
    <row r="37" spans="2:13" x14ac:dyDescent="0.2">
      <c r="B37" s="827"/>
      <c r="C37" s="841">
        <v>-12.537000000000001</v>
      </c>
      <c r="D37" s="827">
        <v>2</v>
      </c>
      <c r="E37" s="827"/>
      <c r="F37" s="842">
        <v>-12.887</v>
      </c>
      <c r="G37" s="827">
        <v>4</v>
      </c>
      <c r="H37" s="827"/>
      <c r="I37" s="841">
        <v>-14.08</v>
      </c>
      <c r="J37" s="827">
        <v>3</v>
      </c>
      <c r="K37" s="832"/>
      <c r="L37" s="174"/>
    </row>
    <row r="38" spans="2:13" x14ac:dyDescent="0.2">
      <c r="B38" s="827"/>
      <c r="C38" s="841">
        <v>-14.137</v>
      </c>
      <c r="D38" s="827">
        <v>4</v>
      </c>
      <c r="E38" s="827"/>
      <c r="F38" s="842">
        <v>-14.487</v>
      </c>
      <c r="G38" s="827">
        <v>4</v>
      </c>
      <c r="H38" s="827"/>
      <c r="I38" s="841">
        <v>-15.68</v>
      </c>
      <c r="J38" s="827">
        <v>4</v>
      </c>
      <c r="K38" s="832"/>
      <c r="L38" s="174"/>
      <c r="M38" s="419"/>
    </row>
    <row r="39" spans="2:13" x14ac:dyDescent="0.2">
      <c r="B39" s="827"/>
      <c r="C39" s="841">
        <v>-15.637</v>
      </c>
      <c r="D39" s="827">
        <v>4</v>
      </c>
      <c r="E39" s="827"/>
      <c r="F39" s="842">
        <v>-15.987</v>
      </c>
      <c r="G39" s="827">
        <v>3</v>
      </c>
      <c r="H39" s="827"/>
      <c r="I39" s="841">
        <v>-17.18</v>
      </c>
      <c r="J39" s="827">
        <v>4</v>
      </c>
      <c r="K39" s="832"/>
      <c r="L39" s="174"/>
      <c r="M39" s="419"/>
    </row>
    <row r="40" spans="2:13" x14ac:dyDescent="0.2">
      <c r="B40" s="827"/>
      <c r="C40" s="841">
        <v>-17.137</v>
      </c>
      <c r="D40" s="827">
        <v>6</v>
      </c>
      <c r="E40" s="827"/>
      <c r="F40" s="842">
        <v>-17.486999999999998</v>
      </c>
      <c r="G40" s="827">
        <v>5</v>
      </c>
      <c r="H40" s="827"/>
      <c r="I40" s="841">
        <v>-18.68</v>
      </c>
      <c r="J40" s="827">
        <v>6</v>
      </c>
      <c r="K40" s="832"/>
      <c r="L40" s="174"/>
      <c r="M40" s="419"/>
    </row>
    <row r="41" spans="2:13" x14ac:dyDescent="0.2">
      <c r="B41" s="827"/>
      <c r="C41" s="844">
        <v>-18.637</v>
      </c>
      <c r="D41" s="827">
        <v>7</v>
      </c>
      <c r="E41" s="827"/>
      <c r="F41" s="842">
        <v>-18.986999999999998</v>
      </c>
      <c r="G41" s="827">
        <v>6</v>
      </c>
      <c r="H41" s="827"/>
      <c r="I41" s="841">
        <v>-20.18</v>
      </c>
      <c r="J41" s="827">
        <v>7</v>
      </c>
      <c r="K41" s="832"/>
      <c r="L41" s="174"/>
      <c r="M41" s="419"/>
    </row>
    <row r="42" spans="2:13" x14ac:dyDescent="0.2">
      <c r="B42" s="827"/>
      <c r="C42" s="844">
        <v>-20.236999999999998</v>
      </c>
      <c r="D42" s="827">
        <v>8</v>
      </c>
      <c r="E42" s="827"/>
      <c r="F42" s="842">
        <v>-20.587</v>
      </c>
      <c r="G42" s="827">
        <v>8</v>
      </c>
      <c r="H42" s="827"/>
      <c r="I42" s="844">
        <v>-21.78</v>
      </c>
      <c r="J42" s="827">
        <v>10</v>
      </c>
      <c r="K42" s="832"/>
      <c r="L42" s="174"/>
      <c r="M42" s="419"/>
    </row>
    <row r="43" spans="2:13" x14ac:dyDescent="0.2">
      <c r="B43" s="827"/>
      <c r="C43" s="844">
        <v>-21.736999999999998</v>
      </c>
      <c r="D43" s="827">
        <v>8</v>
      </c>
      <c r="E43" s="845"/>
      <c r="F43" s="842">
        <v>-22.087</v>
      </c>
      <c r="G43" s="846">
        <v>9</v>
      </c>
      <c r="H43" s="845"/>
      <c r="I43" s="844">
        <v>-23.28</v>
      </c>
      <c r="J43" s="827">
        <v>10</v>
      </c>
      <c r="K43" s="832"/>
      <c r="L43" s="174"/>
      <c r="M43" s="419"/>
    </row>
    <row r="44" spans="2:13" x14ac:dyDescent="0.2">
      <c r="B44" s="827"/>
      <c r="C44" s="882"/>
      <c r="D44" s="827"/>
      <c r="E44" s="845"/>
      <c r="F44" s="847">
        <v>-23.587</v>
      </c>
      <c r="G44" s="846">
        <v>17</v>
      </c>
      <c r="H44" s="845"/>
      <c r="I44" s="844">
        <v>-24.78</v>
      </c>
      <c r="J44" s="827">
        <v>21</v>
      </c>
      <c r="K44" s="832"/>
      <c r="L44" s="174"/>
      <c r="M44" s="419"/>
    </row>
    <row r="45" spans="2:13" ht="13.5" thickBot="1" x14ac:dyDescent="0.25">
      <c r="B45" s="827"/>
      <c r="C45" s="883"/>
      <c r="D45" s="827"/>
      <c r="E45" s="848"/>
      <c r="F45" s="849">
        <v>-25.087</v>
      </c>
      <c r="G45" s="848">
        <v>32</v>
      </c>
      <c r="H45" s="848"/>
      <c r="I45" s="1410">
        <v>-26.28</v>
      </c>
      <c r="J45" s="848">
        <v>24</v>
      </c>
      <c r="K45" s="832"/>
      <c r="L45" s="174"/>
      <c r="M45" s="419"/>
    </row>
    <row r="46" spans="2:13" x14ac:dyDescent="0.2">
      <c r="B46" s="827" t="s">
        <v>2413</v>
      </c>
      <c r="C46" s="827"/>
      <c r="D46" s="850">
        <f>AVERAGE(D28:D38)</f>
        <v>1.6363636363636365</v>
      </c>
      <c r="E46" s="851"/>
      <c r="F46" s="851"/>
      <c r="G46" s="852">
        <f>AVERAGE(G28:G37)</f>
        <v>2.2999999999999998</v>
      </c>
      <c r="H46" s="851"/>
      <c r="I46" s="851"/>
      <c r="J46" s="853">
        <f>AVERAGE(J28:J36)</f>
        <v>1.5555555555555556</v>
      </c>
      <c r="K46" s="832"/>
      <c r="L46" s="174"/>
      <c r="M46" s="419"/>
    </row>
    <row r="47" spans="2:13" ht="14.25" thickBot="1" x14ac:dyDescent="0.3">
      <c r="B47" s="854" t="s">
        <v>2414</v>
      </c>
      <c r="C47" s="855"/>
      <c r="D47" s="856"/>
      <c r="E47" s="827"/>
      <c r="F47" s="827"/>
      <c r="G47" s="857"/>
      <c r="H47" s="827"/>
      <c r="I47" s="827"/>
      <c r="J47" s="858"/>
      <c r="K47" s="832"/>
      <c r="L47" s="174"/>
      <c r="M47" s="419"/>
    </row>
    <row r="48" spans="2:13" ht="14.25" thickBot="1" x14ac:dyDescent="0.3">
      <c r="B48" s="854" t="s">
        <v>2415</v>
      </c>
      <c r="C48" s="821"/>
      <c r="D48" s="859">
        <f>AVERAGE(D31:D34)</f>
        <v>1.25</v>
      </c>
      <c r="E48" s="860"/>
      <c r="F48" s="860"/>
      <c r="G48" s="859">
        <f>AVERAGE(G29:G34)</f>
        <v>1.8333333333333333</v>
      </c>
      <c r="H48" s="860"/>
      <c r="I48" s="860"/>
      <c r="J48" s="859">
        <f>AVERAGE(J28:J33)</f>
        <v>1.1666666666666667</v>
      </c>
      <c r="K48" s="832"/>
      <c r="L48" s="174"/>
      <c r="M48" s="419"/>
    </row>
    <row r="49" spans="2:12" x14ac:dyDescent="0.2">
      <c r="B49" s="832"/>
      <c r="C49" s="832"/>
      <c r="D49" s="832"/>
      <c r="E49" s="832"/>
      <c r="F49" s="832"/>
      <c r="G49" s="832"/>
      <c r="H49" s="832"/>
      <c r="I49" s="832"/>
      <c r="J49" s="832"/>
      <c r="K49" s="832"/>
      <c r="L49" s="174"/>
    </row>
    <row r="50" spans="2:12" x14ac:dyDescent="0.2">
      <c r="B50" s="861"/>
      <c r="C50" s="1526" t="s">
        <v>2285</v>
      </c>
      <c r="D50" s="1527"/>
      <c r="E50" s="1526" t="s">
        <v>2469</v>
      </c>
      <c r="F50" s="1527"/>
      <c r="G50" s="862"/>
      <c r="H50" s="863"/>
      <c r="I50" s="861"/>
      <c r="J50" s="832"/>
      <c r="K50" s="832"/>
      <c r="L50" s="174"/>
    </row>
    <row r="51" spans="2:12" x14ac:dyDescent="0.2">
      <c r="B51" s="864" t="s">
        <v>2290</v>
      </c>
      <c r="C51" s="1528"/>
      <c r="D51" s="1529"/>
      <c r="E51" s="1528"/>
      <c r="F51" s="1529"/>
      <c r="G51" s="1522" t="s">
        <v>2470</v>
      </c>
      <c r="H51" s="1523"/>
      <c r="I51" s="1515" t="s">
        <v>2276</v>
      </c>
      <c r="J51" s="832"/>
      <c r="K51" s="832"/>
      <c r="L51" s="174"/>
    </row>
    <row r="52" spans="2:12" x14ac:dyDescent="0.2">
      <c r="B52" s="865"/>
      <c r="C52" s="1530"/>
      <c r="D52" s="1531"/>
      <c r="E52" s="1530"/>
      <c r="F52" s="1531"/>
      <c r="G52" s="1524"/>
      <c r="H52" s="1525"/>
      <c r="I52" s="1516"/>
      <c r="J52" s="832"/>
      <c r="K52" s="832"/>
      <c r="L52" s="174"/>
    </row>
    <row r="53" spans="2:12" x14ac:dyDescent="0.2">
      <c r="B53" s="866">
        <v>1</v>
      </c>
      <c r="C53" s="1519" t="s">
        <v>728</v>
      </c>
      <c r="D53" s="1520"/>
      <c r="E53" s="1517">
        <f>'Struct3(Barrel Comp)'!E181</f>
        <v>114.69317966903076</v>
      </c>
      <c r="F53" s="1518"/>
      <c r="G53" s="1517">
        <f>E90</f>
        <v>47.693111702127652</v>
      </c>
      <c r="H53" s="1518"/>
      <c r="I53" s="884" t="str">
        <f>IF(G53&gt;E53,"O.K", "NOT O.K")</f>
        <v>NOT O.K</v>
      </c>
      <c r="J53" s="832"/>
      <c r="K53" s="832"/>
      <c r="L53" s="174"/>
    </row>
    <row r="54" spans="2:12" x14ac:dyDescent="0.2">
      <c r="B54" s="866">
        <v>2</v>
      </c>
      <c r="C54" s="1519" t="s">
        <v>2288</v>
      </c>
      <c r="D54" s="1520"/>
      <c r="E54" s="1521">
        <f>MAX('Struct4 wing(RS)'!G254,'Struct4 wing(RS)'!F433,'Struct4 wing(RS)'!F561,'Struct4 wing(RS)'!F688,'Struct4 wing(RS)'!F817)</f>
        <v>75.456000000000017</v>
      </c>
      <c r="F54" s="1518"/>
      <c r="G54" s="1517">
        <f>E90</f>
        <v>47.693111702127652</v>
      </c>
      <c r="H54" s="1518"/>
      <c r="I54" s="884" t="str">
        <f t="shared" ref="I54:I57" si="0">IF(G54&gt;E54,"O.K", "NOT O.K")</f>
        <v>NOT O.K</v>
      </c>
      <c r="J54" s="832"/>
      <c r="K54" s="832"/>
      <c r="L54" s="174"/>
    </row>
    <row r="55" spans="2:12" x14ac:dyDescent="0.2">
      <c r="B55" s="866">
        <v>3</v>
      </c>
      <c r="C55" s="1519" t="s">
        <v>2287</v>
      </c>
      <c r="D55" s="1520"/>
      <c r="E55" s="1517">
        <f>MAX('Struct5-Retwall (RS)'!H142,'Struct5-Retwall (RS)'!H143)</f>
        <v>98.184646661875163</v>
      </c>
      <c r="F55" s="1518"/>
      <c r="G55" s="1517">
        <f>E90</f>
        <v>47.693111702127652</v>
      </c>
      <c r="H55" s="1518"/>
      <c r="I55" s="884" t="str">
        <f t="shared" si="0"/>
        <v>NOT O.K</v>
      </c>
      <c r="J55" s="832"/>
      <c r="K55" s="832"/>
      <c r="L55" s="174"/>
    </row>
    <row r="56" spans="2:12" x14ac:dyDescent="0.2">
      <c r="B56" s="866">
        <v>4</v>
      </c>
      <c r="C56" s="867" t="s">
        <v>2289</v>
      </c>
      <c r="D56" s="868"/>
      <c r="E56" s="1517">
        <f>MAX('Struct4 wing(CS)'!G247,'Struct4 wing(CS)'!F426,'Struct4 wing(CS)'!F553,'Struct4 wing(CS)'!F682,'Struct4 wing(CS)'!F810)</f>
        <v>73.598181818181828</v>
      </c>
      <c r="F56" s="1518"/>
      <c r="G56" s="1517">
        <f>E90</f>
        <v>47.693111702127652</v>
      </c>
      <c r="H56" s="1518"/>
      <c r="I56" s="884" t="str">
        <f t="shared" si="0"/>
        <v>NOT O.K</v>
      </c>
      <c r="J56" s="832"/>
      <c r="K56" s="832"/>
      <c r="L56" s="174"/>
    </row>
    <row r="57" spans="2:12" x14ac:dyDescent="0.2">
      <c r="B57" s="866">
        <v>5</v>
      </c>
      <c r="C57" s="867" t="s">
        <v>2286</v>
      </c>
      <c r="D57" s="868"/>
      <c r="E57" s="1517">
        <f>MAX('Struct5-Retwall(CS)'!H143,'Struct5-Retwall(CS)'!H144)</f>
        <v>85.137711269419981</v>
      </c>
      <c r="F57" s="1518"/>
      <c r="G57" s="1517">
        <f>E90</f>
        <v>47.693111702127652</v>
      </c>
      <c r="H57" s="1518"/>
      <c r="I57" s="884" t="str">
        <f t="shared" si="0"/>
        <v>NOT O.K</v>
      </c>
      <c r="J57" s="827"/>
      <c r="K57" s="832"/>
      <c r="L57" s="174"/>
    </row>
    <row r="58" spans="2:12" x14ac:dyDescent="0.2">
      <c r="B58" s="869"/>
      <c r="C58" s="832"/>
      <c r="D58" s="832"/>
      <c r="E58" s="832"/>
      <c r="F58" s="832"/>
      <c r="G58" s="832"/>
      <c r="H58" s="832"/>
      <c r="I58" s="832"/>
      <c r="J58" s="870" t="s">
        <v>2435</v>
      </c>
      <c r="L58" s="174"/>
    </row>
    <row r="59" spans="2:12" x14ac:dyDescent="0.2">
      <c r="B59" s="869"/>
      <c r="C59" s="832"/>
      <c r="D59" s="832"/>
      <c r="E59" s="832"/>
      <c r="F59" s="832"/>
      <c r="G59" s="832"/>
      <c r="H59" s="832"/>
      <c r="I59" s="832"/>
      <c r="J59" s="832"/>
      <c r="K59" s="832"/>
      <c r="L59" s="174"/>
    </row>
    <row r="60" spans="2:12" x14ac:dyDescent="0.2">
      <c r="B60" s="832"/>
      <c r="C60" s="832"/>
      <c r="D60" s="832"/>
      <c r="E60" s="832"/>
      <c r="F60" s="832"/>
      <c r="G60" s="832"/>
      <c r="H60" s="832"/>
      <c r="I60" s="832"/>
      <c r="J60" s="832"/>
      <c r="K60" s="832"/>
      <c r="L60" s="174"/>
    </row>
    <row r="61" spans="2:12" x14ac:dyDescent="0.2">
      <c r="B61" s="832" t="s">
        <v>2292</v>
      </c>
      <c r="C61" s="832"/>
      <c r="D61" s="832"/>
      <c r="E61" s="832"/>
      <c r="F61" s="832"/>
      <c r="G61" s="832"/>
      <c r="H61" s="832"/>
      <c r="I61" s="832"/>
      <c r="J61" s="832"/>
      <c r="K61" s="832"/>
      <c r="L61" s="174"/>
    </row>
    <row r="62" spans="2:12" x14ac:dyDescent="0.2">
      <c r="B62" s="832" t="s">
        <v>2471</v>
      </c>
      <c r="C62" s="832"/>
      <c r="D62" s="827"/>
      <c r="E62" s="871"/>
      <c r="F62" s="832"/>
      <c r="G62" s="832"/>
      <c r="H62" s="832"/>
      <c r="I62" s="832"/>
      <c r="J62" s="832"/>
      <c r="K62" s="832"/>
      <c r="L62" s="174"/>
    </row>
    <row r="63" spans="2:12" x14ac:dyDescent="0.2">
      <c r="B63" s="832" t="s">
        <v>2291</v>
      </c>
      <c r="C63" s="832"/>
      <c r="D63" s="832"/>
      <c r="E63" s="832"/>
      <c r="F63" s="832"/>
      <c r="G63" s="832"/>
      <c r="H63" s="832"/>
      <c r="I63" s="832"/>
      <c r="J63" s="832"/>
      <c r="K63" s="832"/>
      <c r="L63" s="174"/>
    </row>
    <row r="64" spans="2:12" x14ac:dyDescent="0.2">
      <c r="B64" s="832"/>
      <c r="C64" s="832"/>
      <c r="D64" s="832"/>
      <c r="E64" s="832"/>
      <c r="F64" s="832"/>
      <c r="G64" s="832"/>
      <c r="H64" s="832"/>
      <c r="I64" s="832"/>
      <c r="J64" s="832"/>
      <c r="K64" s="832"/>
      <c r="L64" s="174"/>
    </row>
    <row r="65" spans="2:12" x14ac:dyDescent="0.2">
      <c r="B65" s="832" t="s">
        <v>2293</v>
      </c>
      <c r="C65" s="832"/>
      <c r="D65" s="832"/>
      <c r="E65" s="832"/>
      <c r="F65" s="832"/>
      <c r="G65" s="832"/>
      <c r="H65" s="832"/>
      <c r="I65" s="832"/>
      <c r="J65" s="832"/>
      <c r="K65" s="832"/>
      <c r="L65" s="174"/>
    </row>
    <row r="66" spans="2:12" ht="13.5" x14ac:dyDescent="0.25">
      <c r="B66" s="832"/>
      <c r="C66" s="872" t="s">
        <v>2304</v>
      </c>
      <c r="D66" s="832">
        <f>'Struct3(Barrel Comp)'!D67</f>
        <v>3</v>
      </c>
      <c r="E66" s="832" t="s">
        <v>24</v>
      </c>
      <c r="F66" s="832"/>
      <c r="G66" s="832"/>
      <c r="H66" s="832"/>
      <c r="I66" s="832"/>
      <c r="J66" s="832"/>
      <c r="K66" s="832"/>
      <c r="L66" s="174"/>
    </row>
    <row r="67" spans="2:12" ht="13.5" x14ac:dyDescent="0.25">
      <c r="B67" s="832"/>
      <c r="C67" s="872" t="s">
        <v>2305</v>
      </c>
      <c r="D67" s="832">
        <f>'Struct3(Barrel Comp)'!E70</f>
        <v>14.100000000000001</v>
      </c>
      <c r="E67" s="832" t="s">
        <v>24</v>
      </c>
      <c r="F67" s="832"/>
      <c r="G67" s="832"/>
      <c r="H67" s="832"/>
      <c r="I67" s="832"/>
      <c r="J67" s="832"/>
      <c r="K67" s="832"/>
      <c r="L67" s="174"/>
    </row>
    <row r="68" spans="2:12" x14ac:dyDescent="0.2">
      <c r="B68" s="832" t="s">
        <v>2557</v>
      </c>
      <c r="C68" s="832"/>
      <c r="D68" s="832"/>
      <c r="E68" s="832"/>
      <c r="F68" s="832"/>
      <c r="G68" s="832"/>
      <c r="H68" s="832"/>
      <c r="I68" s="832"/>
      <c r="J68" s="832"/>
      <c r="K68" s="832"/>
      <c r="L68" s="174"/>
    </row>
    <row r="69" spans="2:12" ht="16.5" x14ac:dyDescent="0.3">
      <c r="B69" s="872" t="s">
        <v>2558</v>
      </c>
      <c r="C69" s="832"/>
      <c r="D69" s="832"/>
      <c r="E69" s="832"/>
      <c r="F69" s="832"/>
      <c r="G69" s="873">
        <f>AVERAGE(D46,G46,J46)</f>
        <v>1.8306397306397306</v>
      </c>
      <c r="H69" s="832"/>
      <c r="I69" s="832"/>
      <c r="J69" s="832"/>
      <c r="K69" s="832"/>
      <c r="L69" s="174"/>
    </row>
    <row r="70" spans="2:12" x14ac:dyDescent="0.2">
      <c r="B70" s="832"/>
      <c r="C70" s="832"/>
      <c r="D70" s="832"/>
      <c r="E70" s="832"/>
      <c r="F70" s="832"/>
      <c r="G70" s="832"/>
      <c r="H70" s="832"/>
      <c r="I70" s="832"/>
      <c r="J70" s="832"/>
      <c r="K70" s="832"/>
      <c r="L70" s="174"/>
    </row>
    <row r="71" spans="2:12" x14ac:dyDescent="0.2">
      <c r="B71" s="832" t="s">
        <v>2559</v>
      </c>
      <c r="C71" s="832"/>
      <c r="D71" s="832"/>
      <c r="E71" s="832"/>
      <c r="F71" s="832"/>
      <c r="G71" s="832"/>
      <c r="H71" s="832"/>
      <c r="I71" s="832"/>
      <c r="J71" s="832"/>
      <c r="K71" s="832"/>
      <c r="L71" s="174"/>
    </row>
    <row r="72" spans="2:12" ht="16.5" x14ac:dyDescent="0.3">
      <c r="B72" s="872" t="s">
        <v>2560</v>
      </c>
      <c r="C72" s="832"/>
      <c r="D72" s="832"/>
      <c r="E72" s="832"/>
      <c r="F72" s="873">
        <f>AVERAGE(D48,G48,J48)</f>
        <v>1.4166666666666667</v>
      </c>
      <c r="G72" s="832"/>
      <c r="H72" s="832"/>
      <c r="I72" s="832"/>
      <c r="J72" s="832"/>
      <c r="K72" s="832"/>
      <c r="L72" s="174"/>
    </row>
    <row r="73" spans="2:12" x14ac:dyDescent="0.2">
      <c r="B73" s="832"/>
      <c r="C73" s="832"/>
      <c r="D73" s="832"/>
      <c r="E73" s="832"/>
      <c r="F73" s="874"/>
      <c r="G73" s="832"/>
      <c r="H73" s="832"/>
      <c r="I73" s="832"/>
      <c r="J73" s="832"/>
      <c r="K73" s="832"/>
      <c r="L73" s="174"/>
    </row>
    <row r="74" spans="2:12" x14ac:dyDescent="0.2">
      <c r="B74" s="832" t="s">
        <v>2294</v>
      </c>
      <c r="C74" s="832"/>
      <c r="D74" s="832"/>
      <c r="E74" s="832"/>
      <c r="F74" s="874"/>
      <c r="G74" s="832"/>
      <c r="H74" s="832"/>
      <c r="I74" s="832"/>
      <c r="J74" s="832"/>
      <c r="K74" s="832"/>
      <c r="L74" s="174"/>
    </row>
    <row r="75" spans="2:12" x14ac:dyDescent="0.2">
      <c r="B75" s="832"/>
      <c r="C75" s="832" t="s">
        <v>698</v>
      </c>
      <c r="D75" s="874">
        <f>G69</f>
        <v>1.8306397306397306</v>
      </c>
      <c r="E75" s="832" t="s">
        <v>339</v>
      </c>
      <c r="F75" s="874">
        <v>29</v>
      </c>
      <c r="G75" s="832" t="s">
        <v>32</v>
      </c>
      <c r="H75" s="832"/>
      <c r="I75" s="832"/>
      <c r="J75" s="832"/>
      <c r="K75" s="832"/>
      <c r="L75" s="174"/>
    </row>
    <row r="76" spans="2:12" x14ac:dyDescent="0.2">
      <c r="B76" s="832"/>
      <c r="C76" s="832" t="s">
        <v>2295</v>
      </c>
      <c r="D76" s="874">
        <f>F72</f>
        <v>1.4166666666666667</v>
      </c>
      <c r="E76" s="832" t="s">
        <v>339</v>
      </c>
      <c r="F76" s="874">
        <v>10</v>
      </c>
      <c r="G76" s="832" t="s">
        <v>32</v>
      </c>
      <c r="H76" s="832"/>
      <c r="I76" s="832"/>
      <c r="J76" s="832"/>
      <c r="K76" s="832"/>
      <c r="L76" s="174"/>
    </row>
    <row r="77" spans="2:12" x14ac:dyDescent="0.2">
      <c r="B77" s="832" t="s">
        <v>2306</v>
      </c>
      <c r="C77" s="832"/>
      <c r="D77" s="874"/>
      <c r="E77" s="832"/>
      <c r="F77" s="874"/>
      <c r="G77" s="832"/>
      <c r="H77" s="832"/>
      <c r="I77" s="832"/>
      <c r="J77" s="832"/>
      <c r="K77" s="832"/>
      <c r="L77" s="174"/>
    </row>
    <row r="78" spans="2:12" x14ac:dyDescent="0.2">
      <c r="B78" s="832"/>
      <c r="C78" s="832" t="s">
        <v>2307</v>
      </c>
      <c r="D78" s="832">
        <v>18.899999999999999</v>
      </c>
      <c r="E78" s="832" t="s">
        <v>2309</v>
      </c>
      <c r="F78" s="874"/>
      <c r="G78" s="832"/>
      <c r="H78" s="832"/>
      <c r="I78" s="832"/>
      <c r="J78" s="832"/>
      <c r="K78" s="832"/>
      <c r="L78" s="174"/>
    </row>
    <row r="79" spans="2:12" x14ac:dyDescent="0.2">
      <c r="B79" s="832"/>
      <c r="C79" s="832" t="s">
        <v>2303</v>
      </c>
      <c r="D79" s="874">
        <v>0</v>
      </c>
      <c r="E79" s="832"/>
      <c r="F79" s="874"/>
      <c r="G79" s="832"/>
      <c r="H79" s="832"/>
      <c r="I79" s="832"/>
      <c r="J79" s="832"/>
      <c r="K79" s="832"/>
      <c r="L79" s="174"/>
    </row>
    <row r="80" spans="2:12" x14ac:dyDescent="0.2">
      <c r="B80" s="827"/>
      <c r="C80" s="832" t="s">
        <v>2308</v>
      </c>
      <c r="D80" s="832">
        <f>3.9-(-1.1)</f>
        <v>5</v>
      </c>
      <c r="E80" s="832" t="s">
        <v>24</v>
      </c>
      <c r="F80" s="874" t="s">
        <v>2310</v>
      </c>
      <c r="G80" s="832"/>
      <c r="H80" s="832"/>
      <c r="I80" s="832"/>
      <c r="J80" s="832"/>
      <c r="K80" s="832"/>
      <c r="L80" s="174"/>
    </row>
    <row r="81" spans="2:12" ht="16.5" x14ac:dyDescent="0.3">
      <c r="B81" s="827"/>
      <c r="C81" s="832" t="s">
        <v>2472</v>
      </c>
      <c r="D81" s="832">
        <v>10</v>
      </c>
      <c r="E81" s="832" t="s">
        <v>2309</v>
      </c>
      <c r="F81" s="874"/>
      <c r="G81" s="832"/>
      <c r="H81" s="832"/>
      <c r="I81" s="832"/>
      <c r="J81" s="832"/>
      <c r="K81" s="832"/>
      <c r="L81" s="174"/>
    </row>
    <row r="82" spans="2:12" x14ac:dyDescent="0.2">
      <c r="B82" s="832" t="s">
        <v>2296</v>
      </c>
      <c r="C82" s="832" t="s">
        <v>2495</v>
      </c>
      <c r="D82" s="832" t="s">
        <v>2297</v>
      </c>
      <c r="E82" s="832">
        <v>6</v>
      </c>
      <c r="F82" s="874" t="s">
        <v>2299</v>
      </c>
      <c r="G82" s="1513" t="s">
        <v>2473</v>
      </c>
      <c r="H82" s="1513"/>
      <c r="I82" s="832">
        <f>1+D66/D67*E83/E84</f>
        <v>2.7021276595744679</v>
      </c>
      <c r="J82" s="832"/>
      <c r="K82" s="832"/>
      <c r="L82" s="174"/>
    </row>
    <row r="83" spans="2:12" x14ac:dyDescent="0.2">
      <c r="B83" s="832"/>
      <c r="C83" s="832"/>
      <c r="D83" s="832" t="s">
        <v>2298</v>
      </c>
      <c r="E83" s="832">
        <v>2</v>
      </c>
      <c r="F83" s="874" t="s">
        <v>2300</v>
      </c>
      <c r="G83" s="1513" t="s">
        <v>2474</v>
      </c>
      <c r="H83" s="1513"/>
      <c r="I83" s="832">
        <f>1+D66/D67*E85</f>
        <v>1.0374468085106383</v>
      </c>
      <c r="J83" s="832"/>
      <c r="K83" s="832"/>
      <c r="L83" s="174"/>
    </row>
    <row r="84" spans="2:12" x14ac:dyDescent="0.2">
      <c r="B84" s="832"/>
      <c r="C84" s="832"/>
      <c r="D84" s="832" t="s">
        <v>2475</v>
      </c>
      <c r="E84" s="832">
        <v>0.25</v>
      </c>
      <c r="F84" s="874" t="s">
        <v>2476</v>
      </c>
      <c r="G84" s="1513" t="s">
        <v>2301</v>
      </c>
      <c r="H84" s="1513"/>
      <c r="I84" s="832">
        <f>1-0.4*D66/D67</f>
        <v>0.91489361702127658</v>
      </c>
      <c r="J84" s="832"/>
      <c r="K84" s="832"/>
      <c r="L84" s="174"/>
    </row>
    <row r="85" spans="2:12" x14ac:dyDescent="0.2">
      <c r="B85" s="832"/>
      <c r="C85" s="832"/>
      <c r="D85" s="832" t="s">
        <v>2477</v>
      </c>
      <c r="E85" s="841">
        <v>0.17599999999999999</v>
      </c>
      <c r="F85" s="874"/>
      <c r="G85" s="832"/>
      <c r="H85" s="832"/>
      <c r="I85" s="832"/>
      <c r="J85" s="832"/>
      <c r="K85" s="832"/>
      <c r="L85" s="174"/>
    </row>
    <row r="86" spans="2:12" x14ac:dyDescent="0.2">
      <c r="B86" s="832"/>
      <c r="C86" s="832"/>
      <c r="D86" s="832"/>
      <c r="E86" s="832"/>
      <c r="F86" s="874"/>
      <c r="G86" s="832"/>
      <c r="H86" s="832"/>
      <c r="I86" s="832"/>
      <c r="J86" s="832"/>
      <c r="K86" s="832"/>
      <c r="L86" s="174"/>
    </row>
    <row r="87" spans="2:12" x14ac:dyDescent="0.2">
      <c r="B87" s="827"/>
      <c r="C87" s="827"/>
      <c r="D87" s="827"/>
      <c r="E87" s="827"/>
      <c r="F87" s="827"/>
      <c r="G87" s="827"/>
      <c r="H87" s="832"/>
      <c r="I87" s="832"/>
      <c r="J87" s="832"/>
      <c r="K87" s="832"/>
      <c r="L87" s="174"/>
    </row>
    <row r="88" spans="2:12" x14ac:dyDescent="0.2">
      <c r="B88" s="831" t="s">
        <v>2302</v>
      </c>
      <c r="C88" s="832"/>
      <c r="D88" s="832"/>
      <c r="E88" s="832"/>
      <c r="F88" s="874"/>
      <c r="G88" s="832"/>
      <c r="H88" s="832"/>
      <c r="I88" s="832"/>
      <c r="J88" s="832"/>
      <c r="K88" s="832"/>
      <c r="L88" s="174"/>
    </row>
    <row r="89" spans="2:12" ht="15" x14ac:dyDescent="0.2">
      <c r="B89" s="832"/>
      <c r="C89" s="832"/>
      <c r="D89" s="827" t="s">
        <v>2478</v>
      </c>
      <c r="E89" s="832"/>
      <c r="F89" s="874"/>
      <c r="G89" s="832"/>
      <c r="H89" s="832">
        <f>D79*E82*I82+(D78-D81)*D80*E83*I83+0.5*(D78-D81)*D66*E84*I84</f>
        <v>95.386223404255304</v>
      </c>
      <c r="I89" s="832" t="s">
        <v>2479</v>
      </c>
      <c r="J89" s="832"/>
      <c r="K89" s="832"/>
      <c r="L89" s="174"/>
    </row>
    <row r="90" spans="2:12" ht="15" x14ac:dyDescent="0.2">
      <c r="B90" s="832"/>
      <c r="C90" s="832"/>
      <c r="D90" s="832" t="s">
        <v>2311</v>
      </c>
      <c r="E90" s="832">
        <f>H89/2</f>
        <v>47.693111702127652</v>
      </c>
      <c r="F90" s="874" t="s">
        <v>2479</v>
      </c>
      <c r="G90" s="832"/>
      <c r="H90" s="832"/>
      <c r="I90" s="832"/>
      <c r="J90" s="832"/>
      <c r="K90" s="832"/>
      <c r="L90" s="174"/>
    </row>
    <row r="91" spans="2:12" x14ac:dyDescent="0.2">
      <c r="B91" s="827"/>
      <c r="C91" s="827"/>
      <c r="D91" s="875" t="s">
        <v>2312</v>
      </c>
      <c r="E91" s="827"/>
      <c r="F91" s="827"/>
      <c r="G91" s="827"/>
      <c r="H91" s="827"/>
      <c r="I91" s="827"/>
      <c r="J91" s="832"/>
      <c r="K91" s="832"/>
      <c r="L91" s="174"/>
    </row>
    <row r="92" spans="2:12" x14ac:dyDescent="0.2">
      <c r="B92" s="827"/>
      <c r="C92" s="827"/>
      <c r="D92" s="875"/>
      <c r="E92" s="827"/>
      <c r="F92" s="827"/>
      <c r="G92" s="827"/>
      <c r="H92" s="827"/>
      <c r="I92" s="827"/>
      <c r="J92" s="832"/>
      <c r="K92" s="832"/>
      <c r="L92" s="174"/>
    </row>
    <row r="93" spans="2:12" x14ac:dyDescent="0.2">
      <c r="B93" s="832"/>
      <c r="C93" s="832"/>
      <c r="D93" s="832"/>
      <c r="E93" s="832"/>
      <c r="F93" s="874"/>
      <c r="G93" s="832"/>
      <c r="H93" s="832"/>
      <c r="I93" s="832"/>
      <c r="J93" s="832"/>
      <c r="K93" s="832"/>
      <c r="L93" s="174"/>
    </row>
    <row r="94" spans="2:12" x14ac:dyDescent="0.2">
      <c r="B94" s="826" t="s">
        <v>2332</v>
      </c>
      <c r="C94" s="832"/>
      <c r="D94" s="832"/>
      <c r="E94" s="832"/>
      <c r="F94" s="874"/>
      <c r="G94" s="832"/>
      <c r="H94" s="832"/>
      <c r="I94" s="832"/>
      <c r="J94" s="832"/>
      <c r="K94" s="832"/>
      <c r="L94" s="174"/>
    </row>
    <row r="95" spans="2:12" ht="16.5" x14ac:dyDescent="0.3">
      <c r="B95" s="827"/>
      <c r="C95" s="827" t="s">
        <v>2480</v>
      </c>
      <c r="D95" s="827"/>
      <c r="E95" s="827"/>
      <c r="F95" s="827"/>
      <c r="G95" s="827"/>
      <c r="H95" s="827"/>
      <c r="I95" s="876" t="s">
        <v>2417</v>
      </c>
      <c r="J95" s="827"/>
      <c r="K95" s="832"/>
      <c r="L95" s="174"/>
    </row>
    <row r="96" spans="2:12" x14ac:dyDescent="0.2">
      <c r="B96" s="827"/>
      <c r="C96" s="827"/>
      <c r="D96" s="827"/>
      <c r="E96" s="827"/>
      <c r="F96" s="827"/>
      <c r="G96" s="827"/>
      <c r="H96" s="827"/>
      <c r="I96" s="827"/>
      <c r="J96" s="827"/>
      <c r="K96" s="832"/>
      <c r="L96" s="174"/>
    </row>
    <row r="97" spans="2:12" x14ac:dyDescent="0.2">
      <c r="B97" s="827"/>
      <c r="C97" s="827" t="s">
        <v>2313</v>
      </c>
      <c r="D97" s="827" t="s">
        <v>2334</v>
      </c>
      <c r="E97" s="827"/>
      <c r="F97" s="827"/>
      <c r="G97" s="827"/>
      <c r="H97" s="827"/>
      <c r="I97" s="827"/>
      <c r="J97" s="827"/>
      <c r="K97" s="832"/>
      <c r="L97" s="174"/>
    </row>
    <row r="98" spans="2:12" ht="15" x14ac:dyDescent="0.2">
      <c r="B98" s="827"/>
      <c r="C98" s="827"/>
      <c r="D98" s="827" t="s">
        <v>2481</v>
      </c>
      <c r="E98" s="827"/>
      <c r="F98" s="827"/>
      <c r="G98" s="827"/>
      <c r="H98" s="827"/>
      <c r="I98" s="827"/>
      <c r="J98" s="827"/>
      <c r="K98" s="832"/>
      <c r="L98" s="174"/>
    </row>
    <row r="99" spans="2:12" x14ac:dyDescent="0.2">
      <c r="B99" s="827"/>
      <c r="C99" s="827" t="s">
        <v>2314</v>
      </c>
      <c r="D99" s="827" t="s">
        <v>2315</v>
      </c>
      <c r="E99" s="827"/>
      <c r="F99" s="827"/>
      <c r="G99" s="827"/>
      <c r="H99" s="827"/>
      <c r="I99" s="827"/>
      <c r="J99" s="827"/>
      <c r="K99" s="832"/>
      <c r="L99" s="174"/>
    </row>
    <row r="100" spans="2:12" x14ac:dyDescent="0.2">
      <c r="B100" s="827"/>
      <c r="C100" s="827"/>
      <c r="D100" s="827" t="s">
        <v>2316</v>
      </c>
      <c r="E100" s="827"/>
      <c r="F100" s="827"/>
      <c r="G100" s="827"/>
      <c r="H100" s="827"/>
      <c r="I100" s="827"/>
      <c r="J100" s="827"/>
      <c r="K100" s="832"/>
      <c r="L100" s="174"/>
    </row>
    <row r="101" spans="2:12" x14ac:dyDescent="0.2">
      <c r="B101" s="827"/>
      <c r="C101" s="877" t="s">
        <v>249</v>
      </c>
      <c r="D101" s="827" t="s">
        <v>2317</v>
      </c>
      <c r="E101" s="827"/>
      <c r="F101" s="827"/>
      <c r="G101" s="827"/>
      <c r="H101" s="827"/>
      <c r="I101" s="827"/>
      <c r="J101" s="827"/>
      <c r="K101" s="832"/>
      <c r="L101" s="174"/>
    </row>
    <row r="102" spans="2:12" x14ac:dyDescent="0.2">
      <c r="B102" s="827"/>
      <c r="C102" s="877" t="s">
        <v>249</v>
      </c>
      <c r="D102" s="827" t="s">
        <v>2318</v>
      </c>
      <c r="E102" s="827"/>
      <c r="F102" s="827"/>
      <c r="G102" s="827"/>
      <c r="H102" s="827"/>
      <c r="I102" s="827"/>
      <c r="J102" s="827"/>
      <c r="K102" s="832"/>
      <c r="L102" s="174"/>
    </row>
    <row r="103" spans="2:12" x14ac:dyDescent="0.2">
      <c r="B103" s="827"/>
      <c r="C103" s="877" t="s">
        <v>249</v>
      </c>
      <c r="D103" s="827" t="s">
        <v>2319</v>
      </c>
      <c r="E103" s="827"/>
      <c r="F103" s="827"/>
      <c r="G103" s="827"/>
      <c r="H103" s="827"/>
      <c r="I103" s="827"/>
      <c r="J103" s="827"/>
      <c r="K103" s="832"/>
      <c r="L103" s="174"/>
    </row>
    <row r="104" spans="2:12" x14ac:dyDescent="0.2">
      <c r="B104" s="827"/>
      <c r="C104" s="877" t="s">
        <v>249</v>
      </c>
      <c r="D104" s="827" t="s">
        <v>2320</v>
      </c>
      <c r="E104" s="827"/>
      <c r="F104" s="827"/>
      <c r="G104" s="827"/>
      <c r="H104" s="827"/>
      <c r="I104" s="827"/>
      <c r="J104" s="827"/>
      <c r="K104" s="832"/>
      <c r="L104" s="174"/>
    </row>
    <row r="105" spans="2:12" x14ac:dyDescent="0.2">
      <c r="B105" s="827"/>
      <c r="C105" s="871" t="s">
        <v>698</v>
      </c>
      <c r="D105" s="827" t="s">
        <v>2321</v>
      </c>
      <c r="E105" s="827"/>
      <c r="F105" s="827"/>
      <c r="G105" s="827"/>
      <c r="H105" s="827"/>
      <c r="I105" s="827"/>
      <c r="J105" s="827"/>
      <c r="K105" s="832"/>
      <c r="L105" s="174"/>
    </row>
    <row r="106" spans="2:12" x14ac:dyDescent="0.2">
      <c r="B106" s="827"/>
      <c r="C106" s="827"/>
      <c r="D106" s="827" t="s">
        <v>2322</v>
      </c>
      <c r="E106" s="827"/>
      <c r="F106" s="827"/>
      <c r="G106" s="827"/>
      <c r="H106" s="827"/>
      <c r="I106" s="827"/>
      <c r="J106" s="827"/>
      <c r="K106" s="832"/>
      <c r="L106" s="174"/>
    </row>
    <row r="107" spans="2:12" x14ac:dyDescent="0.2">
      <c r="B107" s="827"/>
      <c r="C107" s="871" t="s">
        <v>2323</v>
      </c>
      <c r="D107" s="827" t="s">
        <v>2324</v>
      </c>
      <c r="E107" s="827"/>
      <c r="F107" s="827"/>
      <c r="G107" s="827"/>
      <c r="H107" s="827"/>
      <c r="I107" s="827"/>
      <c r="J107" s="827"/>
      <c r="K107" s="832"/>
      <c r="L107" s="174"/>
    </row>
    <row r="108" spans="2:12" x14ac:dyDescent="0.2">
      <c r="B108" s="827"/>
      <c r="C108" s="871" t="s">
        <v>2482</v>
      </c>
      <c r="D108" s="827" t="s">
        <v>2325</v>
      </c>
      <c r="E108" s="827"/>
      <c r="F108" s="827"/>
      <c r="G108" s="827"/>
      <c r="H108" s="827"/>
      <c r="I108" s="827"/>
      <c r="J108" s="827"/>
      <c r="K108" s="832"/>
      <c r="L108" s="174"/>
    </row>
    <row r="109" spans="2:12" x14ac:dyDescent="0.2">
      <c r="B109" s="827"/>
      <c r="C109" s="877" t="s">
        <v>249</v>
      </c>
      <c r="D109" s="827" t="s">
        <v>2326</v>
      </c>
      <c r="E109" s="827"/>
      <c r="F109" s="827"/>
      <c r="G109" s="827"/>
      <c r="H109" s="827"/>
      <c r="I109" s="827"/>
      <c r="J109" s="827"/>
      <c r="K109" s="832"/>
      <c r="L109" s="174"/>
    </row>
    <row r="110" spans="2:12" x14ac:dyDescent="0.2">
      <c r="B110" s="827"/>
      <c r="C110" s="877" t="s">
        <v>249</v>
      </c>
      <c r="D110" s="827" t="s">
        <v>2327</v>
      </c>
      <c r="E110" s="827"/>
      <c r="F110" s="827"/>
      <c r="G110" s="827"/>
      <c r="H110" s="827"/>
      <c r="I110" s="827"/>
      <c r="J110" s="827"/>
      <c r="K110" s="832"/>
      <c r="L110" s="174"/>
    </row>
    <row r="111" spans="2:12" x14ac:dyDescent="0.2">
      <c r="B111" s="827"/>
      <c r="C111" s="871"/>
      <c r="D111" s="827" t="s">
        <v>2328</v>
      </c>
      <c r="E111" s="827"/>
      <c r="F111" s="827"/>
      <c r="G111" s="827"/>
      <c r="H111" s="827"/>
      <c r="I111" s="827"/>
      <c r="J111" s="827"/>
      <c r="K111" s="832"/>
      <c r="L111" s="174"/>
    </row>
    <row r="112" spans="2:12" x14ac:dyDescent="0.2">
      <c r="B112" s="827"/>
      <c r="C112" s="871" t="s">
        <v>2329</v>
      </c>
      <c r="D112" s="827" t="s">
        <v>2330</v>
      </c>
      <c r="E112" s="827"/>
      <c r="F112" s="827"/>
      <c r="G112" s="827"/>
      <c r="H112" s="827"/>
      <c r="I112" s="827"/>
      <c r="J112" s="827"/>
      <c r="K112" s="832"/>
      <c r="L112" s="174"/>
    </row>
    <row r="113" spans="2:12" x14ac:dyDescent="0.2">
      <c r="B113" s="827"/>
      <c r="C113" s="871"/>
      <c r="D113" s="827"/>
      <c r="E113" s="827" t="s">
        <v>2483</v>
      </c>
      <c r="F113" s="827"/>
      <c r="G113" s="827"/>
      <c r="H113" s="827"/>
      <c r="I113" s="827"/>
      <c r="J113" s="827"/>
      <c r="K113" s="832"/>
      <c r="L113" s="174"/>
    </row>
    <row r="114" spans="2:12" x14ac:dyDescent="0.2">
      <c r="B114" s="827"/>
      <c r="C114" s="871" t="s">
        <v>2308</v>
      </c>
      <c r="D114" s="827" t="s">
        <v>2331</v>
      </c>
      <c r="E114" s="827"/>
      <c r="F114" s="827"/>
      <c r="G114" s="827"/>
      <c r="H114" s="827"/>
      <c r="I114" s="827"/>
      <c r="J114" s="827"/>
      <c r="K114" s="832"/>
      <c r="L114" s="174"/>
    </row>
    <row r="115" spans="2:12" x14ac:dyDescent="0.2">
      <c r="B115" s="827"/>
      <c r="C115" s="871" t="s">
        <v>2329</v>
      </c>
      <c r="D115" s="878">
        <f>(1+D80/D66)</f>
        <v>2.666666666666667</v>
      </c>
      <c r="E115" s="827"/>
      <c r="F115" s="827"/>
      <c r="G115" s="827"/>
      <c r="H115" s="827"/>
      <c r="I115" s="827"/>
      <c r="J115" s="827"/>
      <c r="K115" s="832"/>
      <c r="L115" s="174"/>
    </row>
    <row r="116" spans="2:12" x14ac:dyDescent="0.2">
      <c r="B116" s="827"/>
      <c r="C116" s="871"/>
      <c r="D116" s="878"/>
      <c r="E116" s="827"/>
      <c r="F116" s="827"/>
      <c r="G116" s="827"/>
      <c r="H116" s="827"/>
      <c r="I116" s="827"/>
      <c r="J116" s="827"/>
      <c r="K116" s="832"/>
      <c r="L116" s="174"/>
    </row>
    <row r="117" spans="2:12" x14ac:dyDescent="0.2">
      <c r="B117" s="827"/>
      <c r="C117" s="871" t="s">
        <v>2416</v>
      </c>
      <c r="D117" s="827"/>
      <c r="E117" s="827"/>
      <c r="F117" s="827"/>
      <c r="G117" s="827"/>
      <c r="H117" s="827"/>
      <c r="I117" s="827"/>
      <c r="J117" s="827"/>
      <c r="K117" s="832"/>
      <c r="L117" s="174"/>
    </row>
    <row r="118" spans="2:12" ht="16.5" x14ac:dyDescent="0.3">
      <c r="B118" s="830" t="s">
        <v>2333</v>
      </c>
      <c r="C118" s="871" t="s">
        <v>2484</v>
      </c>
      <c r="D118" s="879">
        <f>3.35*0.75*(F72-3)*((D66+0.3)/2*D66)^2*1*D115</f>
        <v>-259.93068749999998</v>
      </c>
      <c r="E118" s="827" t="s">
        <v>2485</v>
      </c>
      <c r="F118" s="827"/>
      <c r="G118" s="827"/>
      <c r="H118" s="827"/>
      <c r="I118" s="827"/>
      <c r="J118" s="829" t="s">
        <v>2436</v>
      </c>
      <c r="K118" s="832"/>
      <c r="L118" s="174"/>
    </row>
    <row r="119" spans="2:12" x14ac:dyDescent="0.2">
      <c r="B119" s="827"/>
      <c r="C119" s="871"/>
      <c r="D119" s="880"/>
      <c r="E119" s="827"/>
      <c r="F119" s="827"/>
      <c r="G119" s="827"/>
      <c r="H119" s="827"/>
      <c r="I119" s="827"/>
      <c r="J119" s="830"/>
      <c r="K119" s="832"/>
      <c r="L119" s="174"/>
    </row>
    <row r="120" spans="2:12" x14ac:dyDescent="0.2">
      <c r="B120" s="827"/>
      <c r="C120" s="871"/>
      <c r="D120" s="880"/>
      <c r="E120" s="827"/>
      <c r="F120" s="827"/>
      <c r="G120" s="827"/>
      <c r="H120" s="827"/>
      <c r="I120" s="827"/>
      <c r="J120" s="827"/>
      <c r="K120" s="832"/>
      <c r="L120" s="174"/>
    </row>
    <row r="121" spans="2:12" x14ac:dyDescent="0.2">
      <c r="B121" s="827"/>
      <c r="C121" s="871" t="s">
        <v>2418</v>
      </c>
      <c r="D121" s="880"/>
      <c r="E121" s="827"/>
      <c r="F121" s="827"/>
      <c r="G121" s="827"/>
      <c r="H121" s="827"/>
      <c r="I121" s="827"/>
      <c r="J121" s="827"/>
      <c r="K121" s="832"/>
      <c r="L121" s="174"/>
    </row>
    <row r="122" spans="2:12" x14ac:dyDescent="0.2">
      <c r="B122" s="827"/>
      <c r="C122" s="881" t="s">
        <v>2462</v>
      </c>
      <c r="D122" s="827"/>
      <c r="E122" s="827"/>
      <c r="F122" s="827"/>
      <c r="G122" s="827"/>
      <c r="H122" s="827"/>
      <c r="I122" s="827"/>
      <c r="J122" s="827"/>
      <c r="K122" s="832"/>
      <c r="L122" s="174"/>
    </row>
    <row r="123" spans="2:12" x14ac:dyDescent="0.2">
      <c r="B123" s="827"/>
      <c r="C123" s="881"/>
      <c r="D123" s="827"/>
      <c r="E123" s="827"/>
      <c r="F123" s="827"/>
      <c r="G123" s="827"/>
      <c r="H123" s="827"/>
      <c r="I123" s="827"/>
      <c r="J123" s="827"/>
      <c r="K123" s="832"/>
      <c r="L123" s="174"/>
    </row>
    <row r="124" spans="2:12" x14ac:dyDescent="0.2">
      <c r="B124" s="827" t="s">
        <v>2335</v>
      </c>
      <c r="C124" s="828"/>
      <c r="D124" s="826"/>
      <c r="E124" s="826"/>
      <c r="F124" s="826"/>
      <c r="G124" s="826"/>
      <c r="H124" s="826"/>
      <c r="I124" s="826"/>
      <c r="J124" s="826"/>
      <c r="K124" s="831"/>
      <c r="L124" s="174"/>
    </row>
    <row r="125" spans="2:12" x14ac:dyDescent="0.2">
      <c r="B125" s="827" t="s">
        <v>2464</v>
      </c>
      <c r="C125" s="828"/>
      <c r="D125" s="826"/>
      <c r="E125" s="826"/>
      <c r="F125" s="826"/>
      <c r="G125" s="826"/>
      <c r="H125" s="826"/>
      <c r="I125" s="826"/>
      <c r="J125" s="826"/>
      <c r="K125" s="831"/>
      <c r="L125" s="174"/>
    </row>
    <row r="126" spans="2:12" x14ac:dyDescent="0.2">
      <c r="B126" s="832" t="s">
        <v>2486</v>
      </c>
      <c r="C126" s="831"/>
      <c r="D126" s="831"/>
      <c r="E126" s="831"/>
      <c r="F126" s="831"/>
      <c r="G126" s="831"/>
      <c r="H126" s="831"/>
      <c r="I126" s="831"/>
      <c r="J126" s="831"/>
      <c r="K126" s="831"/>
      <c r="L126" s="174"/>
    </row>
    <row r="127" spans="2:12" x14ac:dyDescent="0.2">
      <c r="B127" s="832" t="s">
        <v>2419</v>
      </c>
      <c r="C127" s="831"/>
      <c r="D127" s="831"/>
      <c r="E127" s="831"/>
      <c r="F127" s="831"/>
      <c r="G127" s="831"/>
      <c r="H127" s="831"/>
      <c r="I127" s="831"/>
      <c r="J127" s="831"/>
      <c r="K127" s="831"/>
      <c r="L127" s="174"/>
    </row>
    <row r="128" spans="2:12" x14ac:dyDescent="0.2">
      <c r="B128" s="832" t="s">
        <v>2336</v>
      </c>
      <c r="C128" s="831"/>
      <c r="D128" s="831"/>
      <c r="E128" s="831"/>
      <c r="F128" s="831"/>
      <c r="G128" s="831"/>
      <c r="H128" s="831"/>
      <c r="I128" s="831"/>
      <c r="J128" s="831"/>
      <c r="K128" s="831"/>
      <c r="L128" s="174"/>
    </row>
    <row r="129" spans="2:12" x14ac:dyDescent="0.2">
      <c r="B129" s="832"/>
      <c r="C129" s="832"/>
      <c r="D129" s="832"/>
      <c r="E129" s="832"/>
      <c r="F129" s="832"/>
      <c r="G129" s="832"/>
      <c r="H129" s="832"/>
      <c r="I129" s="832"/>
      <c r="J129" s="832"/>
      <c r="K129" s="832"/>
      <c r="L129" s="174"/>
    </row>
    <row r="130" spans="2:12" x14ac:dyDescent="0.2">
      <c r="B130" s="832"/>
      <c r="C130" s="832"/>
      <c r="D130" s="832"/>
      <c r="E130" s="832"/>
      <c r="F130" s="832"/>
      <c r="G130" s="832"/>
      <c r="H130" s="832"/>
      <c r="I130" s="832"/>
      <c r="J130" s="832"/>
      <c r="K130" s="832"/>
      <c r="L130" s="174"/>
    </row>
    <row r="131" spans="2:12" x14ac:dyDescent="0.2">
      <c r="B131" s="832"/>
      <c r="C131" s="832"/>
      <c r="D131" s="832"/>
      <c r="E131" s="832"/>
      <c r="F131" s="832"/>
      <c r="G131" s="832"/>
      <c r="H131" s="832"/>
      <c r="I131" s="832"/>
      <c r="J131" s="832"/>
      <c r="K131" s="832"/>
      <c r="L131" s="174"/>
    </row>
    <row r="132" spans="2:12" x14ac:dyDescent="0.2">
      <c r="B132" s="832"/>
      <c r="C132" s="832"/>
      <c r="D132" s="832"/>
      <c r="E132" s="832"/>
      <c r="F132" s="832"/>
      <c r="G132" s="832"/>
      <c r="H132" s="832"/>
      <c r="I132" s="832"/>
      <c r="J132" s="832"/>
      <c r="K132" s="832"/>
      <c r="L132" s="174"/>
    </row>
    <row r="133" spans="2:12" x14ac:dyDescent="0.2">
      <c r="B133" s="339"/>
      <c r="C133" s="339"/>
      <c r="D133" s="174"/>
      <c r="E133" s="174"/>
      <c r="F133" s="174"/>
      <c r="G133" s="174"/>
      <c r="H133" s="174"/>
      <c r="I133" s="174"/>
      <c r="J133" s="174"/>
      <c r="K133" s="174"/>
      <c r="L133" s="174"/>
    </row>
    <row r="134" spans="2:12" x14ac:dyDescent="0.2">
      <c r="B134" s="339"/>
      <c r="C134" s="339"/>
      <c r="D134" s="174"/>
      <c r="E134" s="174"/>
      <c r="F134" s="174"/>
      <c r="G134" s="174"/>
      <c r="H134" s="174"/>
      <c r="I134" s="174"/>
      <c r="J134" s="174"/>
      <c r="K134" s="174"/>
      <c r="L134" s="174"/>
    </row>
    <row r="135" spans="2:12" x14ac:dyDescent="0.2">
      <c r="B135" s="339"/>
      <c r="C135" s="339"/>
      <c r="D135" s="174"/>
      <c r="E135" s="174"/>
      <c r="F135" s="174"/>
      <c r="G135" s="174"/>
      <c r="H135" s="174"/>
      <c r="I135" s="174"/>
      <c r="J135" s="174"/>
      <c r="K135" s="174"/>
      <c r="L135" s="174"/>
    </row>
    <row r="136" spans="2:12" ht="15.75" thickBot="1" x14ac:dyDescent="0.25">
      <c r="B136" s="339"/>
      <c r="C136" s="339"/>
      <c r="D136" s="688" t="s">
        <v>2437</v>
      </c>
      <c r="E136" s="174"/>
      <c r="F136" s="174"/>
      <c r="G136" s="174"/>
      <c r="H136" s="174"/>
      <c r="I136" s="174"/>
      <c r="J136" s="174"/>
      <c r="K136" s="174"/>
      <c r="L136" s="174"/>
    </row>
    <row r="137" spans="2:12" x14ac:dyDescent="0.2">
      <c r="B137" s="339"/>
      <c r="C137" s="339"/>
      <c r="D137" s="174"/>
      <c r="E137" s="174"/>
      <c r="F137" s="174"/>
      <c r="G137" s="174"/>
      <c r="H137" s="174"/>
      <c r="I137" s="174"/>
      <c r="J137" s="174"/>
      <c r="K137" s="174"/>
      <c r="L137" s="174"/>
    </row>
    <row r="138" spans="2:12" x14ac:dyDescent="0.2">
      <c r="B138" s="339"/>
      <c r="C138" s="339"/>
      <c r="D138" s="174"/>
      <c r="E138" s="174"/>
      <c r="F138" s="174"/>
      <c r="G138" s="174"/>
      <c r="H138" s="174"/>
      <c r="I138" s="174"/>
      <c r="J138" s="174"/>
      <c r="K138" s="174"/>
      <c r="L138" s="174"/>
    </row>
    <row r="139" spans="2:12" x14ac:dyDescent="0.2">
      <c r="B139" s="339"/>
      <c r="C139" s="339"/>
      <c r="D139" s="174"/>
      <c r="E139" s="174"/>
      <c r="F139" s="174"/>
      <c r="G139" s="174"/>
      <c r="H139" s="174"/>
      <c r="I139" s="174"/>
      <c r="J139" s="174"/>
      <c r="K139" s="174"/>
      <c r="L139" s="174"/>
    </row>
    <row r="140" spans="2:12" x14ac:dyDescent="0.2">
      <c r="B140" s="339"/>
      <c r="C140" s="339"/>
      <c r="D140" s="174"/>
      <c r="E140" s="174"/>
      <c r="F140" s="174"/>
      <c r="G140" s="174"/>
      <c r="H140" s="1504" t="s">
        <v>2438</v>
      </c>
      <c r="I140" s="1505"/>
      <c r="J140" s="1506"/>
      <c r="K140" s="174"/>
      <c r="L140" s="174"/>
    </row>
    <row r="141" spans="2:12" x14ac:dyDescent="0.2">
      <c r="B141" s="339"/>
      <c r="C141" s="339"/>
      <c r="D141" s="174"/>
      <c r="E141" s="174"/>
      <c r="F141" s="174"/>
      <c r="G141" s="174"/>
      <c r="H141" s="1507" t="s">
        <v>2439</v>
      </c>
      <c r="I141" s="1508"/>
      <c r="J141" s="1509"/>
      <c r="K141" s="174"/>
      <c r="L141" s="174"/>
    </row>
    <row r="142" spans="2:12" x14ac:dyDescent="0.2">
      <c r="B142" s="174"/>
      <c r="C142" s="174"/>
      <c r="D142" s="174"/>
      <c r="E142" s="174"/>
      <c r="F142" s="174"/>
      <c r="G142" s="174"/>
      <c r="H142" s="1510" t="s">
        <v>2440</v>
      </c>
      <c r="I142" s="1511"/>
      <c r="J142" s="1512"/>
      <c r="K142" s="174"/>
      <c r="L142" s="174"/>
    </row>
    <row r="143" spans="2:12" x14ac:dyDescent="0.2">
      <c r="B143" s="174"/>
      <c r="C143" s="174"/>
      <c r="D143" s="174"/>
      <c r="E143" s="174"/>
      <c r="F143" s="174"/>
      <c r="G143" s="174"/>
      <c r="H143" s="174"/>
      <c r="I143" s="174"/>
      <c r="J143" s="174"/>
      <c r="K143" s="174"/>
      <c r="L143" s="174"/>
    </row>
    <row r="144" spans="2:12" x14ac:dyDescent="0.2">
      <c r="B144" s="174"/>
      <c r="C144" s="174"/>
      <c r="D144" s="174"/>
      <c r="E144" s="174"/>
      <c r="F144" s="174"/>
      <c r="G144" s="174"/>
      <c r="H144" s="174"/>
      <c r="I144" s="174"/>
      <c r="J144" s="174"/>
      <c r="K144" s="174"/>
      <c r="L144" s="174"/>
    </row>
    <row r="145" spans="2:12" x14ac:dyDescent="0.2">
      <c r="B145" s="174"/>
      <c r="C145" s="174"/>
      <c r="D145" s="174"/>
      <c r="E145" s="174"/>
      <c r="F145" s="174"/>
      <c r="G145" s="174"/>
      <c r="H145" s="174"/>
      <c r="I145" s="174"/>
      <c r="J145" s="174"/>
      <c r="K145" s="174"/>
      <c r="L145" s="174"/>
    </row>
    <row r="146" spans="2:12" x14ac:dyDescent="0.2">
      <c r="B146" s="174"/>
      <c r="C146" s="174"/>
      <c r="D146" s="174"/>
      <c r="E146" s="174"/>
      <c r="F146" s="174"/>
      <c r="G146" s="174"/>
      <c r="H146" s="174"/>
      <c r="I146" s="174"/>
      <c r="J146" s="174"/>
      <c r="K146" s="174"/>
      <c r="L146" s="174"/>
    </row>
    <row r="147" spans="2:12" x14ac:dyDescent="0.2">
      <c r="B147" s="174"/>
      <c r="C147" s="174"/>
      <c r="D147" s="174"/>
      <c r="E147" s="174"/>
      <c r="F147" s="174"/>
      <c r="G147" s="174"/>
      <c r="H147" s="174"/>
      <c r="I147" s="174"/>
      <c r="J147" s="174"/>
      <c r="K147" s="174"/>
      <c r="L147" s="174"/>
    </row>
    <row r="148" spans="2:12" x14ac:dyDescent="0.2">
      <c r="B148" s="174"/>
      <c r="C148" s="174"/>
      <c r="D148" s="174"/>
      <c r="E148" s="174"/>
      <c r="F148" s="174"/>
      <c r="G148" s="174"/>
      <c r="H148" s="174"/>
      <c r="I148" s="174"/>
      <c r="J148" s="174"/>
      <c r="K148" s="174"/>
      <c r="L148" s="174"/>
    </row>
    <row r="149" spans="2:12" x14ac:dyDescent="0.2">
      <c r="B149" s="174"/>
      <c r="C149" s="174"/>
      <c r="D149" s="174"/>
      <c r="E149" s="174"/>
      <c r="F149" s="174"/>
      <c r="G149" s="174"/>
      <c r="H149" s="174"/>
      <c r="I149" s="174"/>
      <c r="J149" s="174"/>
      <c r="K149" s="174"/>
      <c r="L149" s="174"/>
    </row>
    <row r="150" spans="2:12" x14ac:dyDescent="0.2">
      <c r="D150" s="576" t="s">
        <v>2467</v>
      </c>
    </row>
    <row r="19936" spans="15:15" x14ac:dyDescent="0.2">
      <c r="O19936" s="390" t="s">
        <v>2491</v>
      </c>
    </row>
  </sheetData>
  <mergeCells count="27">
    <mergeCell ref="C53:D53"/>
    <mergeCell ref="E53:F53"/>
    <mergeCell ref="C26:D26"/>
    <mergeCell ref="F26:G26"/>
    <mergeCell ref="C55:D55"/>
    <mergeCell ref="E55:F55"/>
    <mergeCell ref="E54:F54"/>
    <mergeCell ref="G53:H53"/>
    <mergeCell ref="C54:D54"/>
    <mergeCell ref="G54:H54"/>
    <mergeCell ref="G51:H52"/>
    <mergeCell ref="C50:D52"/>
    <mergeCell ref="E50:F52"/>
    <mergeCell ref="E56:F56"/>
    <mergeCell ref="E57:F57"/>
    <mergeCell ref="G57:H57"/>
    <mergeCell ref="G55:H55"/>
    <mergeCell ref="G56:H56"/>
    <mergeCell ref="G3:H3"/>
    <mergeCell ref="H140:J140"/>
    <mergeCell ref="H141:J141"/>
    <mergeCell ref="H142:J142"/>
    <mergeCell ref="G82:H82"/>
    <mergeCell ref="G83:H83"/>
    <mergeCell ref="G84:H84"/>
    <mergeCell ref="I26:J26"/>
    <mergeCell ref="I51:I52"/>
  </mergeCells>
  <pageMargins left="0.7" right="0.45" top="0.75" bottom="0.75" header="0.3" footer="0.3"/>
  <pageSetup paperSize="9" scale="9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Report</vt:lpstr>
      <vt:lpstr>Design Data</vt:lpstr>
      <vt:lpstr>WL</vt:lpstr>
      <vt:lpstr>Basin (RS)</vt:lpstr>
      <vt:lpstr>Basin (CS)</vt:lpstr>
      <vt:lpstr>Struct2(Barrel)</vt:lpstr>
      <vt:lpstr>Struct3(Barrel Comp)</vt:lpstr>
      <vt:lpstr>Struct4 wing(RS)</vt:lpstr>
      <vt:lpstr>Struct4 wing(CS)</vt:lpstr>
      <vt:lpstr>Struct5-Retwall (RS)</vt:lpstr>
      <vt:lpstr>Struct5-Retwall(CS)</vt:lpstr>
      <vt:lpstr>Exit Gradient</vt:lpstr>
      <vt:lpstr>Fdn Pressure</vt:lpstr>
    </vt:vector>
  </TitlesOfParts>
  <Company>Rams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A.N.M.  WAHEDUL  HUQ</dc:creator>
  <cp:lastModifiedBy>Mahbub</cp:lastModifiedBy>
  <cp:lastPrinted>2022-03-22T05:12:36Z</cp:lastPrinted>
  <dcterms:created xsi:type="dcterms:W3CDTF">2002-03-18T08:40:19Z</dcterms:created>
  <dcterms:modified xsi:type="dcterms:W3CDTF">2022-04-11T05:47:38Z</dcterms:modified>
</cp:coreProperties>
</file>