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CEIP-I\Drainage Structure\Tidal Sluice Design\"/>
    </mc:Choice>
  </mc:AlternateContent>
  <bookViews>
    <workbookView xWindow="0" yWindow="0" windowWidth="23016" windowHeight="6564"/>
  </bookViews>
  <sheets>
    <sheet name="Sluice Capacity" sheetId="1" r:id="rId1"/>
    <sheet name="T.Sluice" sheetId="3" r:id="rId2"/>
  </sheets>
  <definedNames>
    <definedName name="_xlnm.Print_Area" localSheetId="0">'Sluice Capacity'!$A$1:$J$229</definedName>
  </definedNames>
  <calcPr calcId="162913"/>
</workbook>
</file>

<file path=xl/calcChain.xml><?xml version="1.0" encoding="utf-8"?>
<calcChain xmlns="http://schemas.openxmlformats.org/spreadsheetml/2006/main">
  <c r="M75" i="1" l="1"/>
  <c r="F61" i="1"/>
  <c r="F41" i="1"/>
  <c r="F60" i="1"/>
  <c r="F49" i="1" l="1"/>
  <c r="G147" i="1"/>
  <c r="G148" i="1"/>
  <c r="B57" i="1"/>
  <c r="F52" i="1" s="1"/>
  <c r="F45" i="1"/>
  <c r="F44" i="1"/>
  <c r="F43" i="1"/>
  <c r="F42" i="1"/>
  <c r="F40" i="1"/>
  <c r="F38" i="1"/>
  <c r="F36" i="1"/>
  <c r="H11" i="1"/>
  <c r="H10" i="1"/>
  <c r="H9" i="1"/>
  <c r="I145" i="1"/>
  <c r="G149" i="1" s="1"/>
  <c r="C159" i="1" s="1"/>
  <c r="I94" i="1"/>
  <c r="I95" i="1" s="1"/>
  <c r="G95" i="1"/>
  <c r="G107" i="1"/>
  <c r="G108" i="1" s="1"/>
  <c r="G97" i="1"/>
  <c r="I97" i="1" s="1"/>
  <c r="I98" i="1" s="1"/>
  <c r="F68" i="1"/>
  <c r="C70" i="1"/>
  <c r="F101" i="1" s="1"/>
  <c r="H3" i="3"/>
  <c r="H5" i="3"/>
  <c r="H22" i="3" s="1"/>
  <c r="H24" i="3" s="1"/>
  <c r="H7" i="3"/>
  <c r="H9" i="3"/>
  <c r="H11" i="3"/>
  <c r="H13" i="3"/>
  <c r="H17" i="3"/>
  <c r="H20" i="3"/>
  <c r="H28" i="3" s="1"/>
  <c r="H26" i="3"/>
  <c r="E32" i="3"/>
  <c r="H34" i="3"/>
  <c r="H36" i="3" s="1"/>
  <c r="F39" i="3" s="1"/>
  <c r="D63" i="3"/>
  <c r="G64" i="3" s="1"/>
  <c r="F70" i="3"/>
  <c r="C71" i="3"/>
  <c r="F71" i="3"/>
  <c r="G88" i="3"/>
  <c r="G90" i="3" s="1"/>
  <c r="F48" i="1"/>
  <c r="F51" i="1"/>
  <c r="I39" i="3" l="1"/>
  <c r="D65" i="3"/>
  <c r="G65" i="3" s="1"/>
  <c r="G74" i="3" s="1"/>
  <c r="G76" i="3" s="1"/>
  <c r="G78" i="3" s="1"/>
  <c r="G80" i="3" s="1"/>
  <c r="G92" i="3" s="1"/>
  <c r="D171" i="1"/>
  <c r="F53" i="1"/>
  <c r="H53" i="1" s="1"/>
  <c r="D170" i="1"/>
  <c r="I107" i="1"/>
  <c r="I108" i="1" s="1"/>
  <c r="I109" i="1" s="1"/>
  <c r="B159" i="1"/>
  <c r="G153" i="1"/>
  <c r="G150" i="1"/>
  <c r="G98" i="1"/>
  <c r="I120" i="1"/>
  <c r="H91" i="1"/>
  <c r="F93" i="1" s="1"/>
  <c r="I103" i="1"/>
  <c r="F110" i="1" s="1"/>
  <c r="I110" i="1" s="1"/>
  <c r="C65" i="1"/>
  <c r="E109" i="1"/>
  <c r="B100" i="1"/>
  <c r="I100" i="1"/>
  <c r="D172" i="1" l="1"/>
  <c r="G151" i="1" s="1"/>
  <c r="B160" i="1"/>
  <c r="D159" i="1"/>
  <c r="I114" i="1"/>
  <c r="I115" i="1" s="1"/>
  <c r="I116" i="1" s="1"/>
  <c r="I117" i="1" s="1"/>
  <c r="I118" i="1" s="1"/>
  <c r="I121" i="1" s="1"/>
  <c r="I122" i="1" s="1"/>
  <c r="G103" i="1"/>
  <c r="H101" i="1"/>
  <c r="B161" i="1" l="1"/>
  <c r="D160" i="1"/>
  <c r="E159" i="1"/>
  <c r="F159" i="1"/>
  <c r="G159" i="1" l="1"/>
  <c r="B162" i="1"/>
  <c r="D161" i="1"/>
  <c r="E160" i="1"/>
  <c r="F160" i="1"/>
  <c r="G160" i="1" l="1"/>
  <c r="B163" i="1"/>
  <c r="D162" i="1"/>
  <c r="E161" i="1"/>
  <c r="F161" i="1"/>
  <c r="B164" i="1" l="1"/>
  <c r="D163" i="1"/>
  <c r="E162" i="1"/>
  <c r="F162" i="1"/>
  <c r="G161" i="1"/>
  <c r="G162" i="1" l="1"/>
  <c r="B165" i="1"/>
  <c r="D164" i="1"/>
  <c r="E163" i="1"/>
  <c r="F163" i="1"/>
  <c r="G163" i="1" s="1"/>
  <c r="B166" i="1" l="1"/>
  <c r="D166" i="1" s="1"/>
  <c r="D165" i="1"/>
  <c r="F164" i="1"/>
  <c r="G164" i="1" s="1"/>
  <c r="E164" i="1"/>
  <c r="E166" i="1" l="1"/>
  <c r="F166" i="1"/>
  <c r="G166" i="1" s="1"/>
  <c r="F165" i="1"/>
  <c r="G165" i="1" s="1"/>
  <c r="E165" i="1"/>
  <c r="G167" i="1" l="1"/>
  <c r="H167" i="1" s="1"/>
</calcChain>
</file>

<file path=xl/sharedStrings.xml><?xml version="1.0" encoding="utf-8"?>
<sst xmlns="http://schemas.openxmlformats.org/spreadsheetml/2006/main" count="377" uniqueCount="254">
  <si>
    <t xml:space="preserve">DESIGN  ANALYSIS </t>
  </si>
  <si>
    <t>Design basin area</t>
  </si>
  <si>
    <t>SQ. miles</t>
  </si>
  <si>
    <r>
      <t xml:space="preserve">Max </t>
    </r>
    <r>
      <rPr>
        <vertAlign val="superscript"/>
        <sz val="12"/>
        <rFont val="Times New Roman"/>
        <family val="1"/>
      </rPr>
      <t>m</t>
    </r>
  </si>
  <si>
    <t>FT. PWD</t>
  </si>
  <si>
    <r>
      <t xml:space="preserve">Min </t>
    </r>
    <r>
      <rPr>
        <vertAlign val="superscript"/>
        <sz val="12"/>
        <rFont val="Times New Roman"/>
        <family val="1"/>
      </rPr>
      <t>m</t>
    </r>
  </si>
  <si>
    <t>Water level R/S in monsoon (Avg)</t>
  </si>
  <si>
    <t>Water level  in monsoon (Avg)</t>
  </si>
  <si>
    <t>Bed width of natural channel at proposed site</t>
  </si>
  <si>
    <t>FT.</t>
  </si>
  <si>
    <t>Avg. ground level of the basin</t>
  </si>
  <si>
    <t>Daily rainfall excess in 10 years frequency</t>
  </si>
  <si>
    <t>inches</t>
  </si>
  <si>
    <t xml:space="preserve">Crest Level of Embankment </t>
  </si>
  <si>
    <t>SLUICE  SIZE</t>
  </si>
  <si>
    <t>Bed level of proposed channel site</t>
  </si>
  <si>
    <t>FT</t>
  </si>
  <si>
    <t>Tidal range  ( in 6 Hours )</t>
  </si>
  <si>
    <t>Rise/ fall of water level per Hour</t>
  </si>
  <si>
    <t>Ratio of Water depth to barrel height.</t>
  </si>
  <si>
    <t>Hw/D</t>
  </si>
  <si>
    <t>Discharge per unit barrel width</t>
  </si>
  <si>
    <t>Q/B</t>
  </si>
  <si>
    <t>CFS from chart.</t>
  </si>
  <si>
    <t>Total Discharge</t>
  </si>
  <si>
    <t>CFS</t>
  </si>
  <si>
    <t>Critical  depth</t>
  </si>
  <si>
    <r>
      <t>0.315 ( Q/B)</t>
    </r>
    <r>
      <rPr>
        <vertAlign val="superscript"/>
        <sz val="12"/>
        <rFont val="Times New Roman"/>
        <family val="1"/>
      </rPr>
      <t xml:space="preserve">2/3 </t>
    </r>
  </si>
  <si>
    <t xml:space="preserve"> ft.</t>
  </si>
  <si>
    <t xml:space="preserve">Discharge inlet control when </t>
  </si>
  <si>
    <t>Yc+D</t>
  </si>
  <si>
    <t>equals to</t>
  </si>
  <si>
    <t>Assumed  vent size</t>
  </si>
  <si>
    <t>5'x6'</t>
  </si>
  <si>
    <t>(-) 2.00</t>
  </si>
  <si>
    <t>=</t>
  </si>
  <si>
    <t>R/S water</t>
  </si>
  <si>
    <t>level</t>
  </si>
  <si>
    <t>Discharge</t>
  </si>
  <si>
    <t>in cfs</t>
  </si>
  <si>
    <t>Look the calculation.</t>
  </si>
  <si>
    <t>Hours.</t>
  </si>
  <si>
    <t>i,e  X</t>
  </si>
  <si>
    <t>Tidal blockage</t>
  </si>
  <si>
    <t>Volume of water discharged under one drainage curve</t>
  </si>
  <si>
    <t>cft</t>
  </si>
  <si>
    <t>Acre-ft for 12 Hours</t>
  </si>
  <si>
    <t>Acre ft.</t>
  </si>
  <si>
    <t>Acre-ft for 24 Hours</t>
  </si>
  <si>
    <t>cfs for 24 Hours</t>
  </si>
  <si>
    <t>cfs</t>
  </si>
  <si>
    <t>1'' of rainfall excess over an area of 1 SQ.mile would generate 27 cfs</t>
  </si>
  <si>
    <t>Total drainage discharge for the basin would be</t>
  </si>
  <si>
    <t>27*rainfall excess* area</t>
  </si>
  <si>
    <t>Basin rainfall excess in inches</t>
  </si>
  <si>
    <t xml:space="preserve"> ''</t>
  </si>
  <si>
    <t>Typical cycle of flow</t>
  </si>
  <si>
    <t>Using Formula</t>
  </si>
  <si>
    <t>hac</t>
  </si>
  <si>
    <t>M</t>
  </si>
  <si>
    <t>Design C/S water level</t>
  </si>
  <si>
    <t xml:space="preserve"> (Assumed from field DATA)</t>
  </si>
  <si>
    <t>Invert El. Of the sluice</t>
  </si>
  <si>
    <t xml:space="preserve"> ( Assumed as per field condition )</t>
  </si>
  <si>
    <t>TWD +</t>
  </si>
  <si>
    <t xml:space="preserve">ft rise require </t>
  </si>
  <si>
    <t>Then</t>
  </si>
  <si>
    <r>
      <t>Discharge in inlet control would remain constant at</t>
    </r>
    <r>
      <rPr>
        <b/>
        <sz val="8"/>
        <color indexed="10"/>
        <rFont val="Arial"/>
        <family val="2"/>
      </rPr>
      <t xml:space="preserve"> 225 </t>
    </r>
    <r>
      <rPr>
        <b/>
        <sz val="8"/>
        <rFont val="Arial"/>
        <family val="2"/>
      </rPr>
      <t>cfs since the headwater is assumed constantheadwater.</t>
    </r>
  </si>
  <si>
    <t>hours</t>
  </si>
  <si>
    <t>1.97+6</t>
  </si>
  <si>
    <t>I,e Y</t>
  </si>
  <si>
    <t>POLDER-43/1</t>
  </si>
  <si>
    <t>Subandi DCF Sluice.</t>
  </si>
  <si>
    <r>
      <t>From the elevation of</t>
    </r>
    <r>
      <rPr>
        <sz val="8"/>
        <color indexed="10"/>
        <rFont val="Arial"/>
        <family val="2"/>
      </rPr>
      <t xml:space="preserve"> </t>
    </r>
    <r>
      <rPr>
        <b/>
        <sz val="8"/>
        <color indexed="10"/>
        <rFont val="Arial"/>
        <family val="2"/>
      </rPr>
      <t>3.02</t>
    </r>
    <r>
      <rPr>
        <sz val="8"/>
        <rFont val="Arial"/>
        <family val="2"/>
      </rPr>
      <t>ft PWD to El</t>
    </r>
    <r>
      <rPr>
        <sz val="8"/>
        <color indexed="10"/>
        <rFont val="Arial"/>
        <family val="2"/>
      </rPr>
      <t>.</t>
    </r>
    <r>
      <rPr>
        <b/>
        <sz val="8"/>
        <color indexed="10"/>
        <rFont val="Arial"/>
        <family val="2"/>
      </rPr>
      <t>5.33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PWD control would be shifted to outlet and the discharge would reduced to zero.</t>
    </r>
  </si>
  <si>
    <t>11.15+2.66</t>
  </si>
  <si>
    <t>I,e 13.81</t>
  </si>
  <si>
    <t>Total discharge increased by 10% for climate change</t>
  </si>
  <si>
    <t xml:space="preserve">No. of vent required </t>
  </si>
  <si>
    <t>USE 2-VENT of 5'x6'</t>
  </si>
  <si>
    <t>m, PWD</t>
  </si>
  <si>
    <t>m PWD</t>
  </si>
  <si>
    <t>m</t>
  </si>
  <si>
    <r>
      <t>Name of sub-project</t>
    </r>
    <r>
      <rPr>
        <b/>
        <sz val="12"/>
        <rFont val="Times New Roman"/>
        <family val="1"/>
      </rPr>
      <t xml:space="preserve"> : </t>
    </r>
  </si>
  <si>
    <r>
      <t>Upazila :</t>
    </r>
    <r>
      <rPr>
        <b/>
        <sz val="12"/>
        <rFont val="Times New Roman"/>
        <family val="1"/>
      </rPr>
      <t xml:space="preserve"> </t>
    </r>
  </si>
  <si>
    <t>Dist:</t>
  </si>
  <si>
    <r>
      <t xml:space="preserve">Name of Regulator/Sluice : </t>
    </r>
    <r>
      <rPr>
        <b/>
        <sz val="12"/>
        <rFont val="Times New Roman"/>
        <family val="1"/>
      </rPr>
      <t xml:space="preserve"> </t>
    </r>
  </si>
  <si>
    <t>Input Data:</t>
  </si>
  <si>
    <t>N =</t>
  </si>
  <si>
    <t>nos.</t>
  </si>
  <si>
    <t>Mean</t>
  </si>
  <si>
    <t>HTL =</t>
  </si>
  <si>
    <r>
      <t>B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 xml:space="preserve"> =</t>
    </r>
  </si>
  <si>
    <t>LTL =</t>
  </si>
  <si>
    <r>
      <t>H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 xml:space="preserve"> =</t>
    </r>
  </si>
  <si>
    <t>Monsoon</t>
  </si>
  <si>
    <t>No of vents</t>
  </si>
  <si>
    <t>Vent width</t>
  </si>
  <si>
    <t>Vent height</t>
  </si>
  <si>
    <r>
      <t>I</t>
    </r>
    <r>
      <rPr>
        <vertAlign val="subscript"/>
        <sz val="10"/>
        <rFont val="Arial"/>
        <family val="2"/>
      </rPr>
      <t>L =</t>
    </r>
  </si>
  <si>
    <t>HTL</t>
  </si>
  <si>
    <t>HTL=</t>
  </si>
  <si>
    <t>Maxm</t>
  </si>
  <si>
    <t>Minm</t>
  </si>
  <si>
    <t>(March-May)</t>
  </si>
  <si>
    <t xml:space="preserve">Sill Level </t>
  </si>
  <si>
    <t>LTL</t>
  </si>
  <si>
    <t>(June - October)</t>
  </si>
  <si>
    <t>ha</t>
  </si>
  <si>
    <t>Basin area (Sluice/Regulator):</t>
  </si>
  <si>
    <t>Embankment Crest Level:</t>
  </si>
  <si>
    <t>Project area (Polder area):</t>
  </si>
  <si>
    <t>Basin WL (Design c/s WL) =</t>
  </si>
  <si>
    <t>Av. Maxm</t>
  </si>
  <si>
    <t>Catchment Area =</t>
  </si>
  <si>
    <t>Drainage Rate  =</t>
  </si>
  <si>
    <t>mm/day</t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</si>
  <si>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</t>
    </r>
  </si>
  <si>
    <t>Khal Discharge =</t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</si>
  <si>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/sec</t>
    </r>
  </si>
  <si>
    <t>Av. Gr.level + 0.3 m</t>
  </si>
  <si>
    <t>Level of proposed</t>
  </si>
  <si>
    <t>drainage</t>
  </si>
  <si>
    <t>El. Upto constant discharge</t>
  </si>
  <si>
    <t>El.of zero discharge</t>
  </si>
  <si>
    <t>Lockage</t>
  </si>
  <si>
    <t>R/S</t>
  </si>
  <si>
    <t>C/S</t>
  </si>
  <si>
    <r>
      <t>(H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>+d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)/2</t>
    </r>
  </si>
  <si>
    <t>WL     1.2</t>
  </si>
  <si>
    <t>Tidal lockage</t>
  </si>
  <si>
    <t>Constant Q</t>
  </si>
  <si>
    <r>
      <t>Discharge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/s)</t>
    </r>
  </si>
  <si>
    <t>x</t>
  </si>
  <si>
    <t>y</t>
  </si>
  <si>
    <t>L</t>
  </si>
  <si>
    <t>2x = time through which Q is constant</t>
  </si>
  <si>
    <t>2y = time through which Q takes place</t>
  </si>
  <si>
    <t>L = Lockage period</t>
  </si>
  <si>
    <t>Hv = Vent height =</t>
  </si>
  <si>
    <t xml:space="preserve">m </t>
  </si>
  <si>
    <r>
      <t>Ratio of design water depth (H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) to barrel height (Hv) = H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/H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 xml:space="preserve"> =</t>
    </r>
  </si>
  <si>
    <t>From the Curve of U.S.Bureau of Public Roads for box culvert with entrance control</t>
  </si>
  <si>
    <t xml:space="preserve">cfs/ft </t>
  </si>
  <si>
    <t>ft3/sec</t>
  </si>
  <si>
    <t>m3/sec</t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</si>
  <si>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/sec/m</t>
    </r>
  </si>
  <si>
    <r>
      <t>Critical Depth (dc) = 0.315(Q/Bv)</t>
    </r>
    <r>
      <rPr>
        <vertAlign val="superscript"/>
        <sz val="10"/>
        <rFont val="Arial"/>
        <family val="2"/>
      </rPr>
      <t>2/3</t>
    </r>
    <r>
      <rPr>
        <sz val="10"/>
        <rFont val="Arial"/>
        <family val="2"/>
      </rPr>
      <t xml:space="preserve"> =</t>
    </r>
  </si>
  <si>
    <t>ft</t>
  </si>
  <si>
    <t xml:space="preserve">This equals to :  </t>
  </si>
  <si>
    <t>Hcr = Discharge at inlet control upto = (dc+Hv)/2 =</t>
  </si>
  <si>
    <t>to</t>
  </si>
  <si>
    <t xml:space="preserve">Discharge will be controlled by tail water from Elevation </t>
  </si>
  <si>
    <t>and control would be shifted to outlet and the discharge (Q) would linearly be reduced to zero.</t>
  </si>
  <si>
    <t>Volume of discharge from similar triangle: (figure-tide and elevation curve)</t>
  </si>
  <si>
    <t>Tidal Fluctuation (under design condition) =</t>
  </si>
  <si>
    <t xml:space="preserve">Rise of tide water/tide level (per hour) </t>
  </si>
  <si>
    <t>hour</t>
  </si>
  <si>
    <t>i.e.</t>
  </si>
  <si>
    <t>m rise =</t>
  </si>
  <si>
    <t>y =</t>
  </si>
  <si>
    <t>Volume of water dischargeed under the drainage curve =</t>
  </si>
  <si>
    <t xml:space="preserve">cfs/vent </t>
  </si>
  <si>
    <t>V = 2*(x*Q)*3600+2*[(y-x)*Q]/2*3600</t>
  </si>
  <si>
    <t>acre-ft</t>
  </si>
  <si>
    <t>Volume in acre-ft for 12 hours</t>
  </si>
  <si>
    <t>Discharge in cfs per vent (1 cfs - 2 acre ft per day)</t>
  </si>
  <si>
    <t>Volume in acre-ft for 24 hours</t>
  </si>
  <si>
    <r>
      <t>Hw = Head water depth=design C/S WL-I</t>
    </r>
    <r>
      <rPr>
        <vertAlign val="subscript"/>
        <sz val="10"/>
        <rFont val="Arial"/>
        <family val="2"/>
      </rPr>
      <t>L</t>
    </r>
    <r>
      <rPr>
        <sz val="10"/>
        <rFont val="Arial"/>
        <family val="2"/>
      </rPr>
      <t xml:space="preserve"> =</t>
    </r>
  </si>
  <si>
    <r>
      <t xml:space="preserve"> m above from horizontal flow line is at elevation = Hcr+I</t>
    </r>
    <r>
      <rPr>
        <vertAlign val="subscript"/>
        <sz val="10"/>
        <rFont val="Arial"/>
        <family val="2"/>
      </rPr>
      <t>L =</t>
    </r>
  </si>
  <si>
    <r>
      <t>Discharge (Q) at all stages of tail water from                             -0.60m to 0.86m remains constant at 1.70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/s/vent.</t>
    </r>
  </si>
  <si>
    <t>m    to</t>
  </si>
  <si>
    <t>m PWD remains</t>
  </si>
  <si>
    <t>Time required for a rise of</t>
  </si>
  <si>
    <t>m (up to constant discharge), x =</t>
  </si>
  <si>
    <t>constant at all stages.</t>
  </si>
  <si>
    <t>Monsoon HTL  ( June- October)</t>
  </si>
  <si>
    <t>Max</t>
  </si>
  <si>
    <t>Min</t>
  </si>
  <si>
    <t>Monsoon LTL  ( June-October)</t>
  </si>
  <si>
    <t>Tidal Range, pre-monsoon (6 hours) =</t>
  </si>
  <si>
    <t>Rise/fall of WL per hour (pre-monsoon) =</t>
  </si>
  <si>
    <t xml:space="preserve">Time required to reach zero (Q) </t>
  </si>
  <si>
    <t>The runoff from the basin is</t>
  </si>
  <si>
    <t>No of vents required for the drainage of the basin is</t>
  </si>
  <si>
    <t>nos</t>
  </si>
  <si>
    <t>The pre-monsoon, monsoon levels placed below are taken from the analysis from that data.</t>
  </si>
  <si>
    <r>
      <t>Q = Discharge per vent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/sec) = Q/Bv*Bv =</t>
    </r>
  </si>
  <si>
    <t>Q/Bv =</t>
  </si>
  <si>
    <t xml:space="preserve">q = Discharge per feet width for Hw/Hv =  </t>
  </si>
  <si>
    <r>
      <t>m</t>
    </r>
    <r>
      <rPr>
        <vertAlign val="superscript"/>
        <sz val="10"/>
        <color rgb="FFFF0000"/>
        <rFont val="Arial"/>
        <family val="2"/>
      </rPr>
      <t>3</t>
    </r>
    <r>
      <rPr>
        <sz val="10"/>
        <color rgb="FFFF0000"/>
        <rFont val="Arial"/>
        <family val="2"/>
      </rPr>
      <t>/sec</t>
    </r>
  </si>
  <si>
    <t>SIZING OF REGULATOR/SLUICE (TIDAL)</t>
  </si>
  <si>
    <t>Flow Considerations:</t>
  </si>
  <si>
    <r>
      <t>When H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 xml:space="preserve"> &gt; H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 xml:space="preserve">  and H</t>
    </r>
    <r>
      <rPr>
        <vertAlign val="subscript"/>
        <sz val="10"/>
        <rFont val="Times New Roman"/>
        <family val="1"/>
      </rPr>
      <t>tw</t>
    </r>
    <r>
      <rPr>
        <sz val="10"/>
        <rFont val="Times New Roman"/>
        <family val="1"/>
      </rPr>
      <t xml:space="preserve"> &gt; H</t>
    </r>
    <r>
      <rPr>
        <vertAlign val="subscript"/>
        <sz val="10"/>
        <rFont val="Times New Roman"/>
        <family val="1"/>
      </rPr>
      <t xml:space="preserve">v </t>
    </r>
    <r>
      <rPr>
        <sz val="10"/>
        <rFont val="Times New Roman"/>
        <family val="1"/>
      </rPr>
      <t xml:space="preserve"> , Flow Type I</t>
    </r>
  </si>
  <si>
    <r>
      <t>Q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= 0.802xNxB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xH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x(2x9.81xh')</t>
    </r>
    <r>
      <rPr>
        <vertAlign val="superscript"/>
        <sz val="10"/>
        <rFont val="Times New Roman"/>
        <family val="1"/>
      </rPr>
      <t>0.5</t>
    </r>
  </si>
  <si>
    <r>
      <t>When H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 xml:space="preserve"> &gt; 1.5H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 xml:space="preserve">  and H</t>
    </r>
    <r>
      <rPr>
        <vertAlign val="subscript"/>
        <sz val="10"/>
        <rFont val="Times New Roman"/>
        <family val="1"/>
      </rPr>
      <t>tw</t>
    </r>
    <r>
      <rPr>
        <sz val="10"/>
        <rFont val="Times New Roman"/>
        <family val="1"/>
      </rPr>
      <t xml:space="preserve"> &lt; H</t>
    </r>
    <r>
      <rPr>
        <vertAlign val="subscript"/>
        <sz val="10"/>
        <rFont val="Times New Roman"/>
        <family val="1"/>
      </rPr>
      <t xml:space="preserve">v </t>
    </r>
    <r>
      <rPr>
        <sz val="10"/>
        <rFont val="Times New Roman"/>
        <family val="1"/>
      </rPr>
      <t xml:space="preserve"> , Flow Type III</t>
    </r>
  </si>
  <si>
    <r>
      <t>Q</t>
    </r>
    <r>
      <rPr>
        <vertAlign val="subscript"/>
        <sz val="10"/>
        <rFont val="Times New Roman"/>
        <family val="1"/>
      </rPr>
      <t>III</t>
    </r>
    <r>
      <rPr>
        <sz val="10"/>
        <rFont val="Arial"/>
        <family val="2"/>
      </rPr>
      <t xml:space="preserve"> = 0.600xNxB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xH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x{2x9.81x(H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-H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/2)}</t>
    </r>
    <r>
      <rPr>
        <vertAlign val="superscript"/>
        <sz val="10"/>
        <rFont val="Times New Roman"/>
        <family val="1"/>
      </rPr>
      <t>0.5</t>
    </r>
  </si>
  <si>
    <r>
      <t>When H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 xml:space="preserve"> &lt; 1.5H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 xml:space="preserve">  and H</t>
    </r>
    <r>
      <rPr>
        <vertAlign val="subscript"/>
        <sz val="10"/>
        <rFont val="Times New Roman"/>
        <family val="1"/>
      </rPr>
      <t>tw</t>
    </r>
    <r>
      <rPr>
        <sz val="10"/>
        <rFont val="Times New Roman"/>
        <family val="1"/>
      </rPr>
      <t xml:space="preserve"> &gt;2H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/3</t>
    </r>
    <r>
      <rPr>
        <vertAlign val="subscript"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, Flow Type IV</t>
    </r>
  </si>
  <si>
    <r>
      <t>Q</t>
    </r>
    <r>
      <rPr>
        <vertAlign val="subscript"/>
        <sz val="10"/>
        <rFont val="Times New Roman"/>
        <family val="1"/>
      </rPr>
      <t>IV</t>
    </r>
    <r>
      <rPr>
        <sz val="10"/>
        <rFont val="Arial"/>
        <family val="2"/>
      </rPr>
      <t xml:space="preserve"> = 0.816xNxB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x(H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-h')x(2x9.81xh')</t>
    </r>
    <r>
      <rPr>
        <vertAlign val="superscript"/>
        <sz val="10"/>
        <rFont val="Times New Roman"/>
        <family val="1"/>
      </rPr>
      <t>0.5</t>
    </r>
  </si>
  <si>
    <r>
      <t>When H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 xml:space="preserve"> &lt; 1.5H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 xml:space="preserve">  and H</t>
    </r>
    <r>
      <rPr>
        <vertAlign val="subscript"/>
        <sz val="10"/>
        <rFont val="Times New Roman"/>
        <family val="1"/>
      </rPr>
      <t>tw</t>
    </r>
    <r>
      <rPr>
        <sz val="10"/>
        <rFont val="Times New Roman"/>
        <family val="1"/>
      </rPr>
      <t xml:space="preserve"> &lt;2H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/3</t>
    </r>
    <r>
      <rPr>
        <vertAlign val="subscript"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, Flow Type V</t>
    </r>
  </si>
  <si>
    <r>
      <t>Q</t>
    </r>
    <r>
      <rPr>
        <vertAlign val="subscript"/>
        <sz val="10"/>
        <rFont val="Times New Roman"/>
        <family val="1"/>
      </rPr>
      <t>V</t>
    </r>
    <r>
      <rPr>
        <sz val="10"/>
        <rFont val="Arial"/>
        <family val="2"/>
      </rPr>
      <t xml:space="preserve"> = 1.560xNxB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>xH</t>
    </r>
    <r>
      <rPr>
        <vertAlign val="subscript"/>
        <sz val="10"/>
        <rFont val="Times New Roman"/>
        <family val="1"/>
      </rPr>
      <t>w</t>
    </r>
    <r>
      <rPr>
        <vertAlign val="superscript"/>
        <sz val="10"/>
        <rFont val="Times New Roman"/>
        <family val="1"/>
      </rPr>
      <t>3/2</t>
    </r>
  </si>
  <si>
    <t>Where:</t>
  </si>
  <si>
    <r>
      <t>H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 xml:space="preserve"> = Upstream Water Depth</t>
    </r>
  </si>
  <si>
    <t>N = Vent Nos.</t>
  </si>
  <si>
    <r>
      <t>H</t>
    </r>
    <r>
      <rPr>
        <vertAlign val="subscript"/>
        <sz val="10"/>
        <rFont val="Times New Roman"/>
        <family val="1"/>
      </rPr>
      <t>tw</t>
    </r>
    <r>
      <rPr>
        <sz val="10"/>
        <rFont val="Times New Roman"/>
        <family val="1"/>
      </rPr>
      <t xml:space="preserve"> = Tail Water Depth</t>
    </r>
  </si>
  <si>
    <t>h' = Head Difference</t>
  </si>
  <si>
    <r>
      <t>H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 xml:space="preserve"> = Vent Hieght</t>
    </r>
  </si>
  <si>
    <t>Q = Flow through Regulator</t>
  </si>
  <si>
    <r>
      <t>B</t>
    </r>
    <r>
      <rPr>
        <vertAlign val="subscript"/>
        <sz val="10"/>
        <rFont val="Times New Roman"/>
        <family val="1"/>
      </rPr>
      <t>v</t>
    </r>
    <r>
      <rPr>
        <sz val="10"/>
        <rFont val="Times New Roman"/>
        <family val="1"/>
      </rPr>
      <t xml:space="preserve"> = Vent Width</t>
    </r>
  </si>
  <si>
    <t>Av. Ground level in the basin =</t>
  </si>
  <si>
    <t xml:space="preserve">Desired Drainage Level= Av. Gr. El + 0.30 m </t>
  </si>
  <si>
    <t>m PWD (average maximum)</t>
  </si>
  <si>
    <t>mPWD</t>
  </si>
  <si>
    <t>Basin WL =</t>
  </si>
  <si>
    <t>Sill Level =</t>
  </si>
  <si>
    <t>Drainage Time =</t>
  </si>
  <si>
    <t>hrs.</t>
  </si>
  <si>
    <t>Design Q =</t>
  </si>
  <si>
    <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/Sec</t>
    </r>
  </si>
  <si>
    <t>Calculation Steps =</t>
  </si>
  <si>
    <t>RWL Steps=</t>
  </si>
  <si>
    <t>RWL</t>
  </si>
  <si>
    <r>
      <t>H</t>
    </r>
    <r>
      <rPr>
        <vertAlign val="subscript"/>
        <sz val="10"/>
        <color indexed="8"/>
        <rFont val="Times New Roman"/>
        <family val="1"/>
      </rPr>
      <t>W</t>
    </r>
  </si>
  <si>
    <r>
      <t>H</t>
    </r>
    <r>
      <rPr>
        <vertAlign val="subscript"/>
        <sz val="10"/>
        <rFont val="Times New Roman"/>
        <family val="1"/>
      </rPr>
      <t>TW</t>
    </r>
  </si>
  <si>
    <t>h'</t>
  </si>
  <si>
    <t>Flow Type</t>
  </si>
  <si>
    <t>Q</t>
  </si>
  <si>
    <t>(mPWD)</t>
  </si>
  <si>
    <t>(m)</t>
  </si>
  <si>
    <t>Khal Discharge             =</t>
  </si>
  <si>
    <t xml:space="preserve">Generated inflow from basin is lower than the drainage capacity of </t>
  </si>
  <si>
    <t xml:space="preserve">in a tidal cycle. This also certifies that the drainage capacity of proposed regulator (number of vents </t>
  </si>
  <si>
    <t>and vent size) is adequate.</t>
  </si>
  <si>
    <t>Patuakhali</t>
  </si>
  <si>
    <t xml:space="preserve">Polder 50/51, </t>
  </si>
  <si>
    <t>The nearest WL gauge station is Patuakhali on the Ramnabad/Patua River. (maintained by BWDB).</t>
  </si>
  <si>
    <t xml:space="preserve">The tide level of this river is recorded from 1978-79 to 2007-08 has been studied under the project. </t>
  </si>
  <si>
    <t xml:space="preserve">Daily rainfall excess (design runoff) from the figure-5 (IECO Water Plan 1964) is </t>
  </si>
  <si>
    <t xml:space="preserve">for Patuakhali area, considering the climate change effect and other uncertainties this is taken as </t>
  </si>
  <si>
    <t xml:space="preserve">under the given condition, One vent (1.5m*1.8m) can drain </t>
  </si>
  <si>
    <t>So provide a structure (regulator) with 1 vents (1.5m*1.8m)</t>
  </si>
  <si>
    <r>
      <t>Name of sub-project</t>
    </r>
    <r>
      <rPr>
        <b/>
        <sz val="12"/>
        <rFont val="Times New Roman"/>
        <family val="1"/>
      </rPr>
      <t xml:space="preserve"> : Polder -50/51</t>
    </r>
  </si>
  <si>
    <r>
      <t>Upazila :</t>
    </r>
    <r>
      <rPr>
        <b/>
        <sz val="12"/>
        <rFont val="Times New Roman"/>
        <family val="1"/>
      </rPr>
      <t xml:space="preserve"> Sadar </t>
    </r>
    <r>
      <rPr>
        <sz val="12"/>
        <rFont val="Times New Roman"/>
        <family val="1"/>
      </rPr>
      <t xml:space="preserve">;     Dist. </t>
    </r>
    <r>
      <rPr>
        <b/>
        <sz val="12"/>
        <rFont val="Times New Roman"/>
        <family val="1"/>
      </rPr>
      <t>: Patuakhali</t>
    </r>
  </si>
  <si>
    <r>
      <t>m</t>
    </r>
    <r>
      <rPr>
        <vertAlign val="superscript"/>
        <sz val="10"/>
        <color rgb="FFFF0000"/>
        <rFont val="Arial"/>
        <family val="2"/>
      </rPr>
      <t>3</t>
    </r>
    <r>
      <rPr>
        <sz val="10"/>
        <color rgb="FFFF0000"/>
        <rFont val="Arial"/>
        <family val="2"/>
      </rPr>
      <t>/s</t>
    </r>
  </si>
  <si>
    <t xml:space="preserve">assumed size (1V-1.5mx1.8m) of the regulator. </t>
  </si>
  <si>
    <t>Av. Gr Level of Basin (Drainage Level)</t>
  </si>
  <si>
    <t>Post-monsoom</t>
  </si>
  <si>
    <t>Post-monsoon</t>
  </si>
  <si>
    <t>Kazirkanda Sluice, 1V-1.5mx1.8m, Polder-50/51</t>
  </si>
  <si>
    <t>Post-monsoon  HTL (March to May )</t>
  </si>
  <si>
    <t>Post-monsoon LTL  (March to May )</t>
  </si>
  <si>
    <t>The capacity of the regulator with outfall river condition is calculated  through two different</t>
  </si>
  <si>
    <t>method. Through the second method regulator has total average drainage capacity of 7.99 m3/sec</t>
  </si>
  <si>
    <r>
      <t xml:space="preserve">Name of Regulator/Sluice : </t>
    </r>
    <r>
      <rPr>
        <b/>
        <sz val="12"/>
        <rFont val="Times New Roman"/>
        <family val="1"/>
      </rPr>
      <t xml:space="preserve"> Kazirkanda Sluice (1V-1.5mx1.8m ) </t>
    </r>
  </si>
  <si>
    <t>Kazirkanda Sluice at km 9.00 under Polder 50/51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</si>
</sst>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00"/>
    <numFmt numFmtId="166" formatCode="0.00_)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4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4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vertAlign val="subscript"/>
      <sz val="10"/>
      <name val="Times New Roman"/>
      <family val="1"/>
    </font>
    <font>
      <sz val="10"/>
      <name val="Times New Roman"/>
      <family val="1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9"/>
      <color rgb="FF00B0F0"/>
      <name val="Arial"/>
      <family val="2"/>
    </font>
    <font>
      <vertAlign val="superscript"/>
      <sz val="10"/>
      <color rgb="FFFF0000"/>
      <name val="Arial"/>
      <family val="2"/>
    </font>
    <font>
      <vertAlign val="superscript"/>
      <sz val="10"/>
      <name val="Times New Roman"/>
      <family val="1"/>
    </font>
    <font>
      <b/>
      <sz val="10"/>
      <color rgb="FFFF0000"/>
      <name val="Courier"/>
      <family val="3"/>
    </font>
    <font>
      <b/>
      <sz val="10"/>
      <color rgb="FFFF0000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vertAlign val="subscript"/>
      <sz val="10"/>
      <color indexed="8"/>
      <name val="Times New Roman"/>
      <family val="1"/>
    </font>
    <font>
      <b/>
      <sz val="10"/>
      <name val="Courier"/>
      <family val="3"/>
    </font>
    <font>
      <sz val="10"/>
      <name val="Courier"/>
      <family val="3"/>
    </font>
    <font>
      <b/>
      <sz val="10"/>
      <color rgb="FFFF0000"/>
      <name val="Arial"/>
      <family val="2"/>
    </font>
    <font>
      <sz val="10"/>
      <color rgb="FFFF0000"/>
      <name val="Courier"/>
      <family val="3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8" fillId="0" borderId="0"/>
  </cellStyleXfs>
  <cellXfs count="17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left"/>
    </xf>
    <xf numFmtId="0" fontId="5" fillId="0" borderId="0" xfId="0" applyFont="1"/>
    <xf numFmtId="2" fontId="6" fillId="0" borderId="0" xfId="0" applyNumberFormat="1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2" fontId="7" fillId="0" borderId="0" xfId="0" applyNumberFormat="1" applyFon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8" fillId="0" borderId="0" xfId="0" applyFont="1"/>
    <xf numFmtId="2" fontId="6" fillId="0" borderId="0" xfId="0" applyNumberFormat="1" applyFont="1" applyAlignment="1">
      <alignment horizontal="right"/>
    </xf>
    <xf numFmtId="164" fontId="7" fillId="0" borderId="0" xfId="0" applyNumberFormat="1" applyFont="1" applyAlignment="1"/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right"/>
    </xf>
    <xf numFmtId="0" fontId="7" fillId="0" borderId="0" xfId="0" applyFont="1" applyAlignment="1"/>
    <xf numFmtId="1" fontId="11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Font="1"/>
    <xf numFmtId="2" fontId="11" fillId="0" borderId="0" xfId="0" applyNumberFormat="1" applyFont="1"/>
    <xf numFmtId="2" fontId="11" fillId="0" borderId="0" xfId="0" applyNumberFormat="1" applyFont="1" applyAlignment="1">
      <alignment horizontal="right"/>
    </xf>
    <xf numFmtId="2" fontId="0" fillId="0" borderId="0" xfId="0" quotePrefix="1" applyNumberFormat="1"/>
    <xf numFmtId="0" fontId="12" fillId="0" borderId="0" xfId="0" applyFont="1"/>
    <xf numFmtId="0" fontId="7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14" fillId="0" borderId="0" xfId="0" applyFont="1" applyBorder="1" applyAlignment="1"/>
    <xf numFmtId="0" fontId="7" fillId="0" borderId="0" xfId="0" applyFont="1" applyBorder="1" applyAlignment="1"/>
    <xf numFmtId="2" fontId="7" fillId="0" borderId="0" xfId="0" applyNumberFormat="1" applyFont="1" applyBorder="1" applyAlignment="1"/>
    <xf numFmtId="0" fontId="0" fillId="0" borderId="2" xfId="0" applyBorder="1"/>
    <xf numFmtId="2" fontId="14" fillId="0" borderId="0" xfId="0" applyNumberFormat="1" applyFont="1"/>
    <xf numFmtId="164" fontId="15" fillId="0" borderId="0" xfId="0" applyNumberFormat="1" applyFont="1" applyAlignment="1"/>
    <xf numFmtId="0" fontId="15" fillId="0" borderId="0" xfId="0" applyFont="1"/>
    <xf numFmtId="0" fontId="9" fillId="0" borderId="0" xfId="0" applyFont="1" applyAlignment="1"/>
    <xf numFmtId="2" fontId="9" fillId="0" borderId="0" xfId="0" applyNumberFormat="1" applyFont="1" applyAlignment="1"/>
    <xf numFmtId="3" fontId="0" fillId="0" borderId="0" xfId="0" applyNumberFormat="1"/>
    <xf numFmtId="0" fontId="17" fillId="0" borderId="0" xfId="0" applyFont="1"/>
    <xf numFmtId="3" fontId="17" fillId="0" borderId="0" xfId="0" applyNumberFormat="1" applyFont="1"/>
    <xf numFmtId="165" fontId="0" fillId="0" borderId="0" xfId="0" applyNumberFormat="1"/>
    <xf numFmtId="4" fontId="0" fillId="0" borderId="0" xfId="0" applyNumberFormat="1"/>
    <xf numFmtId="0" fontId="19" fillId="0" borderId="0" xfId="1" applyFont="1" applyAlignment="1">
      <alignment horizontal="left"/>
    </xf>
    <xf numFmtId="0" fontId="3" fillId="0" borderId="0" xfId="1" applyFont="1"/>
    <xf numFmtId="166" fontId="22" fillId="0" borderId="0" xfId="0" applyNumberFormat="1" applyFon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" fontId="23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166" fontId="0" fillId="0" borderId="0" xfId="0" applyNumberFormat="1" applyBorder="1" applyAlignment="1">
      <alignment horizontal="right"/>
    </xf>
    <xf numFmtId="2" fontId="23" fillId="0" borderId="0" xfId="0" applyNumberFormat="1" applyFont="1" applyBorder="1" applyAlignment="1">
      <alignment horizontal="center"/>
    </xf>
    <xf numFmtId="166" fontId="0" fillId="0" borderId="0" xfId="0" applyNumberFormat="1" applyBorder="1" applyAlignment="1"/>
    <xf numFmtId="166" fontId="0" fillId="0" borderId="0" xfId="0" quotePrefix="1" applyNumberFormat="1" applyAlignment="1">
      <alignment horizontal="right"/>
    </xf>
    <xf numFmtId="166" fontId="0" fillId="0" borderId="0" xfId="0" applyNumberFormat="1" applyBorder="1" applyAlignment="1">
      <alignment horizontal="left"/>
    </xf>
    <xf numFmtId="2" fontId="23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left"/>
    </xf>
    <xf numFmtId="166" fontId="17" fillId="0" borderId="0" xfId="0" applyNumberFormat="1" applyFont="1" applyFill="1" applyBorder="1" applyAlignment="1">
      <alignment horizontal="right"/>
    </xf>
    <xf numFmtId="166" fontId="17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6" fontId="17" fillId="0" borderId="0" xfId="0" applyNumberFormat="1" applyFont="1"/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2" fontId="29" fillId="0" borderId="0" xfId="0" applyNumberFormat="1" applyFont="1" applyAlignment="1">
      <alignment horizontal="center"/>
    </xf>
    <xf numFmtId="166" fontId="29" fillId="0" borderId="0" xfId="0" applyNumberFormat="1" applyFont="1" applyAlignment="1">
      <alignment horizontal="center"/>
    </xf>
    <xf numFmtId="166" fontId="26" fillId="0" borderId="0" xfId="0" applyNumberFormat="1" applyFont="1"/>
    <xf numFmtId="4" fontId="17" fillId="0" borderId="0" xfId="0" applyNumberFormat="1" applyFont="1"/>
    <xf numFmtId="2" fontId="30" fillId="0" borderId="0" xfId="0" applyNumberFormat="1" applyFont="1" applyAlignment="1">
      <alignment horizontal="center"/>
    </xf>
    <xf numFmtId="166" fontId="30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0" borderId="0" xfId="0" applyNumberFormat="1" applyFont="1" applyAlignment="1">
      <alignment horizontal="right"/>
    </xf>
    <xf numFmtId="4" fontId="17" fillId="0" borderId="0" xfId="0" applyNumberFormat="1" applyFont="1" applyAlignment="1">
      <alignment horizontal="right"/>
    </xf>
    <xf numFmtId="2" fontId="30" fillId="0" borderId="0" xfId="0" applyNumberFormat="1" applyFont="1"/>
    <xf numFmtId="166" fontId="31" fillId="0" borderId="0" xfId="0" applyNumberFormat="1" applyFont="1"/>
    <xf numFmtId="166" fontId="31" fillId="0" borderId="0" xfId="0" applyNumberFormat="1" applyFont="1" applyAlignment="1">
      <alignment horizontal="right"/>
    </xf>
    <xf numFmtId="164" fontId="17" fillId="0" borderId="0" xfId="0" applyNumberFormat="1" applyFont="1"/>
    <xf numFmtId="2" fontId="0" fillId="0" borderId="0" xfId="0" quotePrefix="1" applyNumberFormat="1" applyAlignment="1">
      <alignment horizontal="right"/>
    </xf>
    <xf numFmtId="2" fontId="31" fillId="0" borderId="0" xfId="0" applyNumberFormat="1" applyFont="1" applyAlignment="1">
      <alignment horizontal="center"/>
    </xf>
    <xf numFmtId="0" fontId="32" fillId="0" borderId="0" xfId="0" applyFont="1"/>
    <xf numFmtId="2" fontId="32" fillId="0" borderId="0" xfId="0" applyNumberFormat="1" applyFont="1"/>
    <xf numFmtId="49" fontId="0" fillId="0" borderId="0" xfId="0" applyNumberFormat="1"/>
    <xf numFmtId="0" fontId="30" fillId="0" borderId="0" xfId="0" applyFont="1"/>
    <xf numFmtId="166" fontId="30" fillId="0" borderId="0" xfId="0" applyNumberFormat="1" applyFont="1"/>
    <xf numFmtId="166" fontId="21" fillId="0" borderId="0" xfId="0" applyNumberFormat="1" applyFont="1" applyAlignment="1">
      <alignment horizontal="centerContinuous"/>
    </xf>
    <xf numFmtId="166" fontId="0" fillId="0" borderId="0" xfId="0" applyNumberFormat="1" applyAlignment="1">
      <alignment horizontal="centerContinuous"/>
    </xf>
    <xf numFmtId="0" fontId="3" fillId="0" borderId="0" xfId="1" applyFont="1" applyAlignment="1">
      <alignment horizontal="left"/>
    </xf>
    <xf numFmtId="0" fontId="21" fillId="0" borderId="0" xfId="1" applyFont="1" applyAlignment="1">
      <alignment horizontal="left"/>
    </xf>
    <xf numFmtId="166" fontId="35" fillId="0" borderId="0" xfId="0" applyNumberFormat="1" applyFont="1"/>
    <xf numFmtId="2" fontId="26" fillId="0" borderId="0" xfId="0" applyNumberFormat="1" applyFont="1" applyAlignment="1">
      <alignment horizontal="center"/>
    </xf>
    <xf numFmtId="166" fontId="0" fillId="0" borderId="0" xfId="0" applyNumberFormat="1" applyAlignment="1"/>
    <xf numFmtId="2" fontId="36" fillId="0" borderId="0" xfId="0" applyNumberFormat="1" applyFont="1" applyAlignment="1">
      <alignment horizontal="center"/>
    </xf>
    <xf numFmtId="166" fontId="37" fillId="0" borderId="0" xfId="0" applyNumberFormat="1" applyFont="1" applyAlignment="1">
      <alignment horizontal="center"/>
    </xf>
    <xf numFmtId="166" fontId="26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/>
    </xf>
    <xf numFmtId="166" fontId="0" fillId="0" borderId="3" xfId="0" applyNumberFormat="1" applyBorder="1" applyAlignment="1">
      <alignment horizontal="center"/>
    </xf>
    <xf numFmtId="2" fontId="38" fillId="0" borderId="3" xfId="0" quotePrefix="1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38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24" fillId="0" borderId="0" xfId="0" applyNumberFormat="1" applyFont="1"/>
    <xf numFmtId="166" fontId="24" fillId="0" borderId="0" xfId="0" applyNumberFormat="1" applyFont="1"/>
    <xf numFmtId="166" fontId="35" fillId="0" borderId="5" xfId="0" quotePrefix="1" applyNumberFormat="1" applyFont="1" applyBorder="1" applyAlignment="1">
      <alignment horizontal="center"/>
    </xf>
    <xf numFmtId="2" fontId="36" fillId="0" borderId="6" xfId="0" applyNumberFormat="1" applyFont="1" applyBorder="1" applyAlignment="1">
      <alignment horizontal="centerContinuous"/>
    </xf>
    <xf numFmtId="2" fontId="0" fillId="0" borderId="6" xfId="0" applyNumberFormat="1" applyBorder="1" applyAlignment="1">
      <alignment horizontal="centerContinuous"/>
    </xf>
    <xf numFmtId="2" fontId="0" fillId="0" borderId="6" xfId="0" quotePrefix="1" applyNumberFormat="1" applyBorder="1" applyAlignment="1">
      <alignment horizontal="centerContinuous"/>
    </xf>
    <xf numFmtId="166" fontId="26" fillId="0" borderId="6" xfId="0" quotePrefix="1" applyNumberFormat="1" applyFont="1" applyBorder="1" applyAlignment="1">
      <alignment horizontal="centerContinuous"/>
    </xf>
    <xf numFmtId="2" fontId="26" fillId="0" borderId="7" xfId="0" quotePrefix="1" applyNumberFormat="1" applyFont="1" applyBorder="1" applyAlignment="1">
      <alignment horizontal="centerContinuous"/>
    </xf>
    <xf numFmtId="2" fontId="0" fillId="0" borderId="8" xfId="0" quotePrefix="1" applyNumberFormat="1" applyBorder="1" applyAlignment="1">
      <alignment horizontal="center"/>
    </xf>
    <xf numFmtId="2" fontId="24" fillId="0" borderId="9" xfId="0" applyNumberFormat="1" applyFont="1" applyBorder="1" applyAlignment="1">
      <alignment horizontal="centerContinuous"/>
    </xf>
    <xf numFmtId="2" fontId="0" fillId="0" borderId="9" xfId="0" applyNumberFormat="1" applyBorder="1" applyAlignment="1">
      <alignment horizontal="centerContinuous"/>
    </xf>
    <xf numFmtId="2" fontId="0" fillId="0" borderId="9" xfId="0" quotePrefix="1" applyNumberFormat="1" applyBorder="1" applyAlignment="1">
      <alignment horizontal="centerContinuous"/>
    </xf>
    <xf numFmtId="166" fontId="26" fillId="0" borderId="9" xfId="0" quotePrefix="1" applyNumberFormat="1" applyFont="1" applyBorder="1" applyAlignment="1">
      <alignment horizontal="centerContinuous"/>
    </xf>
    <xf numFmtId="2" fontId="26" fillId="0" borderId="10" xfId="0" quotePrefix="1" applyNumberFormat="1" applyFont="1" applyBorder="1" applyAlignment="1">
      <alignment horizontal="centerContinuous"/>
    </xf>
    <xf numFmtId="2" fontId="0" fillId="0" borderId="11" xfId="0" quotePrefix="1" applyNumberFormat="1" applyBorder="1" applyAlignment="1">
      <alignment horizontal="center"/>
    </xf>
    <xf numFmtId="2" fontId="24" fillId="0" borderId="12" xfId="0" applyNumberFormat="1" applyFont="1" applyBorder="1" applyAlignment="1">
      <alignment horizontal="centerContinuous"/>
    </xf>
    <xf numFmtId="2" fontId="0" fillId="0" borderId="12" xfId="0" applyNumberFormat="1" applyBorder="1" applyAlignment="1">
      <alignment horizontal="centerContinuous"/>
    </xf>
    <xf numFmtId="2" fontId="0" fillId="0" borderId="12" xfId="0" quotePrefix="1" applyNumberFormat="1" applyBorder="1" applyAlignment="1">
      <alignment horizontal="centerContinuous"/>
    </xf>
    <xf numFmtId="166" fontId="26" fillId="0" borderId="12" xfId="0" quotePrefix="1" applyNumberFormat="1" applyFont="1" applyBorder="1" applyAlignment="1">
      <alignment horizontal="centerContinuous"/>
    </xf>
    <xf numFmtId="2" fontId="26" fillId="0" borderId="13" xfId="0" quotePrefix="1" applyNumberFormat="1" applyFont="1" applyBorder="1" applyAlignment="1">
      <alignment horizontal="centerContinuous"/>
    </xf>
    <xf numFmtId="166" fontId="31" fillId="0" borderId="0" xfId="0" applyNumberFormat="1" applyFont="1" applyAlignment="1"/>
    <xf numFmtId="166" fontId="40" fillId="0" borderId="0" xfId="0" applyNumberFormat="1" applyFont="1"/>
    <xf numFmtId="166" fontId="35" fillId="0" borderId="0" xfId="0" applyNumberFormat="1" applyFont="1" applyAlignment="1">
      <alignment horizontal="left"/>
    </xf>
    <xf numFmtId="166" fontId="41" fillId="0" borderId="0" xfId="0" applyNumberFormat="1" applyFont="1"/>
    <xf numFmtId="166" fontId="41" fillId="0" borderId="0" xfId="0" applyNumberFormat="1" applyFont="1" applyAlignment="1">
      <alignment horizontal="left"/>
    </xf>
    <xf numFmtId="2" fontId="26" fillId="0" borderId="0" xfId="0" quotePrefix="1" applyNumberFormat="1" applyFont="1" applyAlignment="1">
      <alignment horizontal="left"/>
    </xf>
    <xf numFmtId="166" fontId="31" fillId="0" borderId="0" xfId="0" quotePrefix="1" applyNumberFormat="1" applyFont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quotePrefix="1" applyNumberFormat="1" applyBorder="1" applyAlignment="1">
      <alignment horizontal="center"/>
    </xf>
    <xf numFmtId="2" fontId="24" fillId="0" borderId="0" xfId="0" applyNumberFormat="1" applyFont="1" applyBorder="1" applyAlignment="1">
      <alignment horizontal="centerContinuous"/>
    </xf>
    <xf numFmtId="2" fontId="0" fillId="0" borderId="0" xfId="0" applyNumberFormat="1" applyBorder="1" applyAlignment="1">
      <alignment horizontal="centerContinuous"/>
    </xf>
    <xf numFmtId="2" fontId="0" fillId="0" borderId="0" xfId="0" quotePrefix="1" applyNumberFormat="1" applyBorder="1" applyAlignment="1">
      <alignment horizontal="centerContinuous"/>
    </xf>
    <xf numFmtId="166" fontId="26" fillId="0" borderId="0" xfId="0" quotePrefix="1" applyNumberFormat="1" applyFont="1" applyBorder="1" applyAlignment="1">
      <alignment horizontal="centerContinuous"/>
    </xf>
    <xf numFmtId="3" fontId="30" fillId="0" borderId="0" xfId="0" applyNumberFormat="1" applyFont="1"/>
    <xf numFmtId="2" fontId="1" fillId="0" borderId="0" xfId="0" applyNumberFormat="1" applyFont="1" applyAlignment="1">
      <alignment horizontal="right"/>
    </xf>
    <xf numFmtId="164" fontId="23" fillId="0" borderId="0" xfId="0" applyNumberFormat="1" applyFont="1" applyAlignment="1">
      <alignment horizontal="right"/>
    </xf>
    <xf numFmtId="166" fontId="17" fillId="0" borderId="0" xfId="0" applyNumberFormat="1" applyFont="1" applyAlignment="1">
      <alignment horizontal="right"/>
    </xf>
    <xf numFmtId="166" fontId="12" fillId="0" borderId="0" xfId="0" applyNumberFormat="1" applyFont="1"/>
    <xf numFmtId="2" fontId="17" fillId="0" borderId="0" xfId="0" applyNumberFormat="1" applyFont="1" applyAlignment="1">
      <alignment horizontal="center"/>
    </xf>
    <xf numFmtId="1" fontId="29" fillId="0" borderId="0" xfId="0" applyNumberFormat="1" applyFont="1" applyAlignment="1">
      <alignment horizontal="right"/>
    </xf>
    <xf numFmtId="166" fontId="30" fillId="0" borderId="0" xfId="0" applyNumberFormat="1" applyFont="1" applyAlignment="1">
      <alignment horizontal="right"/>
    </xf>
    <xf numFmtId="1" fontId="30" fillId="0" borderId="0" xfId="0" applyNumberFormat="1" applyFont="1" applyAlignment="1">
      <alignment horizontal="right"/>
    </xf>
    <xf numFmtId="2" fontId="41" fillId="0" borderId="0" xfId="0" applyNumberFormat="1" applyFont="1" applyAlignment="1">
      <alignment horizontal="right"/>
    </xf>
    <xf numFmtId="2" fontId="42" fillId="0" borderId="0" xfId="0" applyNumberFormat="1" applyFont="1" applyAlignment="1">
      <alignment horizontal="right"/>
    </xf>
    <xf numFmtId="2" fontId="43" fillId="0" borderId="0" xfId="0" applyNumberFormat="1" applyFont="1" applyAlignment="1">
      <alignment horizontal="right"/>
    </xf>
    <xf numFmtId="2" fontId="23" fillId="0" borderId="0" xfId="0" applyNumberFormat="1" applyFont="1" applyAlignment="1">
      <alignment horizontal="right"/>
    </xf>
    <xf numFmtId="0" fontId="44" fillId="0" borderId="0" xfId="0" applyFont="1" applyAlignment="1"/>
    <xf numFmtId="0" fontId="10" fillId="0" borderId="0" xfId="0" applyFont="1"/>
    <xf numFmtId="1" fontId="30" fillId="0" borderId="0" xfId="0" applyNumberFormat="1" applyFont="1"/>
    <xf numFmtId="166" fontId="0" fillId="0" borderId="0" xfId="0" applyNumberFormat="1" applyFont="1"/>
    <xf numFmtId="0" fontId="17" fillId="0" borderId="0" xfId="0" applyFont="1" applyAlignment="1">
      <alignment horizontal="left" textRotation="90" wrapText="1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Normal_Sreg-NT-Karuna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66</xdr:row>
      <xdr:rowOff>0</xdr:rowOff>
    </xdr:from>
    <xdr:to>
      <xdr:col>7</xdr:col>
      <xdr:colOff>19050</xdr:colOff>
      <xdr:row>66</xdr:row>
      <xdr:rowOff>9526</xdr:rowOff>
    </xdr:to>
    <xdr:cxnSp macro="">
      <xdr:nvCxnSpPr>
        <xdr:cNvPr id="3" name="Straight Connector 2"/>
        <xdr:cNvCxnSpPr/>
      </xdr:nvCxnSpPr>
      <xdr:spPr>
        <a:xfrm>
          <a:off x="1838325" y="13096875"/>
          <a:ext cx="2466975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65</xdr:row>
      <xdr:rowOff>76200</xdr:rowOff>
    </xdr:from>
    <xdr:to>
      <xdr:col>6</xdr:col>
      <xdr:colOff>533400</xdr:colOff>
      <xdr:row>65</xdr:row>
      <xdr:rowOff>85725</xdr:rowOff>
    </xdr:to>
    <xdr:cxnSp macro="">
      <xdr:nvCxnSpPr>
        <xdr:cNvPr id="8" name="Straight Connector 7"/>
        <xdr:cNvCxnSpPr/>
      </xdr:nvCxnSpPr>
      <xdr:spPr>
        <a:xfrm flipV="1">
          <a:off x="1990725" y="12973050"/>
          <a:ext cx="2219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600074</xdr:colOff>
      <xdr:row>62</xdr:row>
      <xdr:rowOff>28575</xdr:rowOff>
    </xdr:from>
    <xdr:to>
      <xdr:col>3</xdr:col>
      <xdr:colOff>9528</xdr:colOff>
      <xdr:row>66</xdr:row>
      <xdr:rowOff>3</xdr:rowOff>
    </xdr:to>
    <xdr:cxnSp macro="">
      <xdr:nvCxnSpPr>
        <xdr:cNvPr id="10" name="Straight Connector 9"/>
        <xdr:cNvCxnSpPr/>
      </xdr:nvCxnSpPr>
      <xdr:spPr>
        <a:xfrm rot="16200000" flipH="1">
          <a:off x="1462087" y="12701587"/>
          <a:ext cx="771528" cy="190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62</xdr:row>
      <xdr:rowOff>19049</xdr:rowOff>
    </xdr:from>
    <xdr:to>
      <xdr:col>8</xdr:col>
      <xdr:colOff>5</xdr:colOff>
      <xdr:row>65</xdr:row>
      <xdr:rowOff>180977</xdr:rowOff>
    </xdr:to>
    <xdr:cxnSp macro="">
      <xdr:nvCxnSpPr>
        <xdr:cNvPr id="12" name="Straight Connector 11"/>
        <xdr:cNvCxnSpPr/>
      </xdr:nvCxnSpPr>
      <xdr:spPr>
        <a:xfrm rot="16200000" flipH="1">
          <a:off x="3905251" y="12696824"/>
          <a:ext cx="762003" cy="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123824</xdr:colOff>
      <xdr:row>61</xdr:row>
      <xdr:rowOff>180975</xdr:rowOff>
    </xdr:from>
    <xdr:to>
      <xdr:col>3</xdr:col>
      <xdr:colOff>133349</xdr:colOff>
      <xdr:row>65</xdr:row>
      <xdr:rowOff>104775</xdr:rowOff>
    </xdr:to>
    <xdr:cxnSp macro="">
      <xdr:nvCxnSpPr>
        <xdr:cNvPr id="14" name="Straight Connector 13"/>
        <xdr:cNvCxnSpPr/>
      </xdr:nvCxnSpPr>
      <xdr:spPr>
        <a:xfrm rot="16200000" flipH="1">
          <a:off x="1614487" y="12634912"/>
          <a:ext cx="7239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62</xdr:row>
      <xdr:rowOff>28574</xdr:rowOff>
    </xdr:from>
    <xdr:to>
      <xdr:col>6</xdr:col>
      <xdr:colOff>504825</xdr:colOff>
      <xdr:row>65</xdr:row>
      <xdr:rowOff>104775</xdr:rowOff>
    </xdr:to>
    <xdr:cxnSp macro="">
      <xdr:nvCxnSpPr>
        <xdr:cNvPr id="15" name="Straight Connector 14"/>
        <xdr:cNvCxnSpPr/>
      </xdr:nvCxnSpPr>
      <xdr:spPr>
        <a:xfrm rot="5400000">
          <a:off x="3843337" y="12663487"/>
          <a:ext cx="67627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70</xdr:row>
      <xdr:rowOff>0</xdr:rowOff>
    </xdr:from>
    <xdr:to>
      <xdr:col>7</xdr:col>
      <xdr:colOff>600075</xdr:colOff>
      <xdr:row>70</xdr:row>
      <xdr:rowOff>0</xdr:rowOff>
    </xdr:to>
    <xdr:cxnSp macro="">
      <xdr:nvCxnSpPr>
        <xdr:cNvPr id="25" name="Straight Connector 24"/>
        <xdr:cNvCxnSpPr/>
      </xdr:nvCxnSpPr>
      <xdr:spPr>
        <a:xfrm>
          <a:off x="1247775" y="13896975"/>
          <a:ext cx="3638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64</xdr:row>
      <xdr:rowOff>180975</xdr:rowOff>
    </xdr:from>
    <xdr:to>
      <xdr:col>2</xdr:col>
      <xdr:colOff>476250</xdr:colOff>
      <xdr:row>64</xdr:row>
      <xdr:rowOff>180977</xdr:rowOff>
    </xdr:to>
    <xdr:cxnSp macro="">
      <xdr:nvCxnSpPr>
        <xdr:cNvPr id="29" name="Straight Connector 28"/>
        <xdr:cNvCxnSpPr/>
      </xdr:nvCxnSpPr>
      <xdr:spPr>
        <a:xfrm flipV="1">
          <a:off x="1209675" y="12877800"/>
          <a:ext cx="504825" cy="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66</xdr:row>
      <xdr:rowOff>0</xdr:rowOff>
    </xdr:from>
    <xdr:to>
      <xdr:col>1</xdr:col>
      <xdr:colOff>447675</xdr:colOff>
      <xdr:row>66</xdr:row>
      <xdr:rowOff>0</xdr:rowOff>
    </xdr:to>
    <xdr:cxnSp macro="">
      <xdr:nvCxnSpPr>
        <xdr:cNvPr id="32" name="Straight Connector 31"/>
        <xdr:cNvCxnSpPr/>
      </xdr:nvCxnSpPr>
      <xdr:spPr>
        <a:xfrm>
          <a:off x="314325" y="12896850"/>
          <a:ext cx="762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63</xdr:row>
      <xdr:rowOff>0</xdr:rowOff>
    </xdr:from>
    <xdr:to>
      <xdr:col>8</xdr:col>
      <xdr:colOff>161925</xdr:colOff>
      <xdr:row>63</xdr:row>
      <xdr:rowOff>0</xdr:rowOff>
    </xdr:to>
    <xdr:cxnSp macro="">
      <xdr:nvCxnSpPr>
        <xdr:cNvPr id="39" name="Straight Connector 38"/>
        <xdr:cNvCxnSpPr/>
      </xdr:nvCxnSpPr>
      <xdr:spPr>
        <a:xfrm>
          <a:off x="4381500" y="12496800"/>
          <a:ext cx="676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65</xdr:row>
      <xdr:rowOff>9525</xdr:rowOff>
    </xdr:from>
    <xdr:to>
      <xdr:col>8</xdr:col>
      <xdr:colOff>161925</xdr:colOff>
      <xdr:row>65</xdr:row>
      <xdr:rowOff>9525</xdr:rowOff>
    </xdr:to>
    <xdr:cxnSp macro="">
      <xdr:nvCxnSpPr>
        <xdr:cNvPr id="40" name="Straight Connector 39"/>
        <xdr:cNvCxnSpPr/>
      </xdr:nvCxnSpPr>
      <xdr:spPr>
        <a:xfrm>
          <a:off x="4352925" y="12906375"/>
          <a:ext cx="7048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71</xdr:row>
      <xdr:rowOff>0</xdr:rowOff>
    </xdr:from>
    <xdr:to>
      <xdr:col>1</xdr:col>
      <xdr:colOff>371475</xdr:colOff>
      <xdr:row>71</xdr:row>
      <xdr:rowOff>9526</xdr:rowOff>
    </xdr:to>
    <xdr:cxnSp macro="">
      <xdr:nvCxnSpPr>
        <xdr:cNvPr id="42" name="Straight Connector 41"/>
        <xdr:cNvCxnSpPr/>
      </xdr:nvCxnSpPr>
      <xdr:spPr>
        <a:xfrm flipV="1">
          <a:off x="304800" y="13896975"/>
          <a:ext cx="695325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514349</xdr:colOff>
      <xdr:row>66</xdr:row>
      <xdr:rowOff>4</xdr:rowOff>
    </xdr:from>
    <xdr:to>
      <xdr:col>0</xdr:col>
      <xdr:colOff>514350</xdr:colOff>
      <xdr:row>71</xdr:row>
      <xdr:rowOff>1</xdr:rowOff>
    </xdr:to>
    <xdr:cxnSp macro="">
      <xdr:nvCxnSpPr>
        <xdr:cNvPr id="47" name="Straight Arrow Connector 46"/>
        <xdr:cNvCxnSpPr/>
      </xdr:nvCxnSpPr>
      <xdr:spPr>
        <a:xfrm rot="5400000">
          <a:off x="14289" y="13396914"/>
          <a:ext cx="1000122" cy="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570706</xdr:colOff>
      <xdr:row>64</xdr:row>
      <xdr:rowOff>134144</xdr:rowOff>
    </xdr:from>
    <xdr:to>
      <xdr:col>0</xdr:col>
      <xdr:colOff>572294</xdr:colOff>
      <xdr:row>65</xdr:row>
      <xdr:rowOff>181769</xdr:rowOff>
    </xdr:to>
    <xdr:cxnSp macro="">
      <xdr:nvCxnSpPr>
        <xdr:cNvPr id="50" name="Straight Arrow Connector 49"/>
        <xdr:cNvCxnSpPr/>
      </xdr:nvCxnSpPr>
      <xdr:spPr>
        <a:xfrm rot="5400000">
          <a:off x="447675" y="12753975"/>
          <a:ext cx="2476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64</xdr:row>
      <xdr:rowOff>133350</xdr:rowOff>
    </xdr:from>
    <xdr:to>
      <xdr:col>1</xdr:col>
      <xdr:colOff>0</xdr:colOff>
      <xdr:row>64</xdr:row>
      <xdr:rowOff>133351</xdr:rowOff>
    </xdr:to>
    <xdr:cxnSp macro="">
      <xdr:nvCxnSpPr>
        <xdr:cNvPr id="52" name="Straight Connector 51"/>
        <xdr:cNvCxnSpPr/>
      </xdr:nvCxnSpPr>
      <xdr:spPr>
        <a:xfrm flipV="1">
          <a:off x="571500" y="12630150"/>
          <a:ext cx="571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66</xdr:row>
      <xdr:rowOff>19050</xdr:rowOff>
    </xdr:from>
    <xdr:to>
      <xdr:col>3</xdr:col>
      <xdr:colOff>304801</xdr:colOff>
      <xdr:row>69</xdr:row>
      <xdr:rowOff>171450</xdr:rowOff>
    </xdr:to>
    <xdr:cxnSp macro="">
      <xdr:nvCxnSpPr>
        <xdr:cNvPr id="55" name="Straight Arrow Connector 54"/>
        <xdr:cNvCxnSpPr/>
      </xdr:nvCxnSpPr>
      <xdr:spPr>
        <a:xfrm rot="5400000">
          <a:off x="1771651" y="13487400"/>
          <a:ext cx="752475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66</xdr:row>
      <xdr:rowOff>47625</xdr:rowOff>
    </xdr:from>
    <xdr:to>
      <xdr:col>8</xdr:col>
      <xdr:colOff>295275</xdr:colOff>
      <xdr:row>66</xdr:row>
      <xdr:rowOff>57150</xdr:rowOff>
    </xdr:to>
    <xdr:cxnSp macro="">
      <xdr:nvCxnSpPr>
        <xdr:cNvPr id="57" name="Straight Connector 56"/>
        <xdr:cNvCxnSpPr/>
      </xdr:nvCxnSpPr>
      <xdr:spPr>
        <a:xfrm flipV="1">
          <a:off x="4495800" y="13144500"/>
          <a:ext cx="695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66</xdr:row>
      <xdr:rowOff>76199</xdr:rowOff>
    </xdr:from>
    <xdr:to>
      <xdr:col>7</xdr:col>
      <xdr:colOff>381000</xdr:colOff>
      <xdr:row>70</xdr:row>
      <xdr:rowOff>9524</xdr:rowOff>
    </xdr:to>
    <xdr:cxnSp macro="">
      <xdr:nvCxnSpPr>
        <xdr:cNvPr id="59" name="Straight Arrow Connector 58"/>
        <xdr:cNvCxnSpPr/>
      </xdr:nvCxnSpPr>
      <xdr:spPr>
        <a:xfrm rot="16200000" flipH="1">
          <a:off x="4295775" y="13535024"/>
          <a:ext cx="733425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62</xdr:row>
      <xdr:rowOff>38100</xdr:rowOff>
    </xdr:from>
    <xdr:to>
      <xdr:col>7</xdr:col>
      <xdr:colOff>495300</xdr:colOff>
      <xdr:row>62</xdr:row>
      <xdr:rowOff>190499</xdr:rowOff>
    </xdr:to>
    <xdr:sp macro="" textlink="">
      <xdr:nvSpPr>
        <xdr:cNvPr id="62" name="Flowchart: Merge 61"/>
        <xdr:cNvSpPr/>
      </xdr:nvSpPr>
      <xdr:spPr>
        <a:xfrm>
          <a:off x="4648200" y="12334875"/>
          <a:ext cx="133350" cy="15239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466724</xdr:colOff>
      <xdr:row>64</xdr:row>
      <xdr:rowOff>76203</xdr:rowOff>
    </xdr:from>
    <xdr:to>
      <xdr:col>7</xdr:col>
      <xdr:colOff>485778</xdr:colOff>
      <xdr:row>65</xdr:row>
      <xdr:rowOff>19050</xdr:rowOff>
    </xdr:to>
    <xdr:cxnSp macro="">
      <xdr:nvCxnSpPr>
        <xdr:cNvPr id="78" name="Straight Arrow Connector 77"/>
        <xdr:cNvCxnSpPr/>
      </xdr:nvCxnSpPr>
      <xdr:spPr>
        <a:xfrm rot="5400000">
          <a:off x="4691065" y="12834937"/>
          <a:ext cx="142872" cy="190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64</xdr:row>
      <xdr:rowOff>85725</xdr:rowOff>
    </xdr:from>
    <xdr:to>
      <xdr:col>8</xdr:col>
      <xdr:colOff>19050</xdr:colOff>
      <xdr:row>64</xdr:row>
      <xdr:rowOff>85725</xdr:rowOff>
    </xdr:to>
    <xdr:cxnSp macro="">
      <xdr:nvCxnSpPr>
        <xdr:cNvPr id="81" name="Straight Connector 80"/>
        <xdr:cNvCxnSpPr/>
      </xdr:nvCxnSpPr>
      <xdr:spPr>
        <a:xfrm>
          <a:off x="4781550" y="12782550"/>
          <a:ext cx="133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62</xdr:row>
      <xdr:rowOff>190500</xdr:rowOff>
    </xdr:from>
    <xdr:to>
      <xdr:col>7</xdr:col>
      <xdr:colOff>190500</xdr:colOff>
      <xdr:row>64</xdr:row>
      <xdr:rowOff>180978</xdr:rowOff>
    </xdr:to>
    <xdr:cxnSp macro="">
      <xdr:nvCxnSpPr>
        <xdr:cNvPr id="87" name="Straight Arrow Connector 86"/>
        <xdr:cNvCxnSpPr/>
      </xdr:nvCxnSpPr>
      <xdr:spPr>
        <a:xfrm rot="5400000">
          <a:off x="4271961" y="12673014"/>
          <a:ext cx="390528" cy="190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600076</xdr:colOff>
      <xdr:row>62</xdr:row>
      <xdr:rowOff>38101</xdr:rowOff>
    </xdr:from>
    <xdr:to>
      <xdr:col>6</xdr:col>
      <xdr:colOff>600077</xdr:colOff>
      <xdr:row>65</xdr:row>
      <xdr:rowOff>190503</xdr:rowOff>
    </xdr:to>
    <xdr:cxnSp macro="">
      <xdr:nvCxnSpPr>
        <xdr:cNvPr id="91" name="Straight Connector 90"/>
        <xdr:cNvCxnSpPr/>
      </xdr:nvCxnSpPr>
      <xdr:spPr>
        <a:xfrm rot="5400000">
          <a:off x="3900488" y="12711114"/>
          <a:ext cx="752477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82</xdr:row>
      <xdr:rowOff>0</xdr:rowOff>
    </xdr:from>
    <xdr:to>
      <xdr:col>7</xdr:col>
      <xdr:colOff>590550</xdr:colOff>
      <xdr:row>82</xdr:row>
      <xdr:rowOff>19050</xdr:rowOff>
    </xdr:to>
    <xdr:cxnSp macro="">
      <xdr:nvCxnSpPr>
        <xdr:cNvPr id="94" name="Straight Connector 93"/>
        <xdr:cNvCxnSpPr/>
      </xdr:nvCxnSpPr>
      <xdr:spPr>
        <a:xfrm flipV="1">
          <a:off x="1247775" y="16306800"/>
          <a:ext cx="36290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73</xdr:row>
      <xdr:rowOff>9525</xdr:rowOff>
    </xdr:from>
    <xdr:to>
      <xdr:col>5</xdr:col>
      <xdr:colOff>0</xdr:colOff>
      <xdr:row>82</xdr:row>
      <xdr:rowOff>9525</xdr:rowOff>
    </xdr:to>
    <xdr:cxnSp macro="">
      <xdr:nvCxnSpPr>
        <xdr:cNvPr id="96" name="Straight Connector 95"/>
        <xdr:cNvCxnSpPr/>
      </xdr:nvCxnSpPr>
      <xdr:spPr>
        <a:xfrm flipV="1">
          <a:off x="1247775" y="14516100"/>
          <a:ext cx="1819275" cy="1800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73</xdr:row>
      <xdr:rowOff>19050</xdr:rowOff>
    </xdr:from>
    <xdr:to>
      <xdr:col>8</xdr:col>
      <xdr:colOff>0</xdr:colOff>
      <xdr:row>82</xdr:row>
      <xdr:rowOff>19050</xdr:rowOff>
    </xdr:to>
    <xdr:cxnSp macro="">
      <xdr:nvCxnSpPr>
        <xdr:cNvPr id="98" name="Straight Connector 97"/>
        <xdr:cNvCxnSpPr/>
      </xdr:nvCxnSpPr>
      <xdr:spPr>
        <a:xfrm>
          <a:off x="3067050" y="14525625"/>
          <a:ext cx="1828800" cy="1800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71</xdr:row>
      <xdr:rowOff>152399</xdr:rowOff>
    </xdr:from>
    <xdr:to>
      <xdr:col>2</xdr:col>
      <xdr:colOff>1</xdr:colOff>
      <xdr:row>81</xdr:row>
      <xdr:rowOff>200024</xdr:rowOff>
    </xdr:to>
    <xdr:cxnSp macro="">
      <xdr:nvCxnSpPr>
        <xdr:cNvPr id="100" name="Straight Connector 99"/>
        <xdr:cNvCxnSpPr/>
      </xdr:nvCxnSpPr>
      <xdr:spPr>
        <a:xfrm rot="5400000">
          <a:off x="214313" y="15282862"/>
          <a:ext cx="2047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72</xdr:row>
      <xdr:rowOff>9525</xdr:rowOff>
    </xdr:from>
    <xdr:to>
      <xdr:col>8</xdr:col>
      <xdr:colOff>0</xdr:colOff>
      <xdr:row>81</xdr:row>
      <xdr:rowOff>171450</xdr:rowOff>
    </xdr:to>
    <xdr:cxnSp macro="">
      <xdr:nvCxnSpPr>
        <xdr:cNvPr id="102" name="Straight Connector 101"/>
        <xdr:cNvCxnSpPr/>
      </xdr:nvCxnSpPr>
      <xdr:spPr>
        <a:xfrm rot="5400000">
          <a:off x="3914775" y="15297150"/>
          <a:ext cx="1962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77</xdr:row>
      <xdr:rowOff>0</xdr:rowOff>
    </xdr:from>
    <xdr:to>
      <xdr:col>3</xdr:col>
      <xdr:colOff>400050</xdr:colOff>
      <xdr:row>77</xdr:row>
      <xdr:rowOff>0</xdr:rowOff>
    </xdr:to>
    <xdr:cxnSp macro="">
      <xdr:nvCxnSpPr>
        <xdr:cNvPr id="33" name="Straight Connector 32"/>
        <xdr:cNvCxnSpPr/>
      </xdr:nvCxnSpPr>
      <xdr:spPr>
        <a:xfrm>
          <a:off x="1238250" y="15306675"/>
          <a:ext cx="10096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77</xdr:row>
      <xdr:rowOff>9525</xdr:rowOff>
    </xdr:from>
    <xdr:to>
      <xdr:col>8</xdr:col>
      <xdr:colOff>0</xdr:colOff>
      <xdr:row>77</xdr:row>
      <xdr:rowOff>9525</xdr:rowOff>
    </xdr:to>
    <xdr:cxnSp macro="">
      <xdr:nvCxnSpPr>
        <xdr:cNvPr id="35" name="Straight Connector 34"/>
        <xdr:cNvCxnSpPr/>
      </xdr:nvCxnSpPr>
      <xdr:spPr>
        <a:xfrm>
          <a:off x="3867150" y="15316200"/>
          <a:ext cx="1028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409574</xdr:colOff>
      <xdr:row>77</xdr:row>
      <xdr:rowOff>19050</xdr:rowOff>
    </xdr:from>
    <xdr:to>
      <xdr:col>4</xdr:col>
      <xdr:colOff>190499</xdr:colOff>
      <xdr:row>81</xdr:row>
      <xdr:rowOff>190500</xdr:rowOff>
    </xdr:to>
    <xdr:cxnSp macro="">
      <xdr:nvCxnSpPr>
        <xdr:cNvPr id="37" name="Straight Connector 36"/>
        <xdr:cNvCxnSpPr/>
      </xdr:nvCxnSpPr>
      <xdr:spPr>
        <a:xfrm rot="16200000" flipH="1">
          <a:off x="1966912" y="15616237"/>
          <a:ext cx="971550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400051</xdr:colOff>
      <xdr:row>77</xdr:row>
      <xdr:rowOff>28574</xdr:rowOff>
    </xdr:from>
    <xdr:to>
      <xdr:col>3</xdr:col>
      <xdr:colOff>400051</xdr:colOff>
      <xdr:row>81</xdr:row>
      <xdr:rowOff>190499</xdr:rowOff>
    </xdr:to>
    <xdr:cxnSp macro="">
      <xdr:nvCxnSpPr>
        <xdr:cNvPr id="41" name="Straight Connector 40"/>
        <xdr:cNvCxnSpPr/>
      </xdr:nvCxnSpPr>
      <xdr:spPr>
        <a:xfrm rot="5400000">
          <a:off x="1766888" y="15816262"/>
          <a:ext cx="962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75</xdr:row>
      <xdr:rowOff>28575</xdr:rowOff>
    </xdr:from>
    <xdr:to>
      <xdr:col>4</xdr:col>
      <xdr:colOff>200025</xdr:colOff>
      <xdr:row>82</xdr:row>
      <xdr:rowOff>19050</xdr:rowOff>
    </xdr:to>
    <xdr:cxnSp macro="">
      <xdr:nvCxnSpPr>
        <xdr:cNvPr id="44" name="Straight Connector 43"/>
        <xdr:cNvCxnSpPr/>
      </xdr:nvCxnSpPr>
      <xdr:spPr>
        <a:xfrm rot="16200000" flipV="1">
          <a:off x="1957388" y="15625762"/>
          <a:ext cx="13906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75</xdr:row>
      <xdr:rowOff>57151</xdr:rowOff>
    </xdr:from>
    <xdr:to>
      <xdr:col>5</xdr:col>
      <xdr:colOff>447675</xdr:colOff>
      <xdr:row>82</xdr:row>
      <xdr:rowOff>1</xdr:rowOff>
    </xdr:to>
    <xdr:cxnSp macro="">
      <xdr:nvCxnSpPr>
        <xdr:cNvPr id="46" name="Straight Connector 45"/>
        <xdr:cNvCxnSpPr/>
      </xdr:nvCxnSpPr>
      <xdr:spPr>
        <a:xfrm rot="5400000" flipH="1" flipV="1">
          <a:off x="2838450" y="15630526"/>
          <a:ext cx="13430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447676</xdr:colOff>
      <xdr:row>77</xdr:row>
      <xdr:rowOff>9524</xdr:rowOff>
    </xdr:from>
    <xdr:to>
      <xdr:col>6</xdr:col>
      <xdr:colOff>200026</xdr:colOff>
      <xdr:row>81</xdr:row>
      <xdr:rowOff>171449</xdr:rowOff>
    </xdr:to>
    <xdr:cxnSp macro="">
      <xdr:nvCxnSpPr>
        <xdr:cNvPr id="51" name="Straight Connector 50"/>
        <xdr:cNvCxnSpPr/>
      </xdr:nvCxnSpPr>
      <xdr:spPr>
        <a:xfrm rot="5400000">
          <a:off x="3214688" y="15616237"/>
          <a:ext cx="962025" cy="36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200029</xdr:colOff>
      <xdr:row>77</xdr:row>
      <xdr:rowOff>19048</xdr:rowOff>
    </xdr:from>
    <xdr:to>
      <xdr:col>6</xdr:col>
      <xdr:colOff>209551</xdr:colOff>
      <xdr:row>81</xdr:row>
      <xdr:rowOff>190499</xdr:rowOff>
    </xdr:to>
    <xdr:cxnSp macro="">
      <xdr:nvCxnSpPr>
        <xdr:cNvPr id="54" name="Straight Connector 53"/>
        <xdr:cNvCxnSpPr/>
      </xdr:nvCxnSpPr>
      <xdr:spPr>
        <a:xfrm rot="16200000" flipH="1">
          <a:off x="3395664" y="15806738"/>
          <a:ext cx="971551" cy="95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75</xdr:row>
      <xdr:rowOff>28575</xdr:rowOff>
    </xdr:from>
    <xdr:to>
      <xdr:col>5</xdr:col>
      <xdr:colOff>438150</xdr:colOff>
      <xdr:row>75</xdr:row>
      <xdr:rowOff>57150</xdr:rowOff>
    </xdr:to>
    <xdr:cxnSp macro="">
      <xdr:nvCxnSpPr>
        <xdr:cNvPr id="63" name="Straight Connector 62"/>
        <xdr:cNvCxnSpPr/>
      </xdr:nvCxnSpPr>
      <xdr:spPr>
        <a:xfrm>
          <a:off x="2600325" y="14935200"/>
          <a:ext cx="9048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73</xdr:row>
      <xdr:rowOff>28575</xdr:rowOff>
    </xdr:from>
    <xdr:to>
      <xdr:col>5</xdr:col>
      <xdr:colOff>9525</xdr:colOff>
      <xdr:row>75</xdr:row>
      <xdr:rowOff>47625</xdr:rowOff>
    </xdr:to>
    <xdr:cxnSp macro="">
      <xdr:nvCxnSpPr>
        <xdr:cNvPr id="65" name="Straight Arrow Connector 64"/>
        <xdr:cNvCxnSpPr/>
      </xdr:nvCxnSpPr>
      <xdr:spPr>
        <a:xfrm rot="16200000" flipH="1">
          <a:off x="2857500" y="14735175"/>
          <a:ext cx="419100" cy="190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400051</xdr:colOff>
      <xdr:row>82</xdr:row>
      <xdr:rowOff>123822</xdr:rowOff>
    </xdr:from>
    <xdr:to>
      <xdr:col>3</xdr:col>
      <xdr:colOff>400053</xdr:colOff>
      <xdr:row>84</xdr:row>
      <xdr:rowOff>66677</xdr:rowOff>
    </xdr:to>
    <xdr:cxnSp macro="">
      <xdr:nvCxnSpPr>
        <xdr:cNvPr id="67" name="Straight Connector 66"/>
        <xdr:cNvCxnSpPr/>
      </xdr:nvCxnSpPr>
      <xdr:spPr>
        <a:xfrm rot="5400000">
          <a:off x="2076449" y="16602074"/>
          <a:ext cx="342905" cy="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200023</xdr:colOff>
      <xdr:row>82</xdr:row>
      <xdr:rowOff>76200</xdr:rowOff>
    </xdr:from>
    <xdr:to>
      <xdr:col>4</xdr:col>
      <xdr:colOff>200025</xdr:colOff>
      <xdr:row>86</xdr:row>
      <xdr:rowOff>47625</xdr:rowOff>
    </xdr:to>
    <xdr:cxnSp macro="">
      <xdr:nvCxnSpPr>
        <xdr:cNvPr id="72" name="Straight Connector 71"/>
        <xdr:cNvCxnSpPr/>
      </xdr:nvCxnSpPr>
      <xdr:spPr>
        <a:xfrm rot="16200000" flipH="1">
          <a:off x="2371724" y="16668749"/>
          <a:ext cx="571500" cy="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209551</xdr:colOff>
      <xdr:row>82</xdr:row>
      <xdr:rowOff>85724</xdr:rowOff>
    </xdr:from>
    <xdr:to>
      <xdr:col>6</xdr:col>
      <xdr:colOff>209553</xdr:colOff>
      <xdr:row>84</xdr:row>
      <xdr:rowOff>38099</xdr:rowOff>
    </xdr:to>
    <xdr:cxnSp macro="">
      <xdr:nvCxnSpPr>
        <xdr:cNvPr id="79" name="Straight Connector 78"/>
        <xdr:cNvCxnSpPr/>
      </xdr:nvCxnSpPr>
      <xdr:spPr>
        <a:xfrm rot="5400000">
          <a:off x="3709989" y="16568736"/>
          <a:ext cx="352425" cy="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82</xdr:row>
      <xdr:rowOff>114299</xdr:rowOff>
    </xdr:from>
    <xdr:to>
      <xdr:col>5</xdr:col>
      <xdr:colOff>438153</xdr:colOff>
      <xdr:row>86</xdr:row>
      <xdr:rowOff>47624</xdr:rowOff>
    </xdr:to>
    <xdr:cxnSp macro="">
      <xdr:nvCxnSpPr>
        <xdr:cNvPr id="83" name="Straight Connector 82"/>
        <xdr:cNvCxnSpPr/>
      </xdr:nvCxnSpPr>
      <xdr:spPr>
        <a:xfrm rot="5400000">
          <a:off x="3138489" y="16787811"/>
          <a:ext cx="733425" cy="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600077</xdr:colOff>
      <xdr:row>82</xdr:row>
      <xdr:rowOff>123823</xdr:rowOff>
    </xdr:from>
    <xdr:to>
      <xdr:col>8</xdr:col>
      <xdr:colOff>1</xdr:colOff>
      <xdr:row>86</xdr:row>
      <xdr:rowOff>114302</xdr:rowOff>
    </xdr:to>
    <xdr:cxnSp macro="">
      <xdr:nvCxnSpPr>
        <xdr:cNvPr id="86" name="Straight Connector 85"/>
        <xdr:cNvCxnSpPr/>
      </xdr:nvCxnSpPr>
      <xdr:spPr>
        <a:xfrm rot="16200000" flipH="1">
          <a:off x="4495799" y="16821151"/>
          <a:ext cx="790579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82</xdr:row>
      <xdr:rowOff>114299</xdr:rowOff>
    </xdr:from>
    <xdr:to>
      <xdr:col>2</xdr:col>
      <xdr:colOff>9526</xdr:colOff>
      <xdr:row>86</xdr:row>
      <xdr:rowOff>38103</xdr:rowOff>
    </xdr:to>
    <xdr:cxnSp macro="">
      <xdr:nvCxnSpPr>
        <xdr:cNvPr id="90" name="Straight Connector 89"/>
        <xdr:cNvCxnSpPr/>
      </xdr:nvCxnSpPr>
      <xdr:spPr>
        <a:xfrm rot="5400000">
          <a:off x="881061" y="16778288"/>
          <a:ext cx="723904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83</xdr:row>
      <xdr:rowOff>95250</xdr:rowOff>
    </xdr:from>
    <xdr:to>
      <xdr:col>3</xdr:col>
      <xdr:colOff>419100</xdr:colOff>
      <xdr:row>83</xdr:row>
      <xdr:rowOff>114300</xdr:rowOff>
    </xdr:to>
    <xdr:cxnSp macro="">
      <xdr:nvCxnSpPr>
        <xdr:cNvPr id="95" name="Straight Arrow Connector 94"/>
        <xdr:cNvCxnSpPr/>
      </xdr:nvCxnSpPr>
      <xdr:spPr>
        <a:xfrm>
          <a:off x="1247775" y="16602075"/>
          <a:ext cx="1019175" cy="190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85</xdr:row>
      <xdr:rowOff>0</xdr:rowOff>
    </xdr:from>
    <xdr:to>
      <xdr:col>4</xdr:col>
      <xdr:colOff>180975</xdr:colOff>
      <xdr:row>85</xdr:row>
      <xdr:rowOff>1588</xdr:rowOff>
    </xdr:to>
    <xdr:cxnSp macro="">
      <xdr:nvCxnSpPr>
        <xdr:cNvPr id="99" name="Straight Arrow Connector 98"/>
        <xdr:cNvCxnSpPr/>
      </xdr:nvCxnSpPr>
      <xdr:spPr>
        <a:xfrm>
          <a:off x="1238250" y="16906875"/>
          <a:ext cx="140017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84</xdr:row>
      <xdr:rowOff>0</xdr:rowOff>
    </xdr:from>
    <xdr:to>
      <xdr:col>5</xdr:col>
      <xdr:colOff>438150</xdr:colOff>
      <xdr:row>84</xdr:row>
      <xdr:rowOff>1588</xdr:rowOff>
    </xdr:to>
    <xdr:cxnSp macro="">
      <xdr:nvCxnSpPr>
        <xdr:cNvPr id="103" name="Straight Arrow Connector 102"/>
        <xdr:cNvCxnSpPr/>
      </xdr:nvCxnSpPr>
      <xdr:spPr>
        <a:xfrm>
          <a:off x="2667000" y="16706850"/>
          <a:ext cx="8382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83</xdr:row>
      <xdr:rowOff>85725</xdr:rowOff>
    </xdr:from>
    <xdr:to>
      <xdr:col>7</xdr:col>
      <xdr:colOff>600075</xdr:colOff>
      <xdr:row>83</xdr:row>
      <xdr:rowOff>87313</xdr:rowOff>
    </xdr:to>
    <xdr:cxnSp macro="">
      <xdr:nvCxnSpPr>
        <xdr:cNvPr id="105" name="Straight Arrow Connector 104"/>
        <xdr:cNvCxnSpPr/>
      </xdr:nvCxnSpPr>
      <xdr:spPr>
        <a:xfrm>
          <a:off x="3895725" y="16592550"/>
          <a:ext cx="99060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85</xdr:row>
      <xdr:rowOff>0</xdr:rowOff>
    </xdr:from>
    <xdr:to>
      <xdr:col>7</xdr:col>
      <xdr:colOff>590550</xdr:colOff>
      <xdr:row>85</xdr:row>
      <xdr:rowOff>9525</xdr:rowOff>
    </xdr:to>
    <xdr:cxnSp macro="">
      <xdr:nvCxnSpPr>
        <xdr:cNvPr id="109" name="Straight Arrow Connector 108"/>
        <xdr:cNvCxnSpPr/>
      </xdr:nvCxnSpPr>
      <xdr:spPr>
        <a:xfrm>
          <a:off x="3505200" y="16906875"/>
          <a:ext cx="13716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62</xdr:row>
      <xdr:rowOff>9525</xdr:rowOff>
    </xdr:from>
    <xdr:to>
      <xdr:col>3</xdr:col>
      <xdr:colOff>114300</xdr:colOff>
      <xdr:row>62</xdr:row>
      <xdr:rowOff>28575</xdr:rowOff>
    </xdr:to>
    <xdr:cxnSp macro="">
      <xdr:nvCxnSpPr>
        <xdr:cNvPr id="111" name="Straight Connector 110"/>
        <xdr:cNvCxnSpPr/>
      </xdr:nvCxnSpPr>
      <xdr:spPr>
        <a:xfrm>
          <a:off x="1847850" y="12306300"/>
          <a:ext cx="1143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61</xdr:row>
      <xdr:rowOff>190500</xdr:rowOff>
    </xdr:from>
    <xdr:to>
      <xdr:col>6</xdr:col>
      <xdr:colOff>581025</xdr:colOff>
      <xdr:row>62</xdr:row>
      <xdr:rowOff>66675</xdr:rowOff>
    </xdr:to>
    <xdr:cxnSp macro="">
      <xdr:nvCxnSpPr>
        <xdr:cNvPr id="113" name="Straight Connector 112"/>
        <xdr:cNvCxnSpPr/>
      </xdr:nvCxnSpPr>
      <xdr:spPr>
        <a:xfrm>
          <a:off x="4162425" y="12287250"/>
          <a:ext cx="95250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259080</xdr:colOff>
          <xdr:row>40</xdr:row>
          <xdr:rowOff>68580</xdr:rowOff>
        </xdr:from>
        <xdr:to>
          <xdr:col>9</xdr:col>
          <xdr:colOff>45720</xdr:colOff>
          <xdr:row>53</xdr:row>
          <xdr:rowOff>38100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"/>
  <sheetViews>
    <sheetView tabSelected="1" topLeftCell="A45" zoomScale="130" zoomScaleNormal="130" workbookViewId="0">
      <selection activeCell="K49" sqref="K49"/>
    </sheetView>
  </sheetViews>
  <sheetFormatPr defaultRowHeight="13.2" x14ac:dyDescent="0.25"/>
  <cols>
    <col min="1" max="1" width="9.44140625" customWidth="1"/>
    <col min="9" max="9" width="10.5546875" bestFit="1" customWidth="1"/>
    <col min="12" max="12" width="10.109375" bestFit="1" customWidth="1"/>
    <col min="14" max="14" width="10.109375" bestFit="1" customWidth="1"/>
  </cols>
  <sheetData>
    <row r="1" spans="1:15" ht="16.5" customHeight="1" x14ac:dyDescent="0.35">
      <c r="A1" s="162" t="s">
        <v>0</v>
      </c>
      <c r="B1" s="1"/>
      <c r="N1" s="50"/>
    </row>
    <row r="2" spans="1:15" ht="12.75" customHeight="1" x14ac:dyDescent="0.35">
      <c r="A2" s="1"/>
      <c r="B2" s="1"/>
      <c r="F2" s="163" t="s">
        <v>247</v>
      </c>
      <c r="N2" s="50"/>
    </row>
    <row r="3" spans="1:15" ht="16.5" customHeight="1" x14ac:dyDescent="0.35">
      <c r="A3" s="54" t="s">
        <v>82</v>
      </c>
      <c r="B3" s="1"/>
      <c r="D3" t="s">
        <v>233</v>
      </c>
      <c r="N3" s="50"/>
    </row>
    <row r="4" spans="1:15" ht="14.25" customHeight="1" x14ac:dyDescent="0.3">
      <c r="A4" s="54" t="s">
        <v>83</v>
      </c>
      <c r="B4" t="s">
        <v>232</v>
      </c>
      <c r="D4" t="s">
        <v>84</v>
      </c>
      <c r="E4" t="s">
        <v>232</v>
      </c>
      <c r="L4" s="49"/>
      <c r="M4" s="50"/>
      <c r="N4" s="49"/>
      <c r="O4" s="50"/>
    </row>
    <row r="5" spans="1:15" ht="15.6" x14ac:dyDescent="0.3">
      <c r="A5" s="55" t="s">
        <v>85</v>
      </c>
      <c r="D5" t="s">
        <v>253</v>
      </c>
      <c r="G5" s="53"/>
      <c r="L5" s="49"/>
      <c r="M5" s="50"/>
      <c r="N5" s="49"/>
    </row>
    <row r="6" spans="1:15" ht="13.5" customHeight="1" x14ac:dyDescent="0.3">
      <c r="A6" s="55"/>
      <c r="G6" s="53"/>
      <c r="L6" s="49"/>
      <c r="M6" s="50"/>
      <c r="N6" s="49"/>
    </row>
    <row r="7" spans="1:15" x14ac:dyDescent="0.25">
      <c r="A7" s="56" t="s">
        <v>86</v>
      </c>
      <c r="B7" s="57"/>
      <c r="C7" s="57"/>
      <c r="D7" s="57"/>
      <c r="E7" s="57"/>
      <c r="F7" s="57"/>
      <c r="G7" s="57"/>
      <c r="H7" s="57"/>
      <c r="L7" s="49"/>
      <c r="M7" s="50"/>
      <c r="N7" s="49"/>
    </row>
    <row r="8" spans="1:15" x14ac:dyDescent="0.25">
      <c r="C8" t="s">
        <v>95</v>
      </c>
      <c r="E8" s="58" t="s">
        <v>87</v>
      </c>
      <c r="F8" s="59">
        <v>1</v>
      </c>
      <c r="G8" s="57" t="s">
        <v>88</v>
      </c>
      <c r="L8" s="49"/>
      <c r="M8" s="50"/>
      <c r="N8" s="49"/>
    </row>
    <row r="9" spans="1:15" ht="15.6" x14ac:dyDescent="0.35">
      <c r="C9" t="s">
        <v>96</v>
      </c>
      <c r="E9" s="61" t="s">
        <v>91</v>
      </c>
      <c r="F9" s="62">
        <v>1.5</v>
      </c>
      <c r="G9" s="63" t="s">
        <v>81</v>
      </c>
      <c r="H9" s="3">
        <f>F9*3.28</f>
        <v>4.92</v>
      </c>
      <c r="I9" t="s">
        <v>147</v>
      </c>
      <c r="L9" s="49"/>
      <c r="M9" s="50"/>
      <c r="N9" s="49"/>
    </row>
    <row r="10" spans="1:15" ht="15.6" x14ac:dyDescent="0.35">
      <c r="C10" t="s">
        <v>97</v>
      </c>
      <c r="E10" s="61" t="s">
        <v>93</v>
      </c>
      <c r="F10" s="62">
        <v>1.8</v>
      </c>
      <c r="G10" s="65" t="s">
        <v>81</v>
      </c>
      <c r="H10" s="3">
        <f t="shared" ref="H10:H11" si="0">F10*3.28</f>
        <v>5.9039999999999999</v>
      </c>
      <c r="I10" t="s">
        <v>147</v>
      </c>
      <c r="L10" s="49"/>
      <c r="M10" s="50"/>
      <c r="N10" s="49"/>
    </row>
    <row r="11" spans="1:15" ht="15.6" x14ac:dyDescent="0.35">
      <c r="C11" s="58" t="s">
        <v>104</v>
      </c>
      <c r="E11" s="68" t="s">
        <v>98</v>
      </c>
      <c r="F11" s="66">
        <v>-0.6</v>
      </c>
      <c r="G11" s="57" t="s">
        <v>80</v>
      </c>
      <c r="H11" s="3">
        <f t="shared" si="0"/>
        <v>-1.9679999999999997</v>
      </c>
      <c r="I11" t="s">
        <v>147</v>
      </c>
      <c r="L11" s="49"/>
      <c r="M11" s="50"/>
      <c r="N11" s="49"/>
    </row>
    <row r="12" spans="1:15" x14ac:dyDescent="0.25">
      <c r="C12" s="58"/>
      <c r="E12" s="68"/>
      <c r="F12" s="66"/>
      <c r="G12" s="57"/>
      <c r="L12" s="49"/>
      <c r="M12" s="50"/>
      <c r="N12" s="49"/>
    </row>
    <row r="13" spans="1:15" x14ac:dyDescent="0.25">
      <c r="B13" t="s">
        <v>234</v>
      </c>
      <c r="L13" s="49"/>
      <c r="M13" s="50"/>
      <c r="N13" s="49"/>
    </row>
    <row r="14" spans="1:15" x14ac:dyDescent="0.25">
      <c r="B14" t="s">
        <v>235</v>
      </c>
      <c r="L14" s="49"/>
      <c r="M14" s="50"/>
      <c r="N14" s="49"/>
    </row>
    <row r="15" spans="1:15" x14ac:dyDescent="0.25">
      <c r="B15" t="s">
        <v>185</v>
      </c>
      <c r="L15" s="49"/>
      <c r="M15" s="50"/>
      <c r="N15" s="49"/>
    </row>
    <row r="16" spans="1:15" ht="14.4" x14ac:dyDescent="0.3">
      <c r="B16" t="s">
        <v>175</v>
      </c>
      <c r="F16" s="150">
        <v>3.54</v>
      </c>
      <c r="G16" s="2" t="s">
        <v>176</v>
      </c>
      <c r="L16" s="94"/>
      <c r="M16" s="95"/>
      <c r="N16" s="95"/>
    </row>
    <row r="17" spans="1:14" ht="14.4" x14ac:dyDescent="0.3">
      <c r="F17" s="150">
        <v>2.52</v>
      </c>
      <c r="G17" s="2" t="s">
        <v>89</v>
      </c>
      <c r="L17" s="94"/>
      <c r="M17" s="95"/>
      <c r="N17" s="95"/>
    </row>
    <row r="18" spans="1:14" ht="14.4" x14ac:dyDescent="0.3">
      <c r="F18" s="150">
        <v>1.95</v>
      </c>
      <c r="G18" s="2" t="s">
        <v>177</v>
      </c>
      <c r="L18" s="94"/>
      <c r="M18" s="95"/>
      <c r="N18" s="95"/>
    </row>
    <row r="19" spans="1:14" x14ac:dyDescent="0.25">
      <c r="B19" t="s">
        <v>178</v>
      </c>
      <c r="F19" s="3">
        <v>0.56999999999999995</v>
      </c>
      <c r="G19" s="2" t="s">
        <v>176</v>
      </c>
      <c r="L19" s="49"/>
      <c r="M19" s="50"/>
      <c r="N19" s="49"/>
    </row>
    <row r="20" spans="1:14" x14ac:dyDescent="0.25">
      <c r="F20" s="3">
        <v>-0.11</v>
      </c>
      <c r="G20" s="2" t="s">
        <v>89</v>
      </c>
      <c r="L20" s="49"/>
      <c r="M20" s="50"/>
      <c r="N20" s="49"/>
    </row>
    <row r="21" spans="1:14" x14ac:dyDescent="0.25">
      <c r="F21" s="3">
        <v>-1.04</v>
      </c>
      <c r="G21" s="2" t="s">
        <v>177</v>
      </c>
      <c r="L21" s="49"/>
      <c r="M21" s="50"/>
      <c r="N21" s="49"/>
    </row>
    <row r="22" spans="1:14" x14ac:dyDescent="0.25">
      <c r="B22" s="50" t="s">
        <v>248</v>
      </c>
      <c r="F22" s="3">
        <v>2.89</v>
      </c>
      <c r="G22" s="2" t="s">
        <v>176</v>
      </c>
      <c r="H22" s="3"/>
      <c r="L22" s="49"/>
      <c r="M22" s="50"/>
      <c r="N22" s="49"/>
    </row>
    <row r="23" spans="1:14" x14ac:dyDescent="0.25">
      <c r="A23" s="57"/>
      <c r="F23" s="3">
        <v>1.85</v>
      </c>
      <c r="G23" s="2" t="s">
        <v>89</v>
      </c>
      <c r="H23" s="3"/>
      <c r="L23" s="49"/>
      <c r="M23" s="50"/>
      <c r="N23" s="49"/>
    </row>
    <row r="24" spans="1:14" x14ac:dyDescent="0.25">
      <c r="A24" s="57"/>
      <c r="F24" s="3">
        <v>1.29</v>
      </c>
      <c r="G24" s="2" t="s">
        <v>177</v>
      </c>
      <c r="H24" s="3"/>
      <c r="L24" s="49"/>
      <c r="M24" s="50"/>
      <c r="N24" s="49"/>
    </row>
    <row r="25" spans="1:14" x14ac:dyDescent="0.25">
      <c r="A25" s="57"/>
      <c r="B25" s="50" t="s">
        <v>249</v>
      </c>
      <c r="F25" s="3">
        <v>0.13</v>
      </c>
      <c r="G25" s="2" t="s">
        <v>176</v>
      </c>
      <c r="H25" s="3"/>
      <c r="L25" s="49"/>
      <c r="M25" s="50"/>
      <c r="N25" s="49"/>
    </row>
    <row r="26" spans="1:14" x14ac:dyDescent="0.25">
      <c r="F26" s="3">
        <v>-0.42</v>
      </c>
      <c r="G26" s="2" t="s">
        <v>89</v>
      </c>
      <c r="H26" s="3"/>
      <c r="L26" s="49"/>
      <c r="M26" s="50"/>
      <c r="N26" s="49"/>
    </row>
    <row r="27" spans="1:14" x14ac:dyDescent="0.25">
      <c r="F27" s="3">
        <v>-0.88</v>
      </c>
      <c r="G27" s="2" t="s">
        <v>177</v>
      </c>
      <c r="H27" s="3"/>
      <c r="L27" s="49"/>
      <c r="M27" s="50"/>
      <c r="N27" s="49"/>
    </row>
    <row r="28" spans="1:14" x14ac:dyDescent="0.25">
      <c r="A28" s="57"/>
      <c r="L28" s="49"/>
      <c r="M28" s="50"/>
      <c r="N28" s="49"/>
    </row>
    <row r="29" spans="1:14" x14ac:dyDescent="0.25">
      <c r="A29" s="57"/>
      <c r="L29" s="49"/>
      <c r="M29" s="50"/>
      <c r="N29" s="49"/>
    </row>
    <row r="30" spans="1:14" x14ac:dyDescent="0.25">
      <c r="A30" s="57"/>
      <c r="L30" s="49"/>
      <c r="M30" s="50"/>
      <c r="N30" s="49"/>
    </row>
    <row r="31" spans="1:14" x14ac:dyDescent="0.25">
      <c r="L31" s="49"/>
      <c r="M31" s="50"/>
      <c r="N31" s="49"/>
    </row>
    <row r="32" spans="1:14" x14ac:dyDescent="0.25">
      <c r="A32" s="67"/>
      <c r="B32" t="s">
        <v>110</v>
      </c>
      <c r="C32" s="58"/>
      <c r="E32" s="68"/>
      <c r="F32" s="151">
        <v>5280</v>
      </c>
      <c r="G32" s="57" t="s">
        <v>107</v>
      </c>
      <c r="L32" s="49"/>
      <c r="M32" s="50"/>
      <c r="N32" s="49"/>
    </row>
    <row r="33" spans="1:14" x14ac:dyDescent="0.25">
      <c r="A33" s="67"/>
      <c r="B33" s="70" t="s">
        <v>108</v>
      </c>
      <c r="E33" s="68"/>
      <c r="F33" s="151">
        <v>350</v>
      </c>
      <c r="G33" s="57" t="s">
        <v>107</v>
      </c>
      <c r="L33" s="49"/>
      <c r="M33" s="50"/>
      <c r="N33" s="49"/>
    </row>
    <row r="34" spans="1:14" x14ac:dyDescent="0.25">
      <c r="A34" s="67"/>
      <c r="B34" t="s">
        <v>109</v>
      </c>
      <c r="C34" s="58"/>
      <c r="E34" s="68"/>
      <c r="F34" s="161">
        <v>5.3</v>
      </c>
      <c r="G34" s="57" t="s">
        <v>80</v>
      </c>
      <c r="L34" s="49"/>
      <c r="M34" s="50"/>
      <c r="N34" s="49"/>
    </row>
    <row r="35" spans="1:14" x14ac:dyDescent="0.25">
      <c r="A35" s="67"/>
      <c r="B35" s="58"/>
      <c r="D35" s="68"/>
      <c r="E35" s="66"/>
      <c r="F35" s="57"/>
      <c r="L35" s="49"/>
      <c r="M35" s="50"/>
      <c r="N35" s="49"/>
    </row>
    <row r="36" spans="1:14" x14ac:dyDescent="0.25">
      <c r="A36" s="67"/>
      <c r="B36" s="70" t="s">
        <v>94</v>
      </c>
      <c r="D36" s="68" t="s">
        <v>101</v>
      </c>
      <c r="E36" s="66" t="s">
        <v>99</v>
      </c>
      <c r="F36" s="72">
        <f>F16</f>
        <v>3.54</v>
      </c>
      <c r="G36" s="57" t="s">
        <v>80</v>
      </c>
      <c r="H36" t="s">
        <v>106</v>
      </c>
      <c r="L36" s="49"/>
      <c r="M36" s="50"/>
      <c r="N36" s="49"/>
    </row>
    <row r="37" spans="1:14" x14ac:dyDescent="0.25">
      <c r="A37" s="67"/>
      <c r="B37" s="70"/>
      <c r="D37" s="68" t="s">
        <v>89</v>
      </c>
      <c r="E37" s="66" t="s">
        <v>99</v>
      </c>
      <c r="F37" s="72">
        <v>2.52</v>
      </c>
      <c r="G37" s="71" t="s">
        <v>80</v>
      </c>
      <c r="L37" s="49"/>
      <c r="M37" s="50"/>
      <c r="N37" s="49"/>
    </row>
    <row r="38" spans="1:14" x14ac:dyDescent="0.25">
      <c r="A38" s="67"/>
      <c r="D38" s="68" t="s">
        <v>101</v>
      </c>
      <c r="E38" s="66" t="s">
        <v>105</v>
      </c>
      <c r="F38" s="75">
        <f>F19</f>
        <v>0.56999999999999995</v>
      </c>
      <c r="G38" t="s">
        <v>80</v>
      </c>
      <c r="L38" s="49"/>
      <c r="M38" s="50"/>
      <c r="N38" s="49"/>
    </row>
    <row r="39" spans="1:14" x14ac:dyDescent="0.25">
      <c r="A39" s="67"/>
      <c r="D39" s="68" t="s">
        <v>89</v>
      </c>
      <c r="E39" s="66" t="s">
        <v>105</v>
      </c>
      <c r="F39" s="75">
        <v>-0.11</v>
      </c>
      <c r="G39" s="165" t="s">
        <v>80</v>
      </c>
      <c r="L39" s="49"/>
      <c r="M39" s="50"/>
      <c r="N39" s="49"/>
    </row>
    <row r="40" spans="1:14" x14ac:dyDescent="0.25">
      <c r="A40" s="67"/>
      <c r="B40" s="57"/>
      <c r="C40" s="57"/>
      <c r="D40" s="37" t="s">
        <v>102</v>
      </c>
      <c r="E40" s="66" t="s">
        <v>105</v>
      </c>
      <c r="F40" s="74">
        <f>F21</f>
        <v>-1.04</v>
      </c>
      <c r="G40" t="s">
        <v>80</v>
      </c>
      <c r="L40" s="49"/>
      <c r="M40" s="50"/>
      <c r="N40" s="49"/>
    </row>
    <row r="41" spans="1:14" x14ac:dyDescent="0.25">
      <c r="A41" s="67"/>
      <c r="B41" s="57" t="s">
        <v>245</v>
      </c>
      <c r="C41" s="57"/>
      <c r="D41" s="68" t="s">
        <v>112</v>
      </c>
      <c r="E41" s="2" t="s">
        <v>100</v>
      </c>
      <c r="F41" s="74">
        <f>F22</f>
        <v>2.89</v>
      </c>
      <c r="G41" t="s">
        <v>80</v>
      </c>
      <c r="H41" t="s">
        <v>103</v>
      </c>
      <c r="L41" s="49"/>
      <c r="M41" s="50"/>
      <c r="N41" s="49"/>
    </row>
    <row r="42" spans="1:14" x14ac:dyDescent="0.25">
      <c r="A42" s="67"/>
      <c r="B42" s="71"/>
      <c r="C42" s="57"/>
      <c r="D42" s="68" t="s">
        <v>102</v>
      </c>
      <c r="E42" s="2" t="s">
        <v>90</v>
      </c>
      <c r="F42" s="74">
        <f>F24</f>
        <v>1.29</v>
      </c>
      <c r="G42" t="s">
        <v>80</v>
      </c>
      <c r="L42" s="49"/>
      <c r="M42" s="50"/>
      <c r="N42" s="49"/>
    </row>
    <row r="43" spans="1:14" ht="15.6" x14ac:dyDescent="0.3">
      <c r="A43" s="55"/>
      <c r="B43" s="69"/>
      <c r="D43" s="152" t="s">
        <v>89</v>
      </c>
      <c r="E43" s="72" t="s">
        <v>90</v>
      </c>
      <c r="F43" s="74">
        <f>F23</f>
        <v>1.85</v>
      </c>
      <c r="G43" s="71" t="s">
        <v>80</v>
      </c>
      <c r="L43" s="49"/>
      <c r="M43" s="50"/>
      <c r="N43" s="49"/>
    </row>
    <row r="44" spans="1:14" ht="15.6" x14ac:dyDescent="0.3">
      <c r="A44" s="55"/>
      <c r="B44" s="50" t="s">
        <v>246</v>
      </c>
      <c r="D44" s="58" t="s">
        <v>89</v>
      </c>
      <c r="E44" s="73" t="s">
        <v>92</v>
      </c>
      <c r="F44" s="74">
        <f>F26</f>
        <v>-0.42</v>
      </c>
      <c r="G44" s="71" t="s">
        <v>80</v>
      </c>
      <c r="H44" s="57"/>
      <c r="L44" s="49"/>
      <c r="M44" s="50"/>
      <c r="N44" s="49"/>
    </row>
    <row r="45" spans="1:14" ht="15.6" x14ac:dyDescent="0.3">
      <c r="A45" s="55"/>
      <c r="B45" s="71"/>
      <c r="D45" s="58" t="s">
        <v>102</v>
      </c>
      <c r="E45" t="s">
        <v>105</v>
      </c>
      <c r="F45" s="74">
        <f>F27</f>
        <v>-0.88</v>
      </c>
      <c r="G45" t="s">
        <v>80</v>
      </c>
      <c r="L45" s="49"/>
      <c r="M45" s="50"/>
      <c r="N45" s="49"/>
    </row>
    <row r="46" spans="1:14" ht="15.6" x14ac:dyDescent="0.3">
      <c r="A46" s="55"/>
      <c r="B46" s="71"/>
      <c r="D46" s="58"/>
      <c r="F46" s="74"/>
      <c r="L46" s="49"/>
      <c r="M46" s="50"/>
      <c r="N46" s="49"/>
    </row>
    <row r="47" spans="1:14" ht="15.6" x14ac:dyDescent="0.3">
      <c r="A47" s="55"/>
      <c r="B47" s="50" t="s">
        <v>244</v>
      </c>
      <c r="F47" s="74">
        <v>1.8</v>
      </c>
      <c r="G47" s="50" t="s">
        <v>80</v>
      </c>
      <c r="H47" s="71"/>
      <c r="L47" s="49"/>
      <c r="M47" s="50"/>
      <c r="N47" s="49"/>
    </row>
    <row r="48" spans="1:14" ht="15.6" x14ac:dyDescent="0.3">
      <c r="A48" s="55"/>
      <c r="B48" s="70" t="s">
        <v>111</v>
      </c>
      <c r="F48" s="78">
        <f>F47+0.3</f>
        <v>2.1</v>
      </c>
      <c r="G48" s="71" t="s">
        <v>80</v>
      </c>
      <c r="H48" s="71"/>
      <c r="L48" s="49"/>
      <c r="M48" s="50"/>
      <c r="N48" s="49"/>
    </row>
    <row r="49" spans="1:14" ht="16.2" x14ac:dyDescent="0.35">
      <c r="A49" s="55"/>
      <c r="B49" s="69" t="s">
        <v>167</v>
      </c>
      <c r="F49" s="78">
        <f>F48-F11</f>
        <v>2.7</v>
      </c>
      <c r="G49" s="71" t="s">
        <v>139</v>
      </c>
      <c r="H49" s="57"/>
      <c r="L49" s="49"/>
      <c r="M49" s="50"/>
      <c r="N49" s="49"/>
    </row>
    <row r="50" spans="1:14" ht="15.6" x14ac:dyDescent="0.3">
      <c r="A50" s="55"/>
      <c r="B50" s="64"/>
      <c r="C50" s="39"/>
      <c r="D50" s="57"/>
      <c r="F50" s="57"/>
      <c r="G50" s="39"/>
      <c r="L50" s="49"/>
      <c r="M50" s="50"/>
      <c r="N50" s="49"/>
    </row>
    <row r="51" spans="1:14" ht="15.6" x14ac:dyDescent="0.3">
      <c r="A51" s="55"/>
      <c r="B51" s="70" t="s">
        <v>113</v>
      </c>
      <c r="C51" s="60"/>
      <c r="F51" s="155">
        <f>F33</f>
        <v>350</v>
      </c>
      <c r="G51" s="70" t="s">
        <v>107</v>
      </c>
      <c r="L51" s="49"/>
      <c r="M51" s="50"/>
      <c r="N51" s="49"/>
    </row>
    <row r="52" spans="1:14" ht="15.6" x14ac:dyDescent="0.3">
      <c r="A52" s="55"/>
      <c r="B52" s="57" t="s">
        <v>114</v>
      </c>
      <c r="C52" s="57"/>
      <c r="F52" s="157">
        <f>B57</f>
        <v>60</v>
      </c>
      <c r="G52" s="98" t="s">
        <v>115</v>
      </c>
      <c r="L52" s="49"/>
      <c r="M52" s="50"/>
      <c r="N52" s="49"/>
    </row>
    <row r="53" spans="1:14" ht="16.2" x14ac:dyDescent="0.3">
      <c r="A53" s="55"/>
      <c r="B53" s="76" t="s">
        <v>117</v>
      </c>
      <c r="C53" s="57"/>
      <c r="F53" s="156">
        <f>(F51*F52*10000)/(1000*24*60*60)</f>
        <v>2.4305555555555554</v>
      </c>
      <c r="G53" s="71" t="s">
        <v>116</v>
      </c>
      <c r="H53" s="88">
        <f>F53*3.28^3</f>
        <v>85.76835555555553</v>
      </c>
      <c r="I53" t="s">
        <v>50</v>
      </c>
      <c r="L53" s="49"/>
      <c r="M53" s="50"/>
      <c r="N53" s="49"/>
    </row>
    <row r="54" spans="1:14" ht="15.6" x14ac:dyDescent="0.3">
      <c r="A54" s="55"/>
      <c r="B54" s="76"/>
      <c r="C54" s="57"/>
      <c r="E54" s="70"/>
      <c r="F54" s="71"/>
      <c r="G54" s="57"/>
      <c r="L54" s="49"/>
      <c r="M54" s="50"/>
      <c r="N54" s="49"/>
    </row>
    <row r="55" spans="1:14" ht="15.6" x14ac:dyDescent="0.3">
      <c r="A55" s="55"/>
      <c r="B55" s="153" t="s">
        <v>236</v>
      </c>
      <c r="C55" s="57"/>
      <c r="E55" s="70"/>
      <c r="F55" s="71"/>
      <c r="G55" s="57"/>
      <c r="I55" s="3">
        <v>50</v>
      </c>
      <c r="J55" s="50" t="s">
        <v>115</v>
      </c>
      <c r="L55" s="49"/>
      <c r="M55" s="50"/>
      <c r="N55" s="49"/>
    </row>
    <row r="56" spans="1:14" ht="15.6" x14ac:dyDescent="0.3">
      <c r="A56" s="55"/>
      <c r="B56" s="50" t="s">
        <v>237</v>
      </c>
      <c r="C56" s="57"/>
      <c r="E56" s="70"/>
      <c r="F56" s="71"/>
      <c r="G56" s="57"/>
      <c r="L56" s="49"/>
      <c r="M56" s="50"/>
      <c r="N56" s="49"/>
    </row>
    <row r="57" spans="1:14" ht="15.6" x14ac:dyDescent="0.3">
      <c r="A57" s="55"/>
      <c r="B57" s="79">
        <f>I55*1.2</f>
        <v>60</v>
      </c>
      <c r="C57" s="154" t="s">
        <v>115</v>
      </c>
      <c r="D57" s="57"/>
      <c r="E57" s="57"/>
      <c r="F57" s="39"/>
      <c r="G57" s="57"/>
      <c r="L57" s="49"/>
      <c r="M57" s="50"/>
      <c r="N57" s="49"/>
    </row>
    <row r="58" spans="1:14" ht="15.6" x14ac:dyDescent="0.3">
      <c r="A58" s="55"/>
      <c r="B58" s="50"/>
      <c r="G58" s="53"/>
      <c r="L58" s="49"/>
      <c r="M58" s="50"/>
      <c r="N58" s="49"/>
    </row>
    <row r="59" spans="1:14" ht="15.6" x14ac:dyDescent="0.3">
      <c r="A59" s="55"/>
      <c r="B59" s="50"/>
      <c r="E59" s="3"/>
      <c r="F59" s="50"/>
      <c r="G59" s="53"/>
      <c r="L59" s="49"/>
      <c r="M59" s="50"/>
      <c r="N59" s="49"/>
    </row>
    <row r="60" spans="1:14" ht="15.6" x14ac:dyDescent="0.3">
      <c r="A60" s="55"/>
      <c r="B60" s="50" t="s">
        <v>179</v>
      </c>
      <c r="F60" s="88">
        <f>F41-F44</f>
        <v>3.31</v>
      </c>
      <c r="G60" s="50" t="s">
        <v>81</v>
      </c>
      <c r="L60" s="49"/>
      <c r="M60" s="50"/>
      <c r="N60" s="49"/>
    </row>
    <row r="61" spans="1:14" ht="15.6" x14ac:dyDescent="0.3">
      <c r="A61" s="55"/>
      <c r="B61" s="50" t="s">
        <v>180</v>
      </c>
      <c r="F61" s="88">
        <f>F60/6</f>
        <v>0.55166666666666664</v>
      </c>
      <c r="G61" s="50" t="s">
        <v>81</v>
      </c>
      <c r="L61" s="49"/>
      <c r="M61" s="50"/>
      <c r="N61" s="49"/>
    </row>
    <row r="62" spans="1:14" ht="15.6" x14ac:dyDescent="0.3">
      <c r="A62" s="55"/>
      <c r="B62" s="50"/>
      <c r="E62" s="3"/>
      <c r="F62" s="50"/>
      <c r="G62" s="53"/>
      <c r="L62" s="49"/>
      <c r="M62" s="50"/>
      <c r="N62" s="49"/>
    </row>
    <row r="63" spans="1:14" ht="15.6" x14ac:dyDescent="0.3">
      <c r="A63" s="55"/>
      <c r="B63" s="50" t="s">
        <v>126</v>
      </c>
      <c r="E63" s="3"/>
      <c r="F63" s="50"/>
      <c r="G63" s="53"/>
      <c r="I63" t="s">
        <v>125</v>
      </c>
      <c r="L63" s="49"/>
      <c r="M63" s="50"/>
      <c r="N63" s="49"/>
    </row>
    <row r="64" spans="1:14" ht="15.6" x14ac:dyDescent="0.3">
      <c r="A64" s="55"/>
      <c r="B64" s="50" t="s">
        <v>120</v>
      </c>
      <c r="E64" s="3"/>
      <c r="F64" s="50"/>
      <c r="G64" s="53"/>
      <c r="H64" t="s">
        <v>124</v>
      </c>
      <c r="L64" s="49"/>
      <c r="M64" s="50"/>
      <c r="N64" s="49"/>
    </row>
    <row r="65" spans="1:14" ht="15.6" x14ac:dyDescent="0.3">
      <c r="A65" s="55"/>
      <c r="B65" s="50" t="s">
        <v>121</v>
      </c>
      <c r="C65" s="88">
        <f>F48</f>
        <v>2.1</v>
      </c>
      <c r="D65" t="s">
        <v>81</v>
      </c>
      <c r="E65" s="3"/>
      <c r="F65" s="50"/>
      <c r="G65" s="53"/>
      <c r="I65" s="9" t="s">
        <v>123</v>
      </c>
      <c r="L65" s="49"/>
      <c r="M65" s="50"/>
      <c r="N65" s="49"/>
    </row>
    <row r="66" spans="1:14" ht="15.6" x14ac:dyDescent="0.3">
      <c r="A66" s="55"/>
      <c r="B66" s="50"/>
      <c r="E66" s="3"/>
      <c r="F66" s="50"/>
      <c r="G66" s="53"/>
      <c r="H66" t="s">
        <v>122</v>
      </c>
      <c r="L66" s="49"/>
      <c r="M66" s="50"/>
      <c r="N66" s="49"/>
    </row>
    <row r="67" spans="1:14" ht="15.6" x14ac:dyDescent="0.3">
      <c r="A67" s="55"/>
      <c r="B67" s="50"/>
      <c r="E67" s="3"/>
      <c r="F67" s="50"/>
      <c r="G67" s="53"/>
      <c r="L67" s="49"/>
      <c r="M67" s="50"/>
      <c r="N67" s="49"/>
    </row>
    <row r="68" spans="1:14" ht="16.2" x14ac:dyDescent="0.35">
      <c r="A68" s="55"/>
      <c r="B68" s="50" t="s">
        <v>119</v>
      </c>
      <c r="D68" s="50" t="s">
        <v>138</v>
      </c>
      <c r="E68" s="3"/>
      <c r="F68" s="88">
        <f>F10</f>
        <v>1.8</v>
      </c>
      <c r="G68" s="77" t="s">
        <v>81</v>
      </c>
      <c r="H68" s="50" t="s">
        <v>127</v>
      </c>
      <c r="L68" s="49"/>
      <c r="M68" s="50"/>
      <c r="N68" s="49"/>
    </row>
    <row r="69" spans="1:14" ht="15.6" x14ac:dyDescent="0.3">
      <c r="A69" s="55"/>
      <c r="B69" s="50"/>
      <c r="E69" s="3"/>
      <c r="F69" s="50"/>
      <c r="G69" s="53"/>
      <c r="L69" s="49"/>
      <c r="M69" s="50"/>
      <c r="N69" s="49"/>
    </row>
    <row r="70" spans="1:14" ht="16.2" x14ac:dyDescent="0.35">
      <c r="A70" s="55"/>
      <c r="B70" s="50" t="s">
        <v>98</v>
      </c>
      <c r="C70" s="88">
        <f>F11</f>
        <v>-0.6</v>
      </c>
      <c r="D70" s="50" t="s">
        <v>81</v>
      </c>
      <c r="E70" s="3"/>
      <c r="F70" s="50"/>
      <c r="G70" s="53"/>
      <c r="L70" s="49"/>
      <c r="M70" s="50"/>
      <c r="N70" s="49"/>
    </row>
    <row r="71" spans="1:14" ht="15.6" x14ac:dyDescent="0.3">
      <c r="A71" s="55"/>
      <c r="B71" s="50"/>
      <c r="E71" s="3"/>
      <c r="F71" s="50"/>
      <c r="G71" s="53"/>
      <c r="L71" s="49"/>
      <c r="M71" s="50"/>
      <c r="N71" s="49"/>
    </row>
    <row r="72" spans="1:14" ht="15.6" x14ac:dyDescent="0.3">
      <c r="A72" s="55"/>
      <c r="B72" s="50"/>
      <c r="E72" s="3"/>
      <c r="F72" s="50"/>
      <c r="G72" s="53"/>
      <c r="L72" s="49"/>
      <c r="M72" s="50"/>
      <c r="N72" s="49"/>
    </row>
    <row r="73" spans="1:14" ht="15.6" x14ac:dyDescent="0.3">
      <c r="A73" s="55"/>
      <c r="B73" s="50">
        <v>2.7</v>
      </c>
      <c r="E73" s="3"/>
      <c r="F73" s="50"/>
      <c r="G73" s="53"/>
      <c r="L73" s="49"/>
      <c r="M73" s="50"/>
      <c r="N73" s="49"/>
    </row>
    <row r="74" spans="1:14" ht="15.6" x14ac:dyDescent="0.3">
      <c r="A74" s="55"/>
      <c r="B74" s="50">
        <v>2.4</v>
      </c>
      <c r="E74" s="3"/>
      <c r="G74" s="53"/>
      <c r="J74" s="166" t="s">
        <v>131</v>
      </c>
      <c r="L74" s="49"/>
      <c r="M74" s="50"/>
      <c r="N74" s="49"/>
    </row>
    <row r="75" spans="1:14" ht="15.6" x14ac:dyDescent="0.3">
      <c r="A75" s="55"/>
      <c r="B75" s="50">
        <v>2.1</v>
      </c>
      <c r="E75" s="3"/>
      <c r="F75" s="50" t="s">
        <v>129</v>
      </c>
      <c r="G75" s="53"/>
      <c r="J75" s="166"/>
      <c r="K75">
        <v>40</v>
      </c>
      <c r="L75" s="51" t="s">
        <v>143</v>
      </c>
      <c r="M75" s="85">
        <f>K75/3.28^3</f>
        <v>1.1335442027828966</v>
      </c>
      <c r="N75" s="51" t="s">
        <v>144</v>
      </c>
    </row>
    <row r="76" spans="1:14" ht="15.75" customHeight="1" x14ac:dyDescent="0.3">
      <c r="A76" s="55"/>
      <c r="B76" s="50">
        <v>1.8</v>
      </c>
      <c r="E76" s="3"/>
      <c r="F76" s="50"/>
      <c r="G76" s="53"/>
      <c r="J76" s="166"/>
      <c r="L76" s="49"/>
      <c r="M76" s="50"/>
      <c r="N76" s="49"/>
    </row>
    <row r="77" spans="1:14" ht="15.6" x14ac:dyDescent="0.3">
      <c r="A77" s="55"/>
      <c r="B77" s="50">
        <v>1.5</v>
      </c>
      <c r="C77" t="s">
        <v>130</v>
      </c>
      <c r="E77" s="3"/>
      <c r="F77" s="50"/>
      <c r="G77" s="53"/>
      <c r="J77" s="166"/>
      <c r="L77" s="49"/>
      <c r="M77" s="50"/>
      <c r="N77" s="49"/>
    </row>
    <row r="78" spans="1:14" ht="15.6" x14ac:dyDescent="0.3">
      <c r="A78" s="55"/>
      <c r="B78" s="50" t="s">
        <v>128</v>
      </c>
      <c r="E78" s="3"/>
      <c r="F78" s="50"/>
      <c r="G78" s="53"/>
      <c r="J78" s="166"/>
      <c r="L78" s="49"/>
      <c r="M78" s="50"/>
      <c r="N78" s="49"/>
    </row>
    <row r="79" spans="1:14" ht="15.6" x14ac:dyDescent="0.3">
      <c r="A79" s="55"/>
      <c r="B79" s="50">
        <v>0.9</v>
      </c>
      <c r="E79" s="3"/>
      <c r="F79" s="50"/>
      <c r="G79" s="53"/>
      <c r="J79" s="166"/>
      <c r="L79" s="49"/>
      <c r="M79" s="50"/>
      <c r="N79" s="49"/>
    </row>
    <row r="80" spans="1:14" ht="15.6" x14ac:dyDescent="0.3">
      <c r="A80" s="55"/>
      <c r="B80" s="50">
        <v>0.6</v>
      </c>
      <c r="E80" s="3"/>
      <c r="F80" s="50"/>
      <c r="G80" s="53"/>
      <c r="L80" s="49"/>
      <c r="M80" s="50"/>
      <c r="N80" s="49"/>
    </row>
    <row r="81" spans="1:14" ht="15.6" x14ac:dyDescent="0.3">
      <c r="A81" s="55"/>
      <c r="B81" s="50">
        <v>0.3</v>
      </c>
      <c r="E81" s="3"/>
      <c r="F81" s="50"/>
      <c r="G81" s="53"/>
      <c r="L81" s="49"/>
      <c r="M81" s="50"/>
      <c r="N81" s="49"/>
    </row>
    <row r="82" spans="1:14" ht="15.6" x14ac:dyDescent="0.3">
      <c r="A82" s="55"/>
      <c r="B82" s="91">
        <v>0</v>
      </c>
      <c r="E82" s="3"/>
      <c r="F82" s="50"/>
      <c r="G82" s="53"/>
      <c r="L82" s="49"/>
      <c r="M82" s="50"/>
      <c r="N82" s="49"/>
    </row>
    <row r="83" spans="1:14" ht="15.6" x14ac:dyDescent="0.3">
      <c r="A83" s="55"/>
      <c r="B83" s="50"/>
      <c r="C83" s="9">
        <v>0</v>
      </c>
      <c r="D83" s="9">
        <v>2</v>
      </c>
      <c r="E83" s="81">
        <v>4</v>
      </c>
      <c r="F83" s="80">
        <v>6</v>
      </c>
      <c r="G83" s="82">
        <v>8</v>
      </c>
      <c r="H83" s="80">
        <v>10</v>
      </c>
      <c r="I83" s="80">
        <v>12</v>
      </c>
      <c r="L83" s="49"/>
      <c r="M83" s="50"/>
      <c r="N83" s="49"/>
    </row>
    <row r="84" spans="1:14" ht="15.6" x14ac:dyDescent="0.3">
      <c r="A84" s="55"/>
      <c r="B84" s="50"/>
      <c r="C84" s="83" t="s">
        <v>132</v>
      </c>
      <c r="E84" s="86" t="s">
        <v>134</v>
      </c>
      <c r="F84" s="50"/>
      <c r="G84" s="53"/>
      <c r="H84" s="50" t="s">
        <v>132</v>
      </c>
      <c r="L84" s="49"/>
      <c r="M84" s="50"/>
      <c r="N84" s="49"/>
    </row>
    <row r="85" spans="1:14" ht="15.6" x14ac:dyDescent="0.3">
      <c r="A85" s="55"/>
      <c r="B85" s="50"/>
      <c r="C85" s="84" t="s">
        <v>133</v>
      </c>
      <c r="E85" s="3"/>
      <c r="F85" s="50"/>
      <c r="G85" s="87" t="s">
        <v>133</v>
      </c>
      <c r="L85" s="49"/>
      <c r="M85" s="50"/>
      <c r="N85" s="49"/>
    </row>
    <row r="86" spans="1:14" ht="15.6" x14ac:dyDescent="0.3">
      <c r="A86" s="55"/>
      <c r="B86" s="50"/>
      <c r="E86" s="3"/>
      <c r="F86" s="50"/>
      <c r="G86" s="53"/>
      <c r="L86" s="49"/>
      <c r="M86" s="50"/>
      <c r="N86" s="49"/>
    </row>
    <row r="87" spans="1:14" ht="15.6" x14ac:dyDescent="0.3">
      <c r="A87" s="55"/>
      <c r="C87" s="50" t="s">
        <v>135</v>
      </c>
      <c r="L87" s="49"/>
      <c r="N87" s="49"/>
    </row>
    <row r="88" spans="1:14" x14ac:dyDescent="0.25">
      <c r="C88" s="50" t="s">
        <v>136</v>
      </c>
      <c r="L88" s="49"/>
      <c r="N88" s="49"/>
    </row>
    <row r="89" spans="1:14" x14ac:dyDescent="0.25">
      <c r="C89" s="50" t="s">
        <v>137</v>
      </c>
      <c r="L89" s="49"/>
      <c r="N89" s="49"/>
    </row>
    <row r="90" spans="1:14" x14ac:dyDescent="0.25">
      <c r="C90" s="50"/>
      <c r="L90" s="52"/>
      <c r="N90" s="52"/>
    </row>
    <row r="91" spans="1:14" ht="15.6" x14ac:dyDescent="0.35">
      <c r="B91" s="50" t="s">
        <v>140</v>
      </c>
      <c r="C91" s="50"/>
      <c r="H91" s="88">
        <f>F49/F10</f>
        <v>1.5</v>
      </c>
      <c r="L91" s="49"/>
      <c r="N91" s="49"/>
    </row>
    <row r="92" spans="1:14" x14ac:dyDescent="0.25">
      <c r="B92" s="50" t="s">
        <v>141</v>
      </c>
      <c r="C92" s="50"/>
      <c r="L92" s="49"/>
      <c r="N92" s="49"/>
    </row>
    <row r="93" spans="1:14" x14ac:dyDescent="0.25">
      <c r="B93" s="50" t="s">
        <v>188</v>
      </c>
      <c r="C93" s="50"/>
      <c r="F93" s="88">
        <f>H91</f>
        <v>1.5</v>
      </c>
      <c r="G93" s="50"/>
      <c r="L93" s="52"/>
      <c r="N93" s="49"/>
    </row>
    <row r="94" spans="1:14" ht="15.6" x14ac:dyDescent="0.25">
      <c r="B94" s="50"/>
      <c r="C94" s="50"/>
      <c r="F94" t="s">
        <v>187</v>
      </c>
      <c r="G94">
        <v>61</v>
      </c>
      <c r="H94" s="50" t="s">
        <v>142</v>
      </c>
      <c r="I94" s="88">
        <f>G94/3.281^3*3.281</f>
        <v>5.666532372945893</v>
      </c>
      <c r="J94" s="50" t="s">
        <v>145</v>
      </c>
      <c r="L94" s="52"/>
      <c r="N94" s="49"/>
    </row>
    <row r="95" spans="1:14" ht="15.6" x14ac:dyDescent="0.25">
      <c r="B95" s="50" t="s">
        <v>186</v>
      </c>
      <c r="C95" s="50"/>
      <c r="F95" s="96"/>
      <c r="G95" s="164">
        <f>G94*H9</f>
        <v>300.12</v>
      </c>
      <c r="H95" t="s">
        <v>161</v>
      </c>
      <c r="I95" s="88">
        <f>I94*F9</f>
        <v>8.4997985594188386</v>
      </c>
      <c r="J95" s="50" t="s">
        <v>118</v>
      </c>
      <c r="L95" s="52"/>
      <c r="N95" s="49"/>
    </row>
    <row r="96" spans="1:14" x14ac:dyDescent="0.25">
      <c r="B96" s="50"/>
      <c r="C96" s="50"/>
      <c r="I96" s="3"/>
      <c r="J96" s="50"/>
      <c r="L96" s="49"/>
      <c r="N96" s="49"/>
    </row>
    <row r="97" spans="2:14" ht="15.6" x14ac:dyDescent="0.25">
      <c r="B97" s="50" t="s">
        <v>146</v>
      </c>
      <c r="C97" s="50"/>
      <c r="G97" s="88">
        <f>0.315*(G94)^(2/3)</f>
        <v>4.8812431728599739</v>
      </c>
      <c r="H97" s="50" t="s">
        <v>147</v>
      </c>
      <c r="I97" s="88">
        <f>G97/3.28</f>
        <v>1.4881838941646264</v>
      </c>
      <c r="J97" s="50" t="s">
        <v>81</v>
      </c>
      <c r="L97" s="53"/>
      <c r="N97" s="49"/>
    </row>
    <row r="98" spans="2:14" x14ac:dyDescent="0.25">
      <c r="B98" s="50" t="s">
        <v>149</v>
      </c>
      <c r="C98" s="50"/>
      <c r="G98" s="88">
        <f>(G97+H10)/2</f>
        <v>5.3926215864299873</v>
      </c>
      <c r="H98" s="50" t="s">
        <v>147</v>
      </c>
      <c r="I98" s="88">
        <f>(I97+F10)/2</f>
        <v>1.6440919470823132</v>
      </c>
      <c r="J98" s="50" t="s">
        <v>81</v>
      </c>
      <c r="L98" s="49"/>
      <c r="N98" s="49"/>
    </row>
    <row r="99" spans="2:14" x14ac:dyDescent="0.25">
      <c r="B99" s="50" t="s">
        <v>148</v>
      </c>
      <c r="C99" s="50"/>
      <c r="E99" s="3"/>
      <c r="F99" s="50"/>
      <c r="G99" s="50"/>
      <c r="H99" s="50"/>
      <c r="I99" s="3"/>
      <c r="J99" s="50"/>
      <c r="L99" s="49"/>
      <c r="N99" s="49"/>
    </row>
    <row r="100" spans="2:14" ht="15.6" x14ac:dyDescent="0.35">
      <c r="B100" s="88">
        <f>I98</f>
        <v>1.6440919470823132</v>
      </c>
      <c r="C100" s="50" t="s">
        <v>168</v>
      </c>
      <c r="I100" s="88">
        <f>I98+C70</f>
        <v>1.0440919470823133</v>
      </c>
      <c r="J100" s="85" t="s">
        <v>79</v>
      </c>
      <c r="L100" s="53"/>
      <c r="N100" s="49"/>
    </row>
    <row r="101" spans="2:14" ht="15.6" x14ac:dyDescent="0.25">
      <c r="B101" s="50" t="s">
        <v>169</v>
      </c>
      <c r="C101" s="50"/>
      <c r="F101" s="88">
        <f>C70</f>
        <v>-0.6</v>
      </c>
      <c r="G101" s="9" t="s">
        <v>170</v>
      </c>
      <c r="H101" s="88">
        <f>I100</f>
        <v>1.0440919470823133</v>
      </c>
      <c r="I101" s="3" t="s">
        <v>171</v>
      </c>
      <c r="J101" s="50"/>
      <c r="L101" s="49"/>
      <c r="N101" s="49"/>
    </row>
    <row r="102" spans="2:14" x14ac:dyDescent="0.25">
      <c r="B102" s="50" t="s">
        <v>174</v>
      </c>
      <c r="C102" s="50"/>
      <c r="I102" s="3"/>
      <c r="J102" s="50"/>
      <c r="L102" s="49"/>
      <c r="N102" s="49"/>
    </row>
    <row r="103" spans="2:14" x14ac:dyDescent="0.25">
      <c r="B103" s="50" t="s">
        <v>151</v>
      </c>
      <c r="C103" s="50"/>
      <c r="G103" s="88">
        <f>I100</f>
        <v>1.0440919470823133</v>
      </c>
      <c r="H103" s="83" t="s">
        <v>150</v>
      </c>
      <c r="I103" s="88">
        <f>F48</f>
        <v>2.1</v>
      </c>
      <c r="J103" s="50" t="s">
        <v>79</v>
      </c>
      <c r="L103" s="49"/>
      <c r="N103" s="49"/>
    </row>
    <row r="104" spans="2:14" x14ac:dyDescent="0.25">
      <c r="B104" s="50" t="s">
        <v>152</v>
      </c>
      <c r="C104" s="50"/>
      <c r="L104" s="49"/>
      <c r="N104" s="49"/>
    </row>
    <row r="105" spans="2:14" x14ac:dyDescent="0.25">
      <c r="B105" s="50"/>
      <c r="C105" s="50"/>
      <c r="L105" s="49"/>
      <c r="N105" s="49"/>
    </row>
    <row r="106" spans="2:14" x14ac:dyDescent="0.25">
      <c r="B106" s="50" t="s">
        <v>153</v>
      </c>
      <c r="C106" s="50"/>
      <c r="L106" s="49"/>
      <c r="N106" s="49"/>
    </row>
    <row r="107" spans="2:14" x14ac:dyDescent="0.25">
      <c r="B107" s="50" t="s">
        <v>154</v>
      </c>
      <c r="C107" s="50"/>
      <c r="G107" s="88">
        <f>(F41-F44)*3.281</f>
        <v>10.860110000000001</v>
      </c>
      <c r="H107" t="s">
        <v>147</v>
      </c>
      <c r="I107" s="88">
        <f>F41-F44</f>
        <v>3.31</v>
      </c>
      <c r="J107" s="50" t="s">
        <v>81</v>
      </c>
      <c r="L107" s="49"/>
      <c r="N107" s="49"/>
    </row>
    <row r="108" spans="2:14" x14ac:dyDescent="0.25">
      <c r="B108" s="50" t="s">
        <v>155</v>
      </c>
      <c r="C108" s="50"/>
      <c r="G108" s="88">
        <f>G107/6</f>
        <v>1.8100183333333335</v>
      </c>
      <c r="H108" t="s">
        <v>147</v>
      </c>
      <c r="I108" s="88">
        <f>I107/6</f>
        <v>0.55166666666666664</v>
      </c>
      <c r="J108" s="50" t="s">
        <v>81</v>
      </c>
      <c r="L108" s="49"/>
      <c r="N108" s="49"/>
    </row>
    <row r="109" spans="2:14" x14ac:dyDescent="0.25">
      <c r="B109" s="50" t="s">
        <v>172</v>
      </c>
      <c r="C109" s="50"/>
      <c r="E109" s="88">
        <f>I98</f>
        <v>1.6440919470823132</v>
      </c>
      <c r="F109" t="s">
        <v>173</v>
      </c>
      <c r="G109" s="3"/>
      <c r="I109" s="88">
        <f>I98/I108</f>
        <v>2.980227094409027</v>
      </c>
      <c r="J109" s="50" t="s">
        <v>156</v>
      </c>
      <c r="L109" s="49"/>
      <c r="N109" s="49"/>
    </row>
    <row r="110" spans="2:14" x14ac:dyDescent="0.25">
      <c r="B110" s="50" t="s">
        <v>181</v>
      </c>
      <c r="C110" s="50"/>
      <c r="E110" s="50" t="s">
        <v>157</v>
      </c>
      <c r="F110" s="88">
        <f>I103-F11</f>
        <v>2.7</v>
      </c>
      <c r="G110" s="50" t="s">
        <v>158</v>
      </c>
      <c r="H110" s="50" t="s">
        <v>159</v>
      </c>
      <c r="I110" s="88">
        <f>F110/I108</f>
        <v>4.8942598187311184</v>
      </c>
      <c r="J110" s="50" t="s">
        <v>156</v>
      </c>
      <c r="L110" s="49"/>
      <c r="N110" s="49"/>
    </row>
    <row r="111" spans="2:14" x14ac:dyDescent="0.25">
      <c r="L111" s="49"/>
      <c r="N111" s="49"/>
    </row>
    <row r="112" spans="2:14" x14ac:dyDescent="0.25">
      <c r="B112" s="50"/>
      <c r="C112" s="50"/>
      <c r="L112" s="49"/>
      <c r="N112" s="49"/>
    </row>
    <row r="113" spans="1:14" x14ac:dyDescent="0.25">
      <c r="B113" s="50" t="s">
        <v>160</v>
      </c>
      <c r="C113" s="50"/>
      <c r="L113" s="49"/>
      <c r="N113" s="49"/>
    </row>
    <row r="114" spans="1:14" x14ac:dyDescent="0.25">
      <c r="B114" s="50" t="s">
        <v>162</v>
      </c>
      <c r="C114" s="50"/>
      <c r="I114" s="149">
        <f>2*(I109*G95)*3600+2*(I110-I109)*G95/2*3600</f>
        <v>8507847.6445378326</v>
      </c>
      <c r="J114" s="97" t="s">
        <v>45</v>
      </c>
      <c r="L114" s="49"/>
      <c r="N114" s="49"/>
    </row>
    <row r="115" spans="1:14" x14ac:dyDescent="0.25">
      <c r="B115" s="50" t="s">
        <v>164</v>
      </c>
      <c r="C115" s="50"/>
      <c r="I115" s="88">
        <f>I114/43560</f>
        <v>195.31330680757191</v>
      </c>
      <c r="J115" s="97" t="s">
        <v>163</v>
      </c>
      <c r="L115" s="49"/>
      <c r="N115" s="49"/>
    </row>
    <row r="116" spans="1:14" x14ac:dyDescent="0.25">
      <c r="B116" s="50" t="s">
        <v>166</v>
      </c>
      <c r="I116" s="88">
        <f>I115*2</f>
        <v>390.62661361514381</v>
      </c>
      <c r="J116" s="97" t="s">
        <v>163</v>
      </c>
      <c r="L116" s="49"/>
      <c r="N116" s="49"/>
    </row>
    <row r="117" spans="1:14" x14ac:dyDescent="0.25">
      <c r="B117" s="50" t="s">
        <v>165</v>
      </c>
      <c r="C117" s="50"/>
      <c r="I117" s="88">
        <f>I116/2</f>
        <v>195.31330680757191</v>
      </c>
      <c r="J117" s="97" t="s">
        <v>50</v>
      </c>
      <c r="L117" s="49"/>
      <c r="N117" s="49"/>
    </row>
    <row r="118" spans="1:14" ht="15.6" x14ac:dyDescent="0.25">
      <c r="B118" s="50"/>
      <c r="C118" s="50"/>
      <c r="I118" s="88">
        <f>I117/3.28^3</f>
        <v>5.5349066664520103</v>
      </c>
      <c r="J118" s="97" t="s">
        <v>189</v>
      </c>
      <c r="L118" s="49"/>
      <c r="N118" s="49"/>
    </row>
    <row r="119" spans="1:14" x14ac:dyDescent="0.25">
      <c r="B119" s="50"/>
      <c r="C119" s="50"/>
      <c r="L119" s="49"/>
      <c r="N119" s="49"/>
    </row>
    <row r="120" spans="1:14" ht="15.6" x14ac:dyDescent="0.25">
      <c r="B120" s="57" t="s">
        <v>182</v>
      </c>
      <c r="C120" s="57"/>
      <c r="D120" s="57"/>
      <c r="E120" s="57"/>
      <c r="F120" s="57"/>
      <c r="G120" s="57"/>
      <c r="H120" s="57"/>
      <c r="I120" s="98">
        <f>F53</f>
        <v>2.4305555555555554</v>
      </c>
      <c r="J120" s="50" t="s">
        <v>118</v>
      </c>
      <c r="L120" s="49"/>
      <c r="N120" s="49"/>
    </row>
    <row r="121" spans="1:14" ht="15.6" x14ac:dyDescent="0.25">
      <c r="A121" s="89"/>
      <c r="B121" s="71" t="s">
        <v>238</v>
      </c>
      <c r="C121" s="57"/>
      <c r="D121" s="57"/>
      <c r="E121" s="57"/>
      <c r="F121" s="58"/>
      <c r="G121" s="57"/>
      <c r="H121" s="57"/>
      <c r="I121" s="98">
        <f>I118</f>
        <v>5.5349066664520103</v>
      </c>
      <c r="J121" s="50" t="s">
        <v>118</v>
      </c>
      <c r="L121" s="49"/>
      <c r="N121" s="49"/>
    </row>
    <row r="122" spans="1:14" x14ac:dyDescent="0.25">
      <c r="A122" s="57"/>
      <c r="B122" s="57" t="s">
        <v>183</v>
      </c>
      <c r="C122" s="57"/>
      <c r="D122" s="57"/>
      <c r="E122" s="57"/>
      <c r="F122" s="64"/>
      <c r="G122" s="57"/>
      <c r="H122" s="57"/>
      <c r="I122" s="57">
        <f>I120/I121</f>
        <v>0.4391321664532406</v>
      </c>
      <c r="J122" s="50" t="s">
        <v>184</v>
      </c>
      <c r="L122" s="49"/>
      <c r="N122" s="49"/>
    </row>
    <row r="123" spans="1:14" x14ac:dyDescent="0.25">
      <c r="A123" s="67"/>
      <c r="B123" s="71" t="s">
        <v>239</v>
      </c>
      <c r="C123" s="57"/>
      <c r="D123" s="57"/>
      <c r="E123" s="57"/>
      <c r="F123" s="67"/>
      <c r="G123" s="57"/>
      <c r="H123" s="57"/>
      <c r="I123" s="57"/>
      <c r="L123" s="49"/>
      <c r="N123" s="49"/>
    </row>
    <row r="124" spans="1:14" x14ac:dyDescent="0.25">
      <c r="A124" s="67"/>
      <c r="B124" s="71"/>
      <c r="C124" s="57"/>
      <c r="D124" s="57"/>
      <c r="E124" s="57"/>
      <c r="F124" s="67"/>
      <c r="G124" s="57"/>
      <c r="H124" s="57"/>
      <c r="I124" s="57"/>
      <c r="L124" s="49"/>
      <c r="N124" s="49"/>
    </row>
    <row r="125" spans="1:14" x14ac:dyDescent="0.25">
      <c r="A125" s="67"/>
      <c r="B125" s="71"/>
      <c r="C125" s="57"/>
      <c r="D125" s="57"/>
      <c r="E125" s="57"/>
      <c r="F125" s="67"/>
      <c r="G125" s="57"/>
      <c r="H125" s="57"/>
      <c r="I125" s="57"/>
      <c r="L125" s="49"/>
      <c r="N125" s="49"/>
    </row>
    <row r="126" spans="1:14" x14ac:dyDescent="0.25">
      <c r="A126" s="67"/>
      <c r="B126" s="71"/>
      <c r="C126" s="57"/>
      <c r="D126" s="57"/>
      <c r="E126" s="57"/>
      <c r="F126" s="67"/>
      <c r="G126" s="57"/>
      <c r="H126" s="57"/>
      <c r="I126" s="57"/>
      <c r="L126" s="49"/>
      <c r="N126" s="49"/>
    </row>
    <row r="127" spans="1:14" x14ac:dyDescent="0.25">
      <c r="A127" s="67"/>
      <c r="B127" s="57"/>
      <c r="C127" s="57"/>
      <c r="D127" s="57"/>
      <c r="E127" s="57"/>
      <c r="F127" s="67"/>
      <c r="G127" s="57"/>
      <c r="H127" s="57"/>
      <c r="I127" s="57"/>
      <c r="L127" s="49"/>
      <c r="N127" s="49"/>
    </row>
    <row r="128" spans="1:14" ht="15.6" x14ac:dyDescent="0.3">
      <c r="B128" s="99" t="s">
        <v>190</v>
      </c>
      <c r="C128" s="100"/>
      <c r="D128" s="100"/>
      <c r="E128" s="100"/>
      <c r="F128" s="100"/>
      <c r="G128" s="100"/>
      <c r="H128" s="100"/>
      <c r="I128" s="100"/>
      <c r="J128" s="100"/>
      <c r="L128" s="49"/>
      <c r="N128" s="49"/>
    </row>
    <row r="129" spans="2:14" ht="15.6" x14ac:dyDescent="0.3">
      <c r="B129" s="101" t="s">
        <v>240</v>
      </c>
      <c r="C129" s="100"/>
      <c r="D129" s="102"/>
      <c r="E129" s="102"/>
      <c r="F129" s="100"/>
      <c r="G129" s="100"/>
      <c r="H129" s="100"/>
      <c r="I129" s="100"/>
      <c r="J129" s="100"/>
      <c r="L129" s="49"/>
      <c r="N129" s="49"/>
    </row>
    <row r="130" spans="2:14" ht="15.6" x14ac:dyDescent="0.3">
      <c r="B130" s="101" t="s">
        <v>241</v>
      </c>
      <c r="C130" s="100"/>
      <c r="D130" s="100"/>
      <c r="E130" s="100"/>
      <c r="F130" s="100"/>
      <c r="G130" s="100"/>
      <c r="H130" s="100"/>
      <c r="I130" s="100"/>
      <c r="J130" s="100"/>
      <c r="L130" s="49"/>
      <c r="N130" s="49"/>
    </row>
    <row r="131" spans="2:14" ht="15.6" x14ac:dyDescent="0.3">
      <c r="B131" s="55" t="s">
        <v>252</v>
      </c>
      <c r="C131" s="100"/>
      <c r="D131" s="100"/>
      <c r="E131" s="100"/>
      <c r="F131" s="100"/>
      <c r="G131" s="100"/>
      <c r="H131" s="100"/>
      <c r="I131" s="100"/>
      <c r="J131" s="100"/>
      <c r="L131" s="49"/>
      <c r="N131" s="49"/>
    </row>
    <row r="132" spans="2:14" ht="15.6" x14ac:dyDescent="0.3">
      <c r="B132" s="99"/>
      <c r="C132" s="100"/>
      <c r="D132" s="100"/>
      <c r="E132" s="100"/>
      <c r="F132" s="100"/>
      <c r="G132" s="100"/>
      <c r="H132" s="100"/>
      <c r="I132" s="100"/>
      <c r="J132" s="100"/>
      <c r="L132" s="49"/>
      <c r="N132" s="49"/>
    </row>
    <row r="133" spans="2:14" x14ac:dyDescent="0.25">
      <c r="B133" s="89" t="s">
        <v>191</v>
      </c>
      <c r="C133" s="57"/>
      <c r="D133" s="57"/>
      <c r="E133" s="57"/>
      <c r="F133" s="57"/>
      <c r="G133" s="57"/>
      <c r="H133" s="57"/>
      <c r="I133" s="57"/>
      <c r="J133" s="57"/>
      <c r="L133" s="49"/>
      <c r="N133" s="49"/>
    </row>
    <row r="134" spans="2:14" ht="16.8" x14ac:dyDescent="0.35">
      <c r="B134" s="57" t="s">
        <v>192</v>
      </c>
      <c r="C134" s="57"/>
      <c r="D134" s="57"/>
      <c r="E134" s="57"/>
      <c r="F134" s="57"/>
      <c r="G134" s="67" t="s">
        <v>193</v>
      </c>
      <c r="H134" s="57"/>
      <c r="I134" s="57"/>
      <c r="J134" s="57"/>
      <c r="L134" s="49"/>
      <c r="N134" s="49"/>
    </row>
    <row r="135" spans="2:14" ht="16.8" x14ac:dyDescent="0.35">
      <c r="B135" s="67" t="s">
        <v>194</v>
      </c>
      <c r="C135" s="57"/>
      <c r="D135" s="57"/>
      <c r="E135" s="57"/>
      <c r="F135" s="57"/>
      <c r="G135" s="67" t="s">
        <v>195</v>
      </c>
      <c r="H135" s="57"/>
      <c r="I135" s="57"/>
      <c r="J135" s="57"/>
      <c r="L135" s="49"/>
      <c r="N135" s="49"/>
    </row>
    <row r="136" spans="2:14" ht="16.8" x14ac:dyDescent="0.35">
      <c r="B136" s="67" t="s">
        <v>196</v>
      </c>
      <c r="C136" s="57"/>
      <c r="D136" s="57"/>
      <c r="E136" s="57"/>
      <c r="F136" s="57"/>
      <c r="G136" s="67" t="s">
        <v>197</v>
      </c>
      <c r="H136" s="57"/>
      <c r="I136" s="57"/>
      <c r="J136" s="57"/>
      <c r="L136" s="49"/>
      <c r="N136" s="49"/>
    </row>
    <row r="137" spans="2:14" ht="16.8" x14ac:dyDescent="0.35">
      <c r="B137" s="67" t="s">
        <v>198</v>
      </c>
      <c r="C137" s="57"/>
      <c r="D137" s="57"/>
      <c r="E137" s="57"/>
      <c r="F137" s="57"/>
      <c r="G137" s="67" t="s">
        <v>199</v>
      </c>
      <c r="H137" s="57"/>
      <c r="I137" s="57"/>
      <c r="J137" s="57"/>
      <c r="L137" s="49"/>
      <c r="N137" s="49"/>
    </row>
    <row r="138" spans="2:14" x14ac:dyDescent="0.25">
      <c r="B138" s="57"/>
      <c r="C138" s="57"/>
      <c r="D138" s="57"/>
      <c r="E138" s="57"/>
      <c r="F138" s="57"/>
      <c r="G138" s="57"/>
      <c r="H138" s="57"/>
      <c r="I138" s="57"/>
      <c r="J138" s="57"/>
      <c r="L138" s="49"/>
      <c r="N138" s="49"/>
    </row>
    <row r="139" spans="2:14" ht="15.6" x14ac:dyDescent="0.35">
      <c r="B139" s="57" t="s">
        <v>200</v>
      </c>
      <c r="C139" s="57" t="s">
        <v>201</v>
      </c>
      <c r="D139" s="57"/>
      <c r="E139" s="57"/>
      <c r="F139" s="57"/>
      <c r="G139" s="57" t="s">
        <v>202</v>
      </c>
      <c r="H139" s="57"/>
      <c r="I139" s="57"/>
      <c r="J139" s="57"/>
      <c r="L139" s="49"/>
      <c r="N139" s="49"/>
    </row>
    <row r="140" spans="2:14" ht="15.6" x14ac:dyDescent="0.35">
      <c r="B140" s="57"/>
      <c r="C140" s="67" t="s">
        <v>203</v>
      </c>
      <c r="D140" s="57"/>
      <c r="E140" s="57"/>
      <c r="F140" s="57"/>
      <c r="G140" s="67" t="s">
        <v>204</v>
      </c>
      <c r="H140" s="57"/>
      <c r="I140" s="57"/>
      <c r="J140" s="57"/>
      <c r="L140" s="49"/>
      <c r="N140" s="49"/>
    </row>
    <row r="141" spans="2:14" ht="15.6" x14ac:dyDescent="0.35">
      <c r="B141" s="57"/>
      <c r="C141" s="67" t="s">
        <v>205</v>
      </c>
      <c r="D141" s="57"/>
      <c r="E141" s="57"/>
      <c r="F141" s="57"/>
      <c r="G141" s="57" t="s">
        <v>206</v>
      </c>
      <c r="H141" s="57"/>
      <c r="I141" s="57"/>
      <c r="J141" s="57"/>
      <c r="L141" s="49"/>
      <c r="N141" s="49"/>
    </row>
    <row r="142" spans="2:14" ht="15.6" x14ac:dyDescent="0.35">
      <c r="B142" s="57"/>
      <c r="C142" s="67" t="s">
        <v>207</v>
      </c>
      <c r="D142" s="57"/>
      <c r="E142" s="57"/>
      <c r="F142" s="57"/>
      <c r="G142" s="57"/>
      <c r="H142" s="57"/>
      <c r="I142" s="57"/>
      <c r="J142" s="57"/>
      <c r="L142" s="49"/>
      <c r="N142" s="49"/>
    </row>
    <row r="143" spans="2:14" x14ac:dyDescent="0.25">
      <c r="B143" s="57"/>
      <c r="C143" s="67"/>
      <c r="D143" s="57"/>
      <c r="E143" s="57"/>
      <c r="F143" s="57"/>
      <c r="G143" s="57"/>
      <c r="H143" s="57"/>
      <c r="I143" s="57"/>
      <c r="J143" s="57"/>
      <c r="L143" s="49"/>
      <c r="N143" s="49"/>
    </row>
    <row r="144" spans="2:14" x14ac:dyDescent="0.25">
      <c r="B144" s="57"/>
      <c r="C144" s="67"/>
      <c r="D144" s="57" t="s">
        <v>208</v>
      </c>
      <c r="E144" s="57"/>
      <c r="F144" s="57"/>
      <c r="G144" s="57"/>
      <c r="H144" s="57">
        <v>2</v>
      </c>
      <c r="I144" s="57" t="s">
        <v>80</v>
      </c>
      <c r="J144" s="57"/>
      <c r="L144" s="49"/>
      <c r="N144" s="49"/>
    </row>
    <row r="145" spans="2:15" x14ac:dyDescent="0.25">
      <c r="B145" s="57"/>
      <c r="C145" s="57"/>
      <c r="D145" s="57" t="s">
        <v>209</v>
      </c>
      <c r="E145" s="57"/>
      <c r="F145" s="57"/>
      <c r="G145" s="57"/>
      <c r="H145" s="57"/>
      <c r="I145" s="103">
        <f>H144+0.3</f>
        <v>2.2999999999999998</v>
      </c>
      <c r="J145" s="57" t="s">
        <v>80</v>
      </c>
      <c r="L145" s="49"/>
      <c r="N145" s="49"/>
    </row>
    <row r="146" spans="2:15" x14ac:dyDescent="0.25">
      <c r="B146" s="90" t="s">
        <v>86</v>
      </c>
      <c r="C146" s="57"/>
      <c r="D146" s="57"/>
      <c r="E146" s="57"/>
      <c r="F146" s="57"/>
      <c r="G146" s="57"/>
      <c r="H146" s="57"/>
      <c r="I146" s="57"/>
      <c r="J146" s="57"/>
      <c r="L146" s="49"/>
      <c r="N146" s="49"/>
    </row>
    <row r="147" spans="2:15" x14ac:dyDescent="0.25">
      <c r="B147" s="58" t="s">
        <v>87</v>
      </c>
      <c r="C147" s="59">
        <v>1</v>
      </c>
      <c r="D147" s="57" t="s">
        <v>88</v>
      </c>
      <c r="E147" s="152" t="s">
        <v>89</v>
      </c>
      <c r="F147" s="58" t="s">
        <v>90</v>
      </c>
      <c r="G147" s="104">
        <f>F17</f>
        <v>2.52</v>
      </c>
      <c r="H147" s="105" t="s">
        <v>210</v>
      </c>
      <c r="I147" s="57"/>
      <c r="J147" s="57"/>
      <c r="L147" s="49"/>
      <c r="N147" s="49"/>
    </row>
    <row r="148" spans="2:15" ht="15.6" x14ac:dyDescent="0.35">
      <c r="B148" s="61" t="s">
        <v>91</v>
      </c>
      <c r="C148" s="62">
        <v>1.5</v>
      </c>
      <c r="D148" s="63" t="s">
        <v>81</v>
      </c>
      <c r="E148" s="58" t="s">
        <v>89</v>
      </c>
      <c r="F148" s="64" t="s">
        <v>92</v>
      </c>
      <c r="G148" s="104">
        <f>F39</f>
        <v>-0.11</v>
      </c>
      <c r="H148" s="71" t="s">
        <v>80</v>
      </c>
      <c r="I148" s="57"/>
      <c r="J148" s="57"/>
      <c r="L148" s="49"/>
      <c r="N148" s="49"/>
    </row>
    <row r="149" spans="2:15" ht="15.6" x14ac:dyDescent="0.35">
      <c r="B149" s="61" t="s">
        <v>93</v>
      </c>
      <c r="C149" s="62">
        <v>1.8</v>
      </c>
      <c r="D149" s="65" t="s">
        <v>81</v>
      </c>
      <c r="E149" s="57"/>
      <c r="F149" s="58" t="s">
        <v>212</v>
      </c>
      <c r="G149" s="106">
        <f>I145</f>
        <v>2.2999999999999998</v>
      </c>
      <c r="H149" s="57" t="s">
        <v>211</v>
      </c>
      <c r="I149" s="57" t="s">
        <v>94</v>
      </c>
      <c r="J149" s="57"/>
      <c r="L149" s="49"/>
      <c r="N149" s="49"/>
    </row>
    <row r="150" spans="2:15" x14ac:dyDescent="0.25">
      <c r="B150" s="58" t="s">
        <v>213</v>
      </c>
      <c r="C150" s="66">
        <v>-0.6</v>
      </c>
      <c r="D150" s="57" t="s">
        <v>211</v>
      </c>
      <c r="E150" s="57"/>
      <c r="F150" s="61" t="s">
        <v>214</v>
      </c>
      <c r="G150" s="107">
        <f>IF(6*(G149-G148)*4/(G147-G148)&gt;24,24,6*(G149-G148)*4/(G147-G148))</f>
        <v>21.992395437262353</v>
      </c>
      <c r="H150" s="57" t="s">
        <v>215</v>
      </c>
      <c r="I150" s="57"/>
      <c r="J150" s="57"/>
      <c r="L150" s="49"/>
      <c r="N150" s="49"/>
    </row>
    <row r="151" spans="2:15" ht="15.6" x14ac:dyDescent="0.25">
      <c r="B151" s="57"/>
      <c r="C151" s="57"/>
      <c r="D151" s="57"/>
      <c r="E151" s="57"/>
      <c r="F151" s="58" t="s">
        <v>216</v>
      </c>
      <c r="G151" s="106">
        <f>D172</f>
        <v>2.4305555555555554</v>
      </c>
      <c r="H151" s="57" t="s">
        <v>217</v>
      </c>
      <c r="I151" s="57"/>
      <c r="J151" s="57"/>
      <c r="L151" s="49"/>
      <c r="N151" s="49"/>
    </row>
    <row r="152" spans="2:15" x14ac:dyDescent="0.25">
      <c r="B152" s="57"/>
      <c r="C152" s="57"/>
      <c r="D152" s="57"/>
      <c r="E152" s="57"/>
      <c r="F152" s="61" t="s">
        <v>218</v>
      </c>
      <c r="G152" s="108">
        <v>7</v>
      </c>
      <c r="H152" s="57" t="s">
        <v>88</v>
      </c>
      <c r="I152" s="57"/>
      <c r="J152" s="57"/>
      <c r="L152" s="51"/>
      <c r="N152" s="52"/>
      <c r="O152" s="50"/>
    </row>
    <row r="153" spans="2:15" x14ac:dyDescent="0.25">
      <c r="B153" s="57"/>
      <c r="C153" s="57"/>
      <c r="D153" s="57"/>
      <c r="E153" s="57"/>
      <c r="F153" s="64" t="s">
        <v>219</v>
      </c>
      <c r="G153" s="109">
        <f>IF(G147&gt;G149,(G149-G148)/G152,(G147-G148)/G152)</f>
        <v>0.34428571428571425</v>
      </c>
      <c r="H153" s="57" t="s">
        <v>81</v>
      </c>
      <c r="I153" s="57"/>
      <c r="J153" s="57"/>
      <c r="L153" s="52"/>
      <c r="M153" s="50"/>
      <c r="O153" s="50"/>
    </row>
    <row r="154" spans="2:15" x14ac:dyDescent="0.25">
      <c r="B154" s="57"/>
      <c r="C154" s="57"/>
      <c r="D154" s="57"/>
      <c r="E154" s="57"/>
      <c r="F154" s="64"/>
      <c r="G154" s="109"/>
      <c r="H154" s="57"/>
      <c r="I154" s="57"/>
      <c r="J154" s="57"/>
      <c r="L154" s="52"/>
      <c r="M154" s="50"/>
      <c r="O154" s="50"/>
    </row>
    <row r="155" spans="2:15" x14ac:dyDescent="0.25">
      <c r="B155" s="67"/>
      <c r="C155" s="60"/>
      <c r="D155" s="57"/>
      <c r="E155" s="67"/>
      <c r="F155" s="3"/>
      <c r="G155" s="57"/>
      <c r="H155" s="57"/>
      <c r="I155" s="57"/>
      <c r="J155" s="57"/>
      <c r="L155" s="49"/>
    </row>
    <row r="156" spans="2:15" ht="15.6" x14ac:dyDescent="0.35">
      <c r="B156" s="110" t="s">
        <v>220</v>
      </c>
      <c r="C156" s="111" t="s">
        <v>221</v>
      </c>
      <c r="D156" s="110" t="s">
        <v>222</v>
      </c>
      <c r="E156" s="110" t="s">
        <v>223</v>
      </c>
      <c r="F156" s="112" t="s">
        <v>224</v>
      </c>
      <c r="G156" s="110" t="s">
        <v>225</v>
      </c>
      <c r="H156" s="57"/>
      <c r="I156" s="57"/>
      <c r="J156" s="57"/>
      <c r="L156" s="49"/>
    </row>
    <row r="157" spans="2:15" ht="15.6" x14ac:dyDescent="0.25">
      <c r="B157" s="113" t="s">
        <v>226</v>
      </c>
      <c r="C157" s="114" t="s">
        <v>227</v>
      </c>
      <c r="D157" s="113" t="s">
        <v>227</v>
      </c>
      <c r="E157" s="113" t="s">
        <v>227</v>
      </c>
      <c r="F157" s="115"/>
      <c r="G157" s="113" t="s">
        <v>217</v>
      </c>
      <c r="H157" s="57"/>
      <c r="I157" s="116"/>
      <c r="J157" s="117"/>
      <c r="L157" s="49"/>
    </row>
    <row r="158" spans="2:15" ht="13.8" thickBot="1" x14ac:dyDescent="0.3">
      <c r="B158" s="67"/>
      <c r="C158" s="60"/>
      <c r="D158" s="57"/>
      <c r="E158" s="67"/>
      <c r="F158" s="3"/>
      <c r="G158" s="57"/>
      <c r="H158" s="57"/>
      <c r="I158" s="57"/>
      <c r="J158" s="57"/>
      <c r="L158" s="49"/>
    </row>
    <row r="159" spans="2:15" x14ac:dyDescent="0.25">
      <c r="B159" s="118">
        <f>IF(G149&gt;G147,G147,G149)</f>
        <v>2.2999999999999998</v>
      </c>
      <c r="C159" s="119">
        <f>G149-C150</f>
        <v>2.9</v>
      </c>
      <c r="D159" s="120">
        <f>B159-C150</f>
        <v>2.9</v>
      </c>
      <c r="E159" s="121">
        <f>C159-D159</f>
        <v>0</v>
      </c>
      <c r="F159" s="122" t="str">
        <f>IF(AND(C159&gt;C149,D159&gt;C149),"I",IF(AND(C159&gt;1.5*C149,D159&lt;C149), "III",IF(AND(C159&lt;1.5*C149,D159&gt;2*C149/3),"IV",IF(AND(C159&lt;1.5*C149,D159&lt;2*C149/3),"V"))))</f>
        <v>I</v>
      </c>
      <c r="G159" s="123">
        <f>IF(F159="I",0.802*C147*C148*C149*(2*9.81*E159)^0.5,IF(F159="III",0.6*C147*C148*C149*(2*9.81*(C159-C149/2))^0.5,IF(F159="IV",0.816*C147*C148*(C159-E159)*(2*9.81*E159)^0.5,IF(F159="V",1.35*C147*C148*C149^1.5))))</f>
        <v>0</v>
      </c>
      <c r="H159" s="57"/>
      <c r="I159" s="57"/>
      <c r="J159" s="57"/>
      <c r="L159" s="49"/>
    </row>
    <row r="160" spans="2:15" x14ac:dyDescent="0.25">
      <c r="B160" s="124">
        <f>B159-G153</f>
        <v>1.9557142857142855</v>
      </c>
      <c r="C160" s="125"/>
      <c r="D160" s="126">
        <f>B160-C150</f>
        <v>2.5557142857142856</v>
      </c>
      <c r="E160" s="127">
        <f>C159-D160</f>
        <v>0.34428571428571431</v>
      </c>
      <c r="F160" s="128" t="str">
        <f>IF(AND(C159&gt;C149,D160&gt;C149),"I",IF(AND(C159&gt;1.5*C149,D160&lt;C149), "III",IF(AND(C159&lt;1.5*C149,D160&gt;2*C149/3),"IV",IF(AND(C159&lt;1.5*C149,D160&lt;2*C149/3),"V"))))</f>
        <v>I</v>
      </c>
      <c r="G160" s="129">
        <f>IF(F160="I",0.802*C147*C148*C149*(2*9.81*E160)^0.5,IF(F160="III",0.6*C147*C148*C149*(2*9.81*(C159-C149/2))^0.5,IF(F160="IV",0.816*C147*C148*(C159-E160)*(2*9.81*E160)^0.5,IF(F160="V",1.56*C147*C148*C149^1.5))))</f>
        <v>5.6279098904461602</v>
      </c>
      <c r="H160" s="57"/>
      <c r="I160" s="57"/>
      <c r="J160" s="57"/>
      <c r="L160" s="49"/>
    </row>
    <row r="161" spans="2:12" x14ac:dyDescent="0.25">
      <c r="B161" s="124">
        <f>B160-G153</f>
        <v>1.6114285714285712</v>
      </c>
      <c r="C161" s="125"/>
      <c r="D161" s="126">
        <f>B161-C150</f>
        <v>2.2114285714285713</v>
      </c>
      <c r="E161" s="127">
        <f>C159-D161</f>
        <v>0.68857142857142861</v>
      </c>
      <c r="F161" s="128" t="str">
        <f>IF(AND(C159&gt;C149,D161&gt;C149),"I",IF(AND(C159&gt;1.5*C149,D161&lt;C149), "III",IF(AND(C159&lt;1.5*C149,D161&gt;2*C149/3),"IV",IF(AND(C159&lt;1.5*C149,D161&lt;2*C149/3),"V"))))</f>
        <v>I</v>
      </c>
      <c r="G161" s="129">
        <f>IF(F161="I",0.802*C147*C148*C149*(2*9.81*E161)^0.5,IF(F161="III",0.6*C147*C148*C149*(2*9.81*(C159-C149/2))^0.5,IF(F161="IV",0.816*C147*C148*(C159-E161)*(2*9.81*E161)^0.5,IF(F161="V",1.56*C147*C148*C149^1.5))))</f>
        <v>7.9590664948826397</v>
      </c>
      <c r="H161" s="57"/>
      <c r="I161" s="57"/>
      <c r="J161" s="57"/>
      <c r="L161" s="49"/>
    </row>
    <row r="162" spans="2:12" x14ac:dyDescent="0.25">
      <c r="B162" s="124">
        <f>B161-G153</f>
        <v>1.2671428571428569</v>
      </c>
      <c r="C162" s="125"/>
      <c r="D162" s="126">
        <f>B162-C150</f>
        <v>1.867142857142857</v>
      </c>
      <c r="E162" s="127">
        <f>C159-D162</f>
        <v>1.0328571428571429</v>
      </c>
      <c r="F162" s="128" t="str">
        <f>IF(AND(C159&gt;C149,D162&gt;C149),"I",IF(AND(C159&gt;1.5*C149,D162&lt;C149), "III",IF(AND(C159&lt;1.5*C149,D162&gt;2*C149/3),"IV",IF(AND(C159&lt;1.5*C149,D162&lt;2*C149/3),"V"))))</f>
        <v>I</v>
      </c>
      <c r="G162" s="129">
        <f>IF(F162="I",0.802*C147*C148*C149*(2*9.81*E162)^0.5,IF(F162="III",0.6*C147*C148*C149*(2*9.81*(C159-C149/2))^0.5,IF(F162="IV",0.816*C147*C148*(C159-E162)*(2*9.81*E162)^0.5,IF(F162="V",1.56*C147*C148*C149^1.5))))</f>
        <v>9.7478258706721448</v>
      </c>
      <c r="H162" s="57"/>
      <c r="I162" s="57"/>
      <c r="J162" s="57"/>
      <c r="L162" s="49"/>
    </row>
    <row r="163" spans="2:12" x14ac:dyDescent="0.25">
      <c r="B163" s="124">
        <f>B162-G153</f>
        <v>0.9228571428571426</v>
      </c>
      <c r="C163" s="125"/>
      <c r="D163" s="126">
        <f>B163-C150</f>
        <v>1.5228571428571427</v>
      </c>
      <c r="E163" s="127">
        <f>C159-D163</f>
        <v>1.3771428571428572</v>
      </c>
      <c r="F163" s="128" t="str">
        <f>IF(AND(C159&gt;C149,D163&gt;C149),"I",IF(AND(C159&gt;1.5*C149,D163&lt;C149), "III",IF(AND(C159&lt;1.5*C149,D163&gt;2*C149/3),"IV",IF(AND(C159&lt;1.5*C149,D163&lt;2*C149/3),"V"))))</f>
        <v>III</v>
      </c>
      <c r="G163" s="129">
        <f>IF(F163="I",0.802*C147*C148*C149*(2*9.81*E163)^0.5,IF(F163="III",0.6*C147*C148*C149*(2*9.81*(C159-C149/2))^0.5,IF(F163="IV",0.816*C147*C148*(C159-E163)*(2*9.81*E163)^0.5,IF(F163="V",1.56*C147*C148*C149^1.5))))</f>
        <v>10.147977926661055</v>
      </c>
      <c r="H163" s="57"/>
      <c r="I163" s="57"/>
      <c r="J163" s="57"/>
      <c r="L163" s="49"/>
    </row>
    <row r="164" spans="2:12" x14ac:dyDescent="0.25">
      <c r="B164" s="124">
        <f>B163-G153</f>
        <v>0.57857142857142829</v>
      </c>
      <c r="C164" s="125"/>
      <c r="D164" s="126">
        <f>B164-C150</f>
        <v>1.1785714285714284</v>
      </c>
      <c r="E164" s="127">
        <f>C159-D164</f>
        <v>1.7214285714285715</v>
      </c>
      <c r="F164" s="128" t="str">
        <f>IF(AND(C159&gt;C149,D164&gt;C149),"I",IF(AND(C159&gt;1.5*C149,D164&lt;C149), "III",IF(AND(C159&lt;1.5*C149,D164&gt;2*C149/3),"IV",IF(AND(C159&lt;1.5*C149,D164&lt;2*C149/3),"V"))))</f>
        <v>III</v>
      </c>
      <c r="G164" s="129">
        <f>IF(F164="I",0.802*C147*C148*C149*(2*9.81*E164)^0.5,IF(F164="III",0.6*C147*C148*C149*(2*9.81*(C159-C149/2))^0.5,IF(F164="IV",0.816*C147*C148*(C159-E164)*(2*9.81*E164)^0.5,IF(F164="V",1.56*C147*C148*C149^1.5))))</f>
        <v>10.147977926661055</v>
      </c>
      <c r="H164" s="57"/>
      <c r="I164" s="57"/>
      <c r="J164" s="57"/>
    </row>
    <row r="165" spans="2:12" x14ac:dyDescent="0.25">
      <c r="B165" s="124">
        <f>B164-G153</f>
        <v>0.23428571428571404</v>
      </c>
      <c r="C165" s="125"/>
      <c r="D165" s="126">
        <f>B165-C150</f>
        <v>0.83428571428571408</v>
      </c>
      <c r="E165" s="127">
        <f>C159-D165</f>
        <v>2.0657142857142858</v>
      </c>
      <c r="F165" s="128" t="str">
        <f>IF(AND(C159&gt;C149,D165&gt;C149),"I",IF(AND(C159&gt;1.5*C149,D165&lt;C149), "III",IF(AND(C159&lt;1.5*C149,D165&gt;2*C149/3),"IV",IF(AND(C159&lt;1.5*C149,D165&lt;2*C149/3),"V"))))</f>
        <v>III</v>
      </c>
      <c r="G165" s="129">
        <f>IF(F165="I",0.802*C147*C148*C149*(2*9.81*E165)^0.5,IF(F165="III",0.6*C147*C148*C149*(2*9.81*(C159-C149/2))^0.5,IF(F165="IV",0.816*C147*C148*(C159-E165)*(2*9.81*E165)^0.5,IF(F165="V",1.56*C147*C148*C149^1.5))))</f>
        <v>10.147977926661055</v>
      </c>
      <c r="H165" s="57"/>
      <c r="I165" s="57"/>
      <c r="J165" s="57"/>
    </row>
    <row r="166" spans="2:12" ht="13.8" thickBot="1" x14ac:dyDescent="0.3">
      <c r="B166" s="130">
        <f>B165-G153</f>
        <v>-0.11000000000000021</v>
      </c>
      <c r="C166" s="131"/>
      <c r="D166" s="132">
        <f>B166-C150</f>
        <v>0.48999999999999977</v>
      </c>
      <c r="E166" s="133">
        <f>C159-D166</f>
        <v>2.41</v>
      </c>
      <c r="F166" s="134" t="str">
        <f>IF(AND(C159&gt;C149,D166&gt;C149),"I",IF(AND(C159&gt;1.5*C149,D166&lt;C149), "III",IF(AND(C159&lt;1.5*C149,D166&gt;2*C149/3),"IV",IF(AND(C159&lt;1.5*C149,D166&lt;2*C149/3),"V"))))</f>
        <v>III</v>
      </c>
      <c r="G166" s="135">
        <f>IF(F166="I",0.802*C147*C148*C149*(2*9.81*E166)^0.5,IF(F166="III",0.6*C147*C148*C149*(2*9.81*(C159-C149/2))^0.5,IF(F166="IV",0.816*C147*C148*(C159-E166)*(2*9.81*E166)^0.5,IF(F166="V",1.56*C147*C148*C149^1.5))))</f>
        <v>10.147977926661055</v>
      </c>
      <c r="H166" s="57"/>
      <c r="I166" s="57"/>
      <c r="J166" s="57"/>
    </row>
    <row r="167" spans="2:12" x14ac:dyDescent="0.25">
      <c r="B167" s="144"/>
      <c r="C167" s="145"/>
      <c r="D167" s="146"/>
      <c r="E167" s="147"/>
      <c r="F167" s="148"/>
      <c r="G167" s="93">
        <f>AVERAGE(G159:G166)</f>
        <v>7.9908392453306458</v>
      </c>
      <c r="H167" s="136" t="str">
        <f>IF(G167&lt;G151,("TRIAL FOR N, Hv, Bv"),"OK")</f>
        <v>OK</v>
      </c>
      <c r="I167" s="57"/>
      <c r="J167" s="57"/>
    </row>
    <row r="168" spans="2:12" x14ac:dyDescent="0.25">
      <c r="B168" s="144"/>
      <c r="C168" s="145"/>
      <c r="D168" s="146"/>
      <c r="E168" s="147"/>
      <c r="F168" s="148"/>
      <c r="G168" s="93"/>
      <c r="H168" s="136"/>
      <c r="I168" s="57"/>
      <c r="J168" s="57"/>
    </row>
    <row r="169" spans="2:12" x14ac:dyDescent="0.25">
      <c r="B169" s="92"/>
      <c r="C169" s="60"/>
      <c r="D169" s="57"/>
      <c r="E169" s="67"/>
      <c r="F169" s="3"/>
      <c r="I169" s="137"/>
      <c r="J169" s="57"/>
    </row>
    <row r="170" spans="2:12" x14ac:dyDescent="0.25">
      <c r="B170" s="70" t="s">
        <v>113</v>
      </c>
      <c r="C170" s="60"/>
      <c r="D170" s="158">
        <f>F51</f>
        <v>350</v>
      </c>
      <c r="E170" s="70" t="s">
        <v>107</v>
      </c>
      <c r="F170" s="3"/>
      <c r="G170" s="57"/>
      <c r="H170" s="57"/>
      <c r="I170" s="57"/>
      <c r="J170" s="57"/>
    </row>
    <row r="171" spans="2:12" x14ac:dyDescent="0.25">
      <c r="B171" s="57" t="s">
        <v>114</v>
      </c>
      <c r="C171" s="57"/>
      <c r="D171" s="160">
        <f>B57</f>
        <v>60</v>
      </c>
      <c r="E171" s="98" t="s">
        <v>115</v>
      </c>
      <c r="F171" s="3"/>
      <c r="G171" s="57"/>
      <c r="H171" s="57"/>
      <c r="I171" s="57"/>
      <c r="J171" s="57"/>
    </row>
    <row r="172" spans="2:12" ht="15.6" x14ac:dyDescent="0.25">
      <c r="B172" s="71" t="s">
        <v>228</v>
      </c>
      <c r="C172" s="71"/>
      <c r="D172" s="159">
        <f>(D170*D171*10000)/(1000*24*60*60)</f>
        <v>2.4305555555555554</v>
      </c>
      <c r="E172" s="98" t="s">
        <v>242</v>
      </c>
      <c r="F172" s="57"/>
      <c r="G172" s="57"/>
      <c r="H172" s="57"/>
      <c r="I172" s="57"/>
      <c r="J172" s="57"/>
    </row>
    <row r="173" spans="2:12" x14ac:dyDescent="0.25">
      <c r="B173" s="76"/>
      <c r="C173" s="57"/>
      <c r="D173" s="138"/>
      <c r="E173" s="139"/>
      <c r="F173" s="57"/>
      <c r="G173" s="57"/>
      <c r="H173" s="57"/>
      <c r="I173" s="57"/>
      <c r="J173" s="57"/>
    </row>
    <row r="174" spans="2:12" x14ac:dyDescent="0.25">
      <c r="B174" s="71" t="s">
        <v>229</v>
      </c>
      <c r="C174" s="57"/>
      <c r="D174" s="57"/>
      <c r="E174" s="57"/>
      <c r="F174" s="57"/>
      <c r="G174" s="57"/>
      <c r="H174" s="57"/>
      <c r="I174" s="57"/>
      <c r="J174" s="57"/>
    </row>
    <row r="175" spans="2:12" x14ac:dyDescent="0.25">
      <c r="B175" s="69" t="s">
        <v>243</v>
      </c>
      <c r="C175" s="57"/>
      <c r="D175" s="64"/>
      <c r="E175" s="141"/>
      <c r="F175" s="57"/>
      <c r="G175" s="142"/>
      <c r="H175" s="57"/>
      <c r="I175" s="57"/>
      <c r="J175" s="57"/>
    </row>
    <row r="176" spans="2:12" x14ac:dyDescent="0.25">
      <c r="B176" s="140"/>
      <c r="C176" s="57"/>
      <c r="D176" s="64"/>
      <c r="E176" s="141"/>
      <c r="F176" s="57"/>
      <c r="G176" s="142"/>
      <c r="H176" s="57"/>
      <c r="I176" s="57"/>
      <c r="J176" s="57"/>
    </row>
    <row r="177" spans="1:10" x14ac:dyDescent="0.25">
      <c r="B177" s="69" t="s">
        <v>250</v>
      </c>
      <c r="C177" s="57"/>
      <c r="D177" s="57"/>
      <c r="E177" s="57"/>
      <c r="F177" s="57"/>
      <c r="G177" s="57"/>
      <c r="H177" s="57"/>
      <c r="I177" s="57"/>
      <c r="J177" s="57"/>
    </row>
    <row r="178" spans="1:10" x14ac:dyDescent="0.25">
      <c r="B178" s="69" t="s">
        <v>251</v>
      </c>
      <c r="C178" s="57"/>
      <c r="D178" s="57"/>
      <c r="E178" s="72"/>
      <c r="F178" s="73"/>
      <c r="G178" s="72"/>
      <c r="H178" s="57"/>
      <c r="I178" s="57"/>
      <c r="J178" s="57"/>
    </row>
    <row r="179" spans="1:10" x14ac:dyDescent="0.25">
      <c r="B179" s="69" t="s">
        <v>230</v>
      </c>
      <c r="C179" s="57"/>
      <c r="D179" s="57"/>
      <c r="E179" s="143"/>
      <c r="F179" s="39"/>
      <c r="G179" s="39"/>
      <c r="H179" s="57"/>
      <c r="I179" s="57"/>
      <c r="J179" s="57"/>
    </row>
    <row r="180" spans="1:10" x14ac:dyDescent="0.25">
      <c r="B180" s="69" t="s">
        <v>231</v>
      </c>
      <c r="C180" s="57"/>
      <c r="D180" s="57"/>
      <c r="E180" s="57"/>
      <c r="F180" s="57"/>
      <c r="G180" s="57"/>
      <c r="H180" s="57"/>
      <c r="I180" s="57"/>
      <c r="J180" s="57"/>
    </row>
    <row r="181" spans="1:10" x14ac:dyDescent="0.25">
      <c r="B181" s="57"/>
      <c r="C181" s="67"/>
      <c r="D181" s="57"/>
      <c r="E181" s="57"/>
      <c r="F181" s="57"/>
      <c r="G181" s="57"/>
      <c r="H181" s="57"/>
      <c r="I181" s="57"/>
      <c r="J181" s="57"/>
    </row>
    <row r="182" spans="1:10" ht="15.6" x14ac:dyDescent="0.3">
      <c r="A182" s="2"/>
      <c r="B182" s="4"/>
    </row>
    <row r="183" spans="1:10" x14ac:dyDescent="0.25">
      <c r="A183" s="2"/>
      <c r="H183" s="6"/>
    </row>
    <row r="184" spans="1:10" ht="15.6" x14ac:dyDescent="0.3">
      <c r="A184" s="2"/>
      <c r="B184" s="4"/>
    </row>
    <row r="185" spans="1:10" x14ac:dyDescent="0.25">
      <c r="A185" s="2"/>
      <c r="F185" s="2"/>
      <c r="H185" s="3"/>
    </row>
    <row r="186" spans="1:10" x14ac:dyDescent="0.25">
      <c r="A186" s="2"/>
    </row>
    <row r="187" spans="1:10" x14ac:dyDescent="0.25">
      <c r="A187" s="2"/>
      <c r="H187" s="6"/>
    </row>
    <row r="188" spans="1:10" x14ac:dyDescent="0.25">
      <c r="A188" s="2"/>
    </row>
    <row r="189" spans="1:10" ht="15.6" x14ac:dyDescent="0.3">
      <c r="A189" s="2"/>
      <c r="E189" s="7"/>
      <c r="H189" s="6"/>
    </row>
    <row r="190" spans="1:10" x14ac:dyDescent="0.25">
      <c r="A190" s="2"/>
    </row>
    <row r="191" spans="1:10" x14ac:dyDescent="0.25">
      <c r="A191" s="2"/>
    </row>
    <row r="192" spans="1:10" x14ac:dyDescent="0.25">
      <c r="A192" s="2"/>
      <c r="E192" s="2"/>
      <c r="G192" s="9"/>
      <c r="H192" s="9"/>
    </row>
    <row r="193" spans="1:2" x14ac:dyDescent="0.25">
      <c r="A193" s="2"/>
    </row>
    <row r="194" spans="1:2" x14ac:dyDescent="0.25">
      <c r="A194" s="2"/>
    </row>
    <row r="197" spans="1:2" ht="17.399999999999999" x14ac:dyDescent="0.3">
      <c r="B197" s="5"/>
    </row>
  </sheetData>
  <mergeCells count="1">
    <mergeCell ref="J74:J79"/>
  </mergeCells>
  <phoneticPr fontId="0" type="noConversion"/>
  <pageMargins left="0.5" right="0.25" top="0.5" bottom="0.5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6"/>
  <sheetViews>
    <sheetView topLeftCell="A71" workbookViewId="0">
      <selection activeCell="O97" sqref="O97"/>
    </sheetView>
  </sheetViews>
  <sheetFormatPr defaultRowHeight="13.2" x14ac:dyDescent="0.25"/>
  <cols>
    <col min="1" max="1" width="6.33203125" customWidth="1"/>
    <col min="6" max="6" width="7.109375" customWidth="1"/>
    <col min="7" max="7" width="8.33203125" customWidth="1"/>
    <col min="8" max="8" width="10.5546875" bestFit="1" customWidth="1"/>
  </cols>
  <sheetData>
    <row r="1" spans="1:13" ht="21" thickBot="1" x14ac:dyDescent="0.4">
      <c r="A1" s="171" t="s">
        <v>0</v>
      </c>
      <c r="B1" s="171"/>
      <c r="C1" s="171"/>
      <c r="D1" s="171"/>
      <c r="E1" s="43"/>
      <c r="F1" s="43" t="s">
        <v>71</v>
      </c>
      <c r="G1" s="43"/>
      <c r="H1" s="43"/>
      <c r="I1" s="43" t="s">
        <v>72</v>
      </c>
      <c r="J1" s="43"/>
      <c r="K1" s="43"/>
    </row>
    <row r="2" spans="1:13" ht="6.75" customHeight="1" x14ac:dyDescent="0.25"/>
    <row r="3" spans="1:13" x14ac:dyDescent="0.25">
      <c r="A3" s="2">
        <v>1</v>
      </c>
      <c r="B3" t="s">
        <v>1</v>
      </c>
      <c r="F3">
        <v>650</v>
      </c>
      <c r="G3" s="9" t="s">
        <v>58</v>
      </c>
      <c r="H3" s="34">
        <f>(F3*2.47*4840)/(1760*1760)</f>
        <v>2.5085937500000002</v>
      </c>
      <c r="I3" t="s">
        <v>2</v>
      </c>
    </row>
    <row r="4" spans="1:13" ht="9" customHeight="1" x14ac:dyDescent="0.25">
      <c r="A4" s="2"/>
      <c r="H4" s="3"/>
    </row>
    <row r="5" spans="1:13" ht="18.600000000000001" x14ac:dyDescent="0.3">
      <c r="A5" s="2">
        <v>2</v>
      </c>
      <c r="B5" s="4" t="s">
        <v>3</v>
      </c>
      <c r="C5" s="35" t="s">
        <v>6</v>
      </c>
      <c r="F5" s="3">
        <v>3.4</v>
      </c>
      <c r="G5" t="s">
        <v>59</v>
      </c>
      <c r="H5" s="3">
        <f>F5*3.28</f>
        <v>11.151999999999999</v>
      </c>
      <c r="I5" t="s">
        <v>4</v>
      </c>
    </row>
    <row r="6" spans="1:13" x14ac:dyDescent="0.25">
      <c r="A6" s="2"/>
      <c r="H6" s="3"/>
    </row>
    <row r="7" spans="1:13" ht="18.600000000000001" x14ac:dyDescent="0.3">
      <c r="A7" s="2">
        <v>3</v>
      </c>
      <c r="B7" s="4" t="s">
        <v>5</v>
      </c>
      <c r="C7" t="s">
        <v>7</v>
      </c>
      <c r="F7">
        <v>-0.81</v>
      </c>
      <c r="G7" t="s">
        <v>59</v>
      </c>
      <c r="H7" s="3">
        <f>F7*3.28</f>
        <v>-2.6568000000000001</v>
      </c>
      <c r="I7" t="s">
        <v>4</v>
      </c>
    </row>
    <row r="8" spans="1:13" x14ac:dyDescent="0.25">
      <c r="A8" s="2"/>
      <c r="H8" s="3"/>
    </row>
    <row r="9" spans="1:13" x14ac:dyDescent="0.25">
      <c r="A9" s="2">
        <v>4</v>
      </c>
      <c r="B9" t="s">
        <v>15</v>
      </c>
      <c r="F9">
        <v>-0.6</v>
      </c>
      <c r="G9" t="s">
        <v>59</v>
      </c>
      <c r="H9" s="3">
        <f>F9*3.28</f>
        <v>-1.9679999999999997</v>
      </c>
      <c r="I9" t="s">
        <v>4</v>
      </c>
    </row>
    <row r="10" spans="1:13" x14ac:dyDescent="0.25">
      <c r="A10" s="2"/>
      <c r="H10" s="3"/>
    </row>
    <row r="11" spans="1:13" x14ac:dyDescent="0.25">
      <c r="A11" s="2">
        <v>5</v>
      </c>
      <c r="B11" s="35" t="s">
        <v>8</v>
      </c>
      <c r="F11" s="3">
        <v>12.2</v>
      </c>
      <c r="G11" t="s">
        <v>59</v>
      </c>
      <c r="H11" s="3">
        <f>F11*3.28</f>
        <v>40.015999999999998</v>
      </c>
      <c r="I11" t="s">
        <v>9</v>
      </c>
      <c r="M11" s="3"/>
    </row>
    <row r="12" spans="1:13" x14ac:dyDescent="0.25">
      <c r="A12" s="2"/>
      <c r="H12" s="3"/>
    </row>
    <row r="13" spans="1:13" x14ac:dyDescent="0.25">
      <c r="A13" s="2">
        <v>6</v>
      </c>
      <c r="B13" t="s">
        <v>10</v>
      </c>
      <c r="F13" s="3">
        <v>0.3</v>
      </c>
      <c r="G13" t="s">
        <v>59</v>
      </c>
      <c r="H13" s="3">
        <f>F13*3.28</f>
        <v>0.98399999999999987</v>
      </c>
      <c r="I13" t="s">
        <v>4</v>
      </c>
    </row>
    <row r="14" spans="1:13" x14ac:dyDescent="0.25">
      <c r="A14" s="2"/>
      <c r="H14" s="3"/>
    </row>
    <row r="15" spans="1:13" x14ac:dyDescent="0.25">
      <c r="A15" s="2">
        <v>7</v>
      </c>
      <c r="B15" t="s">
        <v>11</v>
      </c>
      <c r="H15" s="3">
        <v>2</v>
      </c>
      <c r="I15" t="s">
        <v>12</v>
      </c>
    </row>
    <row r="16" spans="1:13" x14ac:dyDescent="0.25">
      <c r="A16" s="2"/>
      <c r="H16" s="3"/>
    </row>
    <row r="17" spans="1:12" x14ac:dyDescent="0.25">
      <c r="A17" s="2">
        <v>8</v>
      </c>
      <c r="B17" t="s">
        <v>13</v>
      </c>
      <c r="F17" s="3">
        <v>5</v>
      </c>
      <c r="G17" t="s">
        <v>59</v>
      </c>
      <c r="H17" s="3">
        <f>F17*3.28</f>
        <v>16.399999999999999</v>
      </c>
      <c r="I17" t="s">
        <v>4</v>
      </c>
    </row>
    <row r="18" spans="1:12" ht="17.399999999999999" x14ac:dyDescent="0.3">
      <c r="A18" s="2"/>
      <c r="B18" s="5" t="s">
        <v>14</v>
      </c>
      <c r="H18" s="3"/>
    </row>
    <row r="19" spans="1:12" x14ac:dyDescent="0.25">
      <c r="A19" s="2">
        <v>9</v>
      </c>
      <c r="B19" t="s">
        <v>60</v>
      </c>
      <c r="H19" s="3"/>
    </row>
    <row r="20" spans="1:12" x14ac:dyDescent="0.25">
      <c r="B20" t="s">
        <v>61</v>
      </c>
      <c r="F20" s="3">
        <v>1</v>
      </c>
      <c r="G20" t="s">
        <v>59</v>
      </c>
      <c r="H20" s="6">
        <f>(F20*3.28)</f>
        <v>3.28</v>
      </c>
      <c r="I20" t="s">
        <v>4</v>
      </c>
    </row>
    <row r="21" spans="1:12" x14ac:dyDescent="0.25">
      <c r="A21" s="2"/>
      <c r="H21" s="3"/>
    </row>
    <row r="22" spans="1:12" x14ac:dyDescent="0.25">
      <c r="A22" s="2">
        <v>10</v>
      </c>
      <c r="B22" t="s">
        <v>17</v>
      </c>
      <c r="H22" s="6">
        <f>H5-H7</f>
        <v>13.8088</v>
      </c>
      <c r="I22" t="s">
        <v>16</v>
      </c>
    </row>
    <row r="23" spans="1:12" x14ac:dyDescent="0.25">
      <c r="A23" s="2"/>
      <c r="H23" s="3"/>
      <c r="L23" s="3"/>
    </row>
    <row r="24" spans="1:12" x14ac:dyDescent="0.25">
      <c r="A24" s="2">
        <v>11</v>
      </c>
      <c r="B24" t="s">
        <v>18</v>
      </c>
      <c r="H24" s="6">
        <f>H22/6</f>
        <v>2.3014666666666668</v>
      </c>
      <c r="I24" t="s">
        <v>9</v>
      </c>
    </row>
    <row r="25" spans="1:12" x14ac:dyDescent="0.25">
      <c r="A25" s="2"/>
    </row>
    <row r="26" spans="1:12" x14ac:dyDescent="0.25">
      <c r="A26" s="2">
        <v>12</v>
      </c>
      <c r="B26" s="23" t="s">
        <v>62</v>
      </c>
      <c r="F26" s="3">
        <v>-0.6</v>
      </c>
      <c r="G26" t="s">
        <v>59</v>
      </c>
      <c r="H26" s="24">
        <f>F26*3.28</f>
        <v>-1.9679999999999997</v>
      </c>
      <c r="I26" t="s">
        <v>4</v>
      </c>
      <c r="L26" s="3"/>
    </row>
    <row r="27" spans="1:12" x14ac:dyDescent="0.25">
      <c r="A27" s="2"/>
      <c r="B27" t="s">
        <v>63</v>
      </c>
    </row>
    <row r="28" spans="1:12" x14ac:dyDescent="0.25">
      <c r="A28" s="2">
        <v>13</v>
      </c>
      <c r="B28" t="s">
        <v>19</v>
      </c>
      <c r="G28" t="s">
        <v>20</v>
      </c>
      <c r="H28" s="6">
        <f>(H20-H26)/6</f>
        <v>0.87466666666666659</v>
      </c>
    </row>
    <row r="29" spans="1:12" x14ac:dyDescent="0.25">
      <c r="A29" s="2"/>
    </row>
    <row r="30" spans="1:12" x14ac:dyDescent="0.25">
      <c r="A30" s="2">
        <v>14</v>
      </c>
      <c r="B30" t="s">
        <v>21</v>
      </c>
      <c r="F30" s="2" t="s">
        <v>22</v>
      </c>
      <c r="H30" s="3">
        <v>45</v>
      </c>
      <c r="I30" t="s">
        <v>23</v>
      </c>
    </row>
    <row r="31" spans="1:12" x14ac:dyDescent="0.25">
      <c r="A31" s="2"/>
      <c r="F31" s="2"/>
      <c r="H31" s="3"/>
    </row>
    <row r="32" spans="1:12" x14ac:dyDescent="0.25">
      <c r="A32" s="2">
        <v>18</v>
      </c>
      <c r="B32" t="s">
        <v>32</v>
      </c>
      <c r="D32" s="11" t="s">
        <v>33</v>
      </c>
      <c r="E32" s="3">
        <f>5/3.28</f>
        <v>1.524390243902439</v>
      </c>
      <c r="F32" s="2">
        <v>1.83</v>
      </c>
      <c r="H32" s="3"/>
    </row>
    <row r="33" spans="1:14" x14ac:dyDescent="0.25">
      <c r="A33" s="2"/>
      <c r="B33" s="12"/>
    </row>
    <row r="34" spans="1:14" x14ac:dyDescent="0.25">
      <c r="A34" s="2">
        <v>15</v>
      </c>
      <c r="B34" t="s">
        <v>24</v>
      </c>
      <c r="H34" s="6">
        <f>H30*5</f>
        <v>225</v>
      </c>
      <c r="I34" t="s">
        <v>25</v>
      </c>
    </row>
    <row r="35" spans="1:14" x14ac:dyDescent="0.25">
      <c r="A35" s="2"/>
      <c r="C35" s="12"/>
    </row>
    <row r="36" spans="1:14" ht="18.600000000000001" x14ac:dyDescent="0.3">
      <c r="A36" s="2">
        <v>16</v>
      </c>
      <c r="B36" t="s">
        <v>26</v>
      </c>
      <c r="D36" s="2" t="s">
        <v>35</v>
      </c>
      <c r="E36" s="7" t="s">
        <v>27</v>
      </c>
      <c r="H36" s="6">
        <f>0.315*(H34/5)^0.666</f>
        <v>3.9751185757173721</v>
      </c>
      <c r="I36" t="s">
        <v>28</v>
      </c>
    </row>
    <row r="37" spans="1:14" x14ac:dyDescent="0.25">
      <c r="A37" s="2"/>
    </row>
    <row r="38" spans="1:14" x14ac:dyDescent="0.25">
      <c r="A38" s="2">
        <v>17</v>
      </c>
      <c r="B38" t="s">
        <v>29</v>
      </c>
      <c r="L38" s="3"/>
    </row>
    <row r="39" spans="1:14" x14ac:dyDescent="0.25">
      <c r="D39" s="8" t="s">
        <v>30</v>
      </c>
      <c r="E39" t="s">
        <v>31</v>
      </c>
      <c r="F39" s="3">
        <f xml:space="preserve"> (H36+6)/2</f>
        <v>4.9875592878586863</v>
      </c>
      <c r="G39" s="9" t="s">
        <v>31</v>
      </c>
      <c r="H39" s="37" t="s">
        <v>64</v>
      </c>
      <c r="I39" s="38">
        <f>F39-1.97</f>
        <v>3.0175592878586865</v>
      </c>
    </row>
    <row r="40" spans="1:14" x14ac:dyDescent="0.25">
      <c r="D40" s="10">
        <v>2</v>
      </c>
      <c r="G40" s="9"/>
      <c r="H40" s="9"/>
    </row>
    <row r="41" spans="1:14" ht="9.9" customHeight="1" x14ac:dyDescent="0.25">
      <c r="B41" s="15">
        <v>9</v>
      </c>
      <c r="C41" s="10"/>
      <c r="D41" s="10"/>
      <c r="E41" s="10"/>
      <c r="F41" s="10"/>
      <c r="G41" s="10"/>
      <c r="H41" s="10"/>
      <c r="I41" s="10"/>
      <c r="J41" s="21"/>
      <c r="K41" s="10"/>
    </row>
    <row r="42" spans="1:14" ht="9.9" customHeight="1" x14ac:dyDescent="0.25">
      <c r="B42" s="15">
        <v>8</v>
      </c>
      <c r="C42" s="10"/>
      <c r="D42" s="10"/>
      <c r="E42" s="10"/>
      <c r="F42" s="10"/>
      <c r="G42" s="10"/>
      <c r="H42" s="10"/>
      <c r="I42" s="10"/>
      <c r="J42" s="22">
        <v>400</v>
      </c>
      <c r="K42" s="10"/>
    </row>
    <row r="43" spans="1:14" ht="9.9" customHeight="1" x14ac:dyDescent="0.25">
      <c r="B43" s="15">
        <v>7</v>
      </c>
      <c r="C43" s="10"/>
      <c r="D43" s="10"/>
      <c r="E43" s="10"/>
      <c r="F43" s="10"/>
      <c r="G43" s="10"/>
      <c r="H43" s="10"/>
      <c r="I43" s="10"/>
      <c r="J43" s="21"/>
      <c r="K43" s="10"/>
    </row>
    <row r="44" spans="1:14" ht="9.9" customHeight="1" x14ac:dyDescent="0.25">
      <c r="B44" s="15">
        <v>6</v>
      </c>
      <c r="C44" s="10"/>
      <c r="D44" s="10"/>
      <c r="E44" s="10"/>
      <c r="F44" s="10"/>
      <c r="G44" s="10"/>
      <c r="H44" s="10"/>
      <c r="I44" s="10"/>
      <c r="J44" s="21"/>
      <c r="K44" s="10"/>
    </row>
    <row r="45" spans="1:14" ht="9.9" customHeight="1" x14ac:dyDescent="0.25">
      <c r="B45" s="15">
        <v>5</v>
      </c>
      <c r="C45" s="10"/>
      <c r="D45" s="10"/>
      <c r="E45" s="10"/>
      <c r="F45" s="10"/>
      <c r="G45" s="10"/>
      <c r="H45" s="10"/>
      <c r="I45" s="10"/>
      <c r="J45" s="22">
        <v>300</v>
      </c>
      <c r="K45" s="10"/>
    </row>
    <row r="46" spans="1:14" ht="9.9" customHeight="1" x14ac:dyDescent="0.25">
      <c r="A46" s="20" t="s">
        <v>36</v>
      </c>
      <c r="B46" s="15">
        <v>4</v>
      </c>
      <c r="C46" s="10"/>
      <c r="D46" s="10"/>
      <c r="E46" s="10"/>
      <c r="F46" s="10"/>
      <c r="G46" s="10"/>
      <c r="H46" s="10"/>
      <c r="I46" s="10"/>
      <c r="J46" s="17"/>
      <c r="K46" s="10"/>
    </row>
    <row r="47" spans="1:14" ht="9.9" customHeight="1" x14ac:dyDescent="0.25">
      <c r="A47" s="20" t="s">
        <v>37</v>
      </c>
      <c r="B47" s="15">
        <v>3</v>
      </c>
      <c r="J47" s="17"/>
      <c r="K47" s="16" t="s">
        <v>38</v>
      </c>
      <c r="N47" s="46"/>
    </row>
    <row r="48" spans="1:14" ht="9.9" customHeight="1" x14ac:dyDescent="0.25">
      <c r="B48" s="15">
        <v>2</v>
      </c>
      <c r="J48" s="17">
        <v>200</v>
      </c>
      <c r="K48" s="16" t="s">
        <v>39</v>
      </c>
    </row>
    <row r="49" spans="1:18" ht="9.9" customHeight="1" x14ac:dyDescent="0.25">
      <c r="B49" s="15">
        <v>1</v>
      </c>
      <c r="J49" s="17"/>
    </row>
    <row r="50" spans="1:18" ht="9.9" customHeight="1" x14ac:dyDescent="0.25">
      <c r="B50" s="15">
        <v>0</v>
      </c>
      <c r="J50" s="17"/>
    </row>
    <row r="51" spans="1:18" ht="9.9" customHeight="1" x14ac:dyDescent="0.25">
      <c r="J51" s="17">
        <v>100</v>
      </c>
    </row>
    <row r="52" spans="1:18" ht="9.9" customHeight="1" x14ac:dyDescent="0.25">
      <c r="B52" s="12" t="s">
        <v>34</v>
      </c>
      <c r="J52" s="17"/>
    </row>
    <row r="53" spans="1:18" ht="9.9" customHeight="1" x14ac:dyDescent="0.25">
      <c r="B53" s="12"/>
    </row>
    <row r="54" spans="1:18" ht="9.9" customHeight="1" x14ac:dyDescent="0.25">
      <c r="B54" s="12"/>
      <c r="J54" s="17">
        <v>0</v>
      </c>
    </row>
    <row r="55" spans="1:18" ht="9.75" customHeight="1" x14ac:dyDescent="0.25">
      <c r="B55" s="14"/>
      <c r="D55" s="19">
        <v>0</v>
      </c>
      <c r="F55" s="15">
        <v>12</v>
      </c>
    </row>
    <row r="56" spans="1:18" x14ac:dyDescent="0.25">
      <c r="B56" s="14"/>
      <c r="D56" s="19"/>
      <c r="E56" s="174" t="s">
        <v>56</v>
      </c>
      <c r="F56" s="174"/>
      <c r="G56" s="174"/>
    </row>
    <row r="57" spans="1:18" x14ac:dyDescent="0.25">
      <c r="B57" s="14"/>
      <c r="D57" s="19"/>
      <c r="F57" s="15"/>
    </row>
    <row r="58" spans="1:18" x14ac:dyDescent="0.25">
      <c r="B58" s="12"/>
    </row>
    <row r="59" spans="1:18" ht="16.5" customHeight="1" x14ac:dyDescent="0.25">
      <c r="A59" s="40" t="s">
        <v>67</v>
      </c>
      <c r="B59" s="40"/>
      <c r="C59" s="40"/>
      <c r="D59" s="40"/>
      <c r="E59" s="40"/>
      <c r="F59" s="40"/>
      <c r="G59" s="40"/>
      <c r="H59" s="40"/>
      <c r="I59" s="40"/>
    </row>
    <row r="60" spans="1:18" x14ac:dyDescent="0.25">
      <c r="A60" s="45" t="s">
        <v>73</v>
      </c>
      <c r="B60" s="25"/>
      <c r="C60" s="25"/>
      <c r="D60" s="25"/>
      <c r="E60" s="25"/>
      <c r="F60" s="25"/>
      <c r="G60" s="25"/>
      <c r="H60" s="25"/>
      <c r="I60" s="25"/>
    </row>
    <row r="61" spans="1:18" x14ac:dyDescent="0.25">
      <c r="B61" s="13"/>
      <c r="N61" s="167"/>
      <c r="O61" s="167"/>
      <c r="P61" s="167"/>
      <c r="Q61" s="167"/>
      <c r="R61" s="167"/>
    </row>
    <row r="62" spans="1:18" x14ac:dyDescent="0.25">
      <c r="B62" s="16" t="s">
        <v>40</v>
      </c>
      <c r="C62" s="16"/>
      <c r="D62" s="16"/>
      <c r="E62" s="16"/>
      <c r="F62" s="16"/>
      <c r="G62" s="16"/>
      <c r="H62" s="16"/>
      <c r="I62" s="16"/>
      <c r="J62" s="16"/>
      <c r="K62" s="16"/>
      <c r="N62" s="167"/>
      <c r="O62" s="167"/>
      <c r="P62" s="167"/>
      <c r="Q62" s="167"/>
      <c r="R62" s="167"/>
    </row>
    <row r="63" spans="1:18" x14ac:dyDescent="0.25">
      <c r="B63" s="46" t="s">
        <v>74</v>
      </c>
      <c r="C63" s="46" t="s">
        <v>75</v>
      </c>
      <c r="D63" s="3">
        <f>H5-H7</f>
        <v>13.8088</v>
      </c>
      <c r="E63" t="s">
        <v>65</v>
      </c>
      <c r="G63" s="2">
        <v>6</v>
      </c>
      <c r="H63" t="s">
        <v>41</v>
      </c>
      <c r="I63" s="16"/>
      <c r="J63" s="16"/>
      <c r="K63" s="16"/>
      <c r="N63" s="26"/>
      <c r="O63" s="26"/>
      <c r="P63" s="26"/>
      <c r="Q63" s="27"/>
      <c r="R63" s="26"/>
    </row>
    <row r="64" spans="1:18" x14ac:dyDescent="0.25">
      <c r="B64" s="16"/>
      <c r="C64" s="16"/>
      <c r="D64" s="3">
        <v>1</v>
      </c>
      <c r="E64" t="s">
        <v>65</v>
      </c>
      <c r="G64" s="39">
        <f>D63/G63</f>
        <v>2.3014666666666668</v>
      </c>
      <c r="H64" t="s">
        <v>41</v>
      </c>
      <c r="I64" s="16"/>
      <c r="J64" s="16"/>
      <c r="K64" s="16"/>
    </row>
    <row r="65" spans="2:19" x14ac:dyDescent="0.25">
      <c r="B65" s="16"/>
      <c r="C65" s="20" t="s">
        <v>66</v>
      </c>
      <c r="D65" s="3">
        <f>F39</f>
        <v>4.9875592878586863</v>
      </c>
      <c r="E65" t="s">
        <v>65</v>
      </c>
      <c r="G65" s="39">
        <f xml:space="preserve"> (G63/D63)*D65</f>
        <v>2.1671221052627399</v>
      </c>
      <c r="H65" t="s">
        <v>41</v>
      </c>
      <c r="I65" s="16" t="s">
        <v>42</v>
      </c>
      <c r="J65" s="16"/>
      <c r="K65" s="16"/>
    </row>
    <row r="66" spans="2:19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</row>
    <row r="67" spans="2:19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</row>
    <row r="68" spans="2:19" x14ac:dyDescent="0.25">
      <c r="B68" s="167" t="s">
        <v>43</v>
      </c>
      <c r="C68" s="167"/>
      <c r="D68" s="16"/>
      <c r="E68" s="16"/>
      <c r="F68" s="16"/>
      <c r="G68" s="16"/>
      <c r="H68" s="16"/>
      <c r="I68" s="16"/>
      <c r="J68" s="16"/>
      <c r="K68" s="16"/>
    </row>
    <row r="69" spans="2:19" x14ac:dyDescent="0.25">
      <c r="B69" s="16"/>
      <c r="C69" s="16">
        <v>13.81</v>
      </c>
      <c r="D69" s="41" t="s">
        <v>65</v>
      </c>
      <c r="E69" s="41"/>
      <c r="F69" s="41">
        <v>6</v>
      </c>
      <c r="G69" s="41" t="s">
        <v>68</v>
      </c>
      <c r="H69" s="41"/>
      <c r="I69" s="41"/>
      <c r="J69" s="16"/>
      <c r="K69" s="16"/>
      <c r="N69" s="167"/>
      <c r="O69" s="167"/>
      <c r="P69" s="167"/>
      <c r="Q69" s="167"/>
      <c r="R69" s="167"/>
      <c r="S69" s="167"/>
    </row>
    <row r="70" spans="2:19" x14ac:dyDescent="0.25">
      <c r="B70" s="16"/>
      <c r="C70" s="16">
        <v>1</v>
      </c>
      <c r="D70" s="41" t="s">
        <v>65</v>
      </c>
      <c r="E70" s="41"/>
      <c r="F70" s="42">
        <f>F69/C69</f>
        <v>0.43446777697320782</v>
      </c>
      <c r="G70" s="41" t="s">
        <v>68</v>
      </c>
      <c r="H70" s="41"/>
      <c r="I70" s="41"/>
      <c r="J70" s="16"/>
      <c r="K70" s="16"/>
      <c r="N70" s="167"/>
      <c r="O70" s="167"/>
      <c r="P70" s="167"/>
      <c r="Q70" s="167"/>
      <c r="R70" s="167"/>
      <c r="S70" s="167"/>
    </row>
    <row r="71" spans="2:19" x14ac:dyDescent="0.25">
      <c r="B71" s="16" t="s">
        <v>69</v>
      </c>
      <c r="C71" s="20">
        <f>1.97+6</f>
        <v>7.97</v>
      </c>
      <c r="D71" s="41" t="s">
        <v>65</v>
      </c>
      <c r="E71" s="41"/>
      <c r="F71" s="42">
        <f>F70*C71</f>
        <v>3.4627081824764661</v>
      </c>
      <c r="G71" s="41" t="s">
        <v>68</v>
      </c>
      <c r="H71" s="36"/>
      <c r="I71" s="36" t="s">
        <v>70</v>
      </c>
      <c r="J71" s="16"/>
      <c r="K71" s="16"/>
      <c r="N71" s="167"/>
      <c r="O71" s="167"/>
      <c r="P71" s="167"/>
      <c r="Q71" s="27"/>
      <c r="R71" s="26"/>
      <c r="S71" s="26"/>
    </row>
    <row r="72" spans="2:19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 spans="2:19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</row>
    <row r="74" spans="2:19" x14ac:dyDescent="0.25">
      <c r="B74" s="16" t="s">
        <v>44</v>
      </c>
      <c r="C74" s="16"/>
      <c r="D74" s="16"/>
      <c r="E74" s="16"/>
      <c r="F74" s="16"/>
      <c r="G74" s="29">
        <f>2*(G65*H34)*3600+2*((F71-G65)/2)*H34*3600</f>
        <v>4560162.5330687566</v>
      </c>
      <c r="H74" s="30" t="s">
        <v>45</v>
      </c>
      <c r="I74" s="170" t="s">
        <v>57</v>
      </c>
      <c r="J74" s="170"/>
      <c r="K74" s="16"/>
    </row>
    <row r="75" spans="2:19" x14ac:dyDescent="0.25">
      <c r="B75" s="16"/>
      <c r="C75" s="16"/>
      <c r="D75" s="16"/>
      <c r="E75" s="16"/>
      <c r="F75" s="16"/>
      <c r="G75" s="31"/>
      <c r="H75" s="31"/>
      <c r="I75" s="31"/>
      <c r="J75" s="31"/>
      <c r="K75" s="16"/>
    </row>
    <row r="76" spans="2:19" x14ac:dyDescent="0.25">
      <c r="B76" s="167" t="s">
        <v>46</v>
      </c>
      <c r="C76" s="167"/>
      <c r="D76" s="167"/>
      <c r="E76" s="167"/>
      <c r="F76" s="167"/>
      <c r="G76" s="32">
        <f>(G74/(4840*9))</f>
        <v>104.68692683812573</v>
      </c>
      <c r="H76" s="30" t="s">
        <v>47</v>
      </c>
      <c r="I76" s="170" t="s">
        <v>57</v>
      </c>
      <c r="J76" s="170"/>
      <c r="K76" s="16"/>
    </row>
    <row r="77" spans="2:19" x14ac:dyDescent="0.25">
      <c r="B77" s="16"/>
      <c r="C77" s="16"/>
      <c r="D77" s="16"/>
      <c r="E77" s="16"/>
      <c r="F77" s="16"/>
      <c r="G77" s="31"/>
      <c r="H77" s="31"/>
      <c r="I77" s="31"/>
      <c r="J77" s="31"/>
      <c r="K77" s="16"/>
    </row>
    <row r="78" spans="2:19" x14ac:dyDescent="0.25">
      <c r="B78" s="167" t="s">
        <v>48</v>
      </c>
      <c r="C78" s="167"/>
      <c r="D78" s="167"/>
      <c r="E78" s="167"/>
      <c r="F78" s="167"/>
      <c r="G78" s="33">
        <f>G76*2</f>
        <v>209.37385367625146</v>
      </c>
      <c r="H78" s="30" t="s">
        <v>47</v>
      </c>
      <c r="I78" s="170" t="s">
        <v>57</v>
      </c>
      <c r="J78" s="170"/>
      <c r="K78" s="16"/>
    </row>
    <row r="79" spans="2:19" x14ac:dyDescent="0.25">
      <c r="B79" s="16"/>
      <c r="C79" s="16"/>
      <c r="D79" s="16"/>
      <c r="E79" s="16"/>
      <c r="F79" s="16"/>
      <c r="G79" s="31"/>
      <c r="H79" s="31"/>
      <c r="I79" s="31"/>
      <c r="J79" s="31"/>
      <c r="K79" s="16"/>
    </row>
    <row r="80" spans="2:19" x14ac:dyDescent="0.25">
      <c r="B80" s="167" t="s">
        <v>49</v>
      </c>
      <c r="C80" s="167"/>
      <c r="D80" s="167"/>
      <c r="E80" s="167"/>
      <c r="F80" s="167"/>
      <c r="G80" s="32">
        <f>(G78*4840*9/(24*60*60))</f>
        <v>105.55931789511011</v>
      </c>
      <c r="H80" s="30" t="s">
        <v>50</v>
      </c>
      <c r="I80" s="31"/>
      <c r="J80" s="31"/>
      <c r="K80" s="16"/>
    </row>
    <row r="81" spans="2:21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</row>
    <row r="82" spans="2:21" x14ac:dyDescent="0.25">
      <c r="B82" s="28" t="s">
        <v>51</v>
      </c>
      <c r="C82" s="28"/>
      <c r="D82" s="28"/>
      <c r="E82" s="28"/>
      <c r="F82" s="28"/>
      <c r="G82" s="16"/>
      <c r="H82" s="16"/>
      <c r="I82" s="16"/>
      <c r="J82" s="16"/>
      <c r="K82" s="16"/>
    </row>
    <row r="83" spans="2:21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</row>
    <row r="84" spans="2:21" x14ac:dyDescent="0.25">
      <c r="B84" s="167" t="s">
        <v>52</v>
      </c>
      <c r="C84" s="167"/>
      <c r="D84" s="167"/>
      <c r="E84" s="167"/>
      <c r="F84" s="167"/>
      <c r="G84" s="167" t="s">
        <v>53</v>
      </c>
      <c r="H84" s="167"/>
      <c r="I84" s="167"/>
      <c r="J84" s="16"/>
      <c r="K84" s="16"/>
    </row>
    <row r="85" spans="2:21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</row>
    <row r="86" spans="2:21" x14ac:dyDescent="0.25">
      <c r="B86" s="167" t="s">
        <v>54</v>
      </c>
      <c r="C86" s="167"/>
      <c r="D86" s="167"/>
      <c r="E86" s="167"/>
      <c r="F86" s="16"/>
      <c r="G86" s="20">
        <v>2</v>
      </c>
      <c r="H86" s="26" t="s">
        <v>55</v>
      </c>
      <c r="I86" s="169"/>
      <c r="J86" s="169"/>
      <c r="K86" s="16"/>
    </row>
    <row r="87" spans="2:21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</row>
    <row r="88" spans="2:21" x14ac:dyDescent="0.25">
      <c r="B88" s="167" t="s">
        <v>52</v>
      </c>
      <c r="C88" s="167"/>
      <c r="D88" s="167"/>
      <c r="E88" s="167"/>
      <c r="F88" s="167"/>
      <c r="G88" s="44">
        <f>(27*G86*H3)</f>
        <v>135.46406250000001</v>
      </c>
      <c r="H88" s="18" t="s">
        <v>50</v>
      </c>
      <c r="I88" s="170" t="s">
        <v>57</v>
      </c>
      <c r="J88" s="170"/>
      <c r="K88" s="16"/>
    </row>
    <row r="89" spans="2:21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</row>
    <row r="90" spans="2:21" x14ac:dyDescent="0.25">
      <c r="B90" s="168" t="s">
        <v>76</v>
      </c>
      <c r="C90" s="167"/>
      <c r="D90" s="167"/>
      <c r="E90" s="167"/>
      <c r="F90" s="167"/>
      <c r="G90" s="17">
        <f>G88*1.1</f>
        <v>149.01046875000003</v>
      </c>
      <c r="H90" s="16"/>
      <c r="I90" s="170" t="s">
        <v>57</v>
      </c>
      <c r="J90" s="170"/>
      <c r="K90" s="16"/>
      <c r="M90" s="167"/>
      <c r="N90" s="167"/>
      <c r="O90" s="167"/>
      <c r="P90" s="167"/>
      <c r="Q90" s="167"/>
      <c r="R90" s="17"/>
      <c r="S90" s="16"/>
      <c r="T90" s="170"/>
      <c r="U90" s="170"/>
    </row>
    <row r="91" spans="2:21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M91" s="16"/>
      <c r="N91" s="16"/>
      <c r="O91" s="16"/>
      <c r="P91" s="16"/>
      <c r="Q91" s="16"/>
      <c r="R91" s="16"/>
      <c r="S91" s="16"/>
      <c r="T91" s="16"/>
      <c r="U91" s="16"/>
    </row>
    <row r="92" spans="2:21" x14ac:dyDescent="0.25">
      <c r="B92" s="47" t="s">
        <v>77</v>
      </c>
      <c r="C92" s="47"/>
      <c r="D92" s="47"/>
      <c r="E92" s="47"/>
      <c r="F92" s="47"/>
      <c r="G92" s="48">
        <f>G90/G80</f>
        <v>1.4116278100438799</v>
      </c>
      <c r="H92" s="16"/>
      <c r="I92" s="16"/>
      <c r="J92" s="16"/>
      <c r="K92" s="16"/>
      <c r="M92" s="172"/>
      <c r="N92" s="172"/>
      <c r="O92" s="172"/>
      <c r="P92" s="172"/>
      <c r="Q92" s="172"/>
      <c r="R92" s="172"/>
      <c r="S92" s="16"/>
      <c r="T92" s="16"/>
      <c r="U92" s="16"/>
    </row>
    <row r="93" spans="2:21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</row>
    <row r="94" spans="2:21" ht="20.399999999999999" x14ac:dyDescent="0.35">
      <c r="B94" s="16"/>
      <c r="C94" s="173" t="s">
        <v>78</v>
      </c>
      <c r="D94" s="173"/>
      <c r="E94" s="173"/>
      <c r="F94" s="173"/>
      <c r="G94" s="173"/>
      <c r="H94" s="173"/>
      <c r="I94" s="16"/>
      <c r="J94" s="16"/>
      <c r="K94" s="16"/>
    </row>
    <row r="95" spans="2:21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</row>
    <row r="96" spans="2:21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</row>
    <row r="97" spans="2:11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</row>
    <row r="98" spans="2:11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</row>
    <row r="99" spans="2:11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</row>
    <row r="100" spans="2:11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</row>
    <row r="101" spans="2:11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</row>
    <row r="102" spans="2:11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</row>
    <row r="103" spans="2:11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</row>
    <row r="104" spans="2:11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</row>
    <row r="105" spans="2:11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</row>
    <row r="106" spans="2:11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</row>
    <row r="107" spans="2:11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</row>
    <row r="108" spans="2:11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</row>
    <row r="109" spans="2:11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</row>
    <row r="110" spans="2:11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</row>
    <row r="111" spans="2:11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</row>
    <row r="112" spans="2:11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</row>
    <row r="113" spans="2:11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</row>
    <row r="114" spans="2:11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</row>
    <row r="115" spans="2:11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</row>
    <row r="116" spans="2:11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</row>
  </sheetData>
  <mergeCells count="26">
    <mergeCell ref="A1:D1"/>
    <mergeCell ref="M90:Q90"/>
    <mergeCell ref="T90:U90"/>
    <mergeCell ref="M92:R92"/>
    <mergeCell ref="C94:H94"/>
    <mergeCell ref="B68:C68"/>
    <mergeCell ref="N69:S69"/>
    <mergeCell ref="N70:S70"/>
    <mergeCell ref="B80:F80"/>
    <mergeCell ref="B76:F76"/>
    <mergeCell ref="B78:F78"/>
    <mergeCell ref="E56:G56"/>
    <mergeCell ref="I74:J74"/>
    <mergeCell ref="I76:J76"/>
    <mergeCell ref="I78:J78"/>
    <mergeCell ref="N61:R61"/>
    <mergeCell ref="N62:R62"/>
    <mergeCell ref="N71:P71"/>
    <mergeCell ref="B90:F90"/>
    <mergeCell ref="B84:F84"/>
    <mergeCell ref="G84:I84"/>
    <mergeCell ref="B86:E86"/>
    <mergeCell ref="B88:F88"/>
    <mergeCell ref="I86:J86"/>
    <mergeCell ref="I88:J88"/>
    <mergeCell ref="I90:J90"/>
  </mergeCells>
  <phoneticPr fontId="0" type="noConversion"/>
  <pageMargins left="0.7" right="0.45" top="0.25" bottom="0.25" header="0.23" footer="0.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utoCAD.Drawing.17" shapeId="3074" r:id="rId4">
          <objectPr defaultSize="0" autoPict="0" r:id="rId5">
            <anchor moveWithCells="1">
              <from>
                <xdr:col>2</xdr:col>
                <xdr:colOff>259080</xdr:colOff>
                <xdr:row>40</xdr:row>
                <xdr:rowOff>68580</xdr:rowOff>
              </from>
              <to>
                <xdr:col>9</xdr:col>
                <xdr:colOff>45720</xdr:colOff>
                <xdr:row>53</xdr:row>
                <xdr:rowOff>38100</xdr:rowOff>
              </to>
            </anchor>
          </objectPr>
        </oleObject>
      </mc:Choice>
      <mc:Fallback>
        <oleObject progId="AutoCAD.Drawing.17" shapeId="307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Sluice Capacity</vt:lpstr>
      <vt:lpstr>T.Sluice</vt:lpstr>
      <vt:lpstr>'Sluice Capacity'!Print_Area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Nasir</dc:creator>
  <cp:lastModifiedBy>Home</cp:lastModifiedBy>
  <cp:lastPrinted>2011-06-26T05:13:28Z</cp:lastPrinted>
  <dcterms:created xsi:type="dcterms:W3CDTF">2011-05-11T09:20:57Z</dcterms:created>
  <dcterms:modified xsi:type="dcterms:W3CDTF">2021-12-24T14:42:39Z</dcterms:modified>
</cp:coreProperties>
</file>