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240" yWindow="12" windowWidth="16092" windowHeight="9660" firstSheet="7" activeTab="11"/>
  </bookViews>
  <sheets>
    <sheet name="Basic_Parameter" sheetId="1" r:id="rId1"/>
    <sheet name="Stilling Basin FPS" sheetId="2" r:id="rId2"/>
    <sheet name="Stilling Basin MKS" sheetId="3" r:id="rId3"/>
    <sheet name="Selected Basin" sheetId="4" r:id="rId4"/>
    <sheet name="Seepage_calc" sheetId="5" r:id="rId5"/>
    <sheet name="thickness_calc" sheetId="6" r:id="rId6"/>
    <sheet name="Deailed_thickness" sheetId="7" r:id="rId7"/>
    <sheet name="Load Calcualtion Input" sheetId="8" r:id="rId8"/>
    <sheet name="Barrel Load" sheetId="9" r:id="rId9"/>
    <sheet name="Counter_fort_calcualtion" sheetId="10" r:id="rId10"/>
    <sheet name="Sheet2" sheetId="11" r:id="rId11"/>
    <sheet name="Counter_fort_calcualtion_Chadni" sheetId="12" r:id="rId12"/>
  </sheets>
  <calcPr calcId="162913"/>
</workbook>
</file>

<file path=xl/calcChain.xml><?xml version="1.0" encoding="utf-8"?>
<calcChain xmlns="http://schemas.openxmlformats.org/spreadsheetml/2006/main">
  <c r="I43" i="12" l="1"/>
  <c r="H43" i="12"/>
  <c r="I42" i="12"/>
  <c r="H42" i="12"/>
  <c r="I41" i="12"/>
  <c r="H41" i="12"/>
  <c r="J40" i="12"/>
  <c r="J39" i="12"/>
  <c r="H39" i="12"/>
  <c r="G39" i="12"/>
  <c r="C39" i="12"/>
  <c r="H38" i="12"/>
  <c r="G38" i="12"/>
  <c r="C38" i="12"/>
  <c r="H37" i="12"/>
  <c r="G37" i="12"/>
  <c r="C37" i="12"/>
  <c r="I24" i="12"/>
  <c r="H24" i="12"/>
  <c r="J23" i="12"/>
  <c r="D23" i="12"/>
  <c r="D39" i="12" s="1"/>
  <c r="J22" i="12"/>
  <c r="J38" i="12" s="1"/>
  <c r="J21" i="12"/>
  <c r="J37" i="12" s="1"/>
  <c r="F21" i="12"/>
  <c r="F37" i="12" s="1"/>
  <c r="D21" i="12"/>
  <c r="E21" i="12" s="1"/>
  <c r="B14" i="12"/>
  <c r="B13" i="12"/>
  <c r="F40" i="12" s="1"/>
  <c r="B10" i="12"/>
  <c r="B15" i="12" s="1"/>
  <c r="G24" i="12" s="1"/>
  <c r="J24" i="12" s="1"/>
  <c r="J25" i="12" s="1"/>
  <c r="B6" i="12"/>
  <c r="H41" i="10"/>
  <c r="B6" i="10"/>
  <c r="B16" i="10"/>
  <c r="B17" i="10"/>
  <c r="E40" i="12" l="1"/>
  <c r="I40" i="12" s="1"/>
  <c r="K40" i="12" s="1"/>
  <c r="F22" i="12"/>
  <c r="F38" i="12" s="1"/>
  <c r="E23" i="12"/>
  <c r="E39" i="12" s="1"/>
  <c r="D37" i="12"/>
  <c r="K24" i="12"/>
  <c r="D22" i="12"/>
  <c r="F23" i="12"/>
  <c r="F39" i="12" s="1"/>
  <c r="B17" i="12"/>
  <c r="G42" i="12" s="1"/>
  <c r="J42" i="12" s="1"/>
  <c r="K42" i="12" s="1"/>
  <c r="E37" i="12"/>
  <c r="B18" i="12"/>
  <c r="G43" i="12" s="1"/>
  <c r="J43" i="12" s="1"/>
  <c r="K43" i="12" s="1"/>
  <c r="I21" i="12"/>
  <c r="B16" i="12"/>
  <c r="G41" i="12" s="1"/>
  <c r="J41" i="12" s="1"/>
  <c r="I42" i="10"/>
  <c r="I43" i="10"/>
  <c r="I41" i="10"/>
  <c r="J40" i="10"/>
  <c r="D39" i="10"/>
  <c r="G39" i="10"/>
  <c r="H39" i="10"/>
  <c r="J39" i="10"/>
  <c r="G38" i="10"/>
  <c r="H38" i="10"/>
  <c r="J38" i="10"/>
  <c r="E37" i="10"/>
  <c r="G37" i="10"/>
  <c r="H37" i="10"/>
  <c r="J37" i="10"/>
  <c r="D37" i="10"/>
  <c r="C38" i="10"/>
  <c r="C39" i="10"/>
  <c r="C37" i="10"/>
  <c r="J22" i="10"/>
  <c r="J23" i="10"/>
  <c r="J21" i="10"/>
  <c r="I24" i="10"/>
  <c r="H24" i="10"/>
  <c r="B15" i="10"/>
  <c r="G24" i="10" s="1"/>
  <c r="J24" i="10" s="1"/>
  <c r="F21" i="10"/>
  <c r="F37" i="10" s="1"/>
  <c r="D23" i="10"/>
  <c r="E23" i="10" s="1"/>
  <c r="E39" i="10" s="1"/>
  <c r="B13" i="10"/>
  <c r="D22" i="10" s="1"/>
  <c r="E22" i="10" s="1"/>
  <c r="E38" i="10" s="1"/>
  <c r="D21" i="10"/>
  <c r="E21" i="10" s="1"/>
  <c r="B10" i="10"/>
  <c r="I23" i="12" l="1"/>
  <c r="I39" i="12" s="1"/>
  <c r="J44" i="12"/>
  <c r="K41" i="12"/>
  <c r="K45" i="12" s="1"/>
  <c r="K21" i="12"/>
  <c r="I37" i="12"/>
  <c r="E22" i="12"/>
  <c r="D38" i="12"/>
  <c r="F40" i="10"/>
  <c r="I21" i="10"/>
  <c r="K21" i="10" s="1"/>
  <c r="K37" i="10" s="1"/>
  <c r="D38" i="10"/>
  <c r="K24" i="10"/>
  <c r="J25" i="10"/>
  <c r="F22" i="10"/>
  <c r="F23" i="10"/>
  <c r="E25" i="10"/>
  <c r="E26" i="10" s="1"/>
  <c r="K23" i="12" l="1"/>
  <c r="K39" i="12" s="1"/>
  <c r="E38" i="12"/>
  <c r="E44" i="12" s="1"/>
  <c r="E45" i="12" s="1"/>
  <c r="I22" i="12"/>
  <c r="E25" i="12"/>
  <c r="E26" i="12" s="1"/>
  <c r="K37" i="12"/>
  <c r="I37" i="10"/>
  <c r="I22" i="10"/>
  <c r="I38" i="10" s="1"/>
  <c r="F38" i="10"/>
  <c r="I23" i="10"/>
  <c r="F39" i="10"/>
  <c r="I38" i="12" l="1"/>
  <c r="I44" i="12" s="1"/>
  <c r="K22" i="12"/>
  <c r="I25" i="12"/>
  <c r="I25" i="10"/>
  <c r="K22" i="10"/>
  <c r="K38" i="10" s="1"/>
  <c r="K23" i="10"/>
  <c r="K39" i="10" s="1"/>
  <c r="I39" i="10"/>
  <c r="K38" i="12" l="1"/>
  <c r="K44" i="12" s="1"/>
  <c r="E46" i="12" s="1"/>
  <c r="E47" i="12" s="1"/>
  <c r="K25" i="12"/>
  <c r="D27" i="12" s="1"/>
  <c r="D28" i="12" s="1"/>
  <c r="K25" i="10"/>
  <c r="D27" i="10" s="1"/>
  <c r="D28" i="10" s="1"/>
  <c r="D30" i="10" s="1"/>
  <c r="D30" i="12" l="1"/>
  <c r="D29" i="12"/>
  <c r="E48" i="12"/>
  <c r="E49" i="12"/>
  <c r="D29" i="10"/>
  <c r="H42" i="10" l="1"/>
  <c r="B18" i="10"/>
  <c r="G43" i="10" s="1"/>
  <c r="B14" i="10"/>
  <c r="E40" i="10" s="1"/>
  <c r="G41" i="10"/>
  <c r="E44" i="10" l="1"/>
  <c r="E45" i="10" s="1"/>
  <c r="I40" i="10"/>
  <c r="G42" i="10"/>
  <c r="J42" i="10" s="1"/>
  <c r="K42" i="10" s="1"/>
  <c r="J41" i="10"/>
  <c r="H43" i="10"/>
  <c r="J43" i="10" s="1"/>
  <c r="K43" i="10" s="1"/>
  <c r="J44" i="10" l="1"/>
  <c r="K41" i="10"/>
  <c r="K45" i="10" s="1"/>
  <c r="K40" i="10"/>
  <c r="I44" i="10"/>
  <c r="K44" i="10" l="1"/>
  <c r="E46" i="10" s="1"/>
  <c r="E47" i="10" s="1"/>
  <c r="E49" i="10" s="1"/>
  <c r="E48" i="10" l="1"/>
</calcChain>
</file>

<file path=xl/sharedStrings.xml><?xml version="1.0" encoding="utf-8"?>
<sst xmlns="http://schemas.openxmlformats.org/spreadsheetml/2006/main" count="341" uniqueCount="202">
  <si>
    <t>parameters</t>
  </si>
  <si>
    <t>unit</t>
  </si>
  <si>
    <t>values</t>
  </si>
  <si>
    <t>Unnamed: 3</t>
  </si>
  <si>
    <t>Unnamed: 4</t>
  </si>
  <si>
    <t>Unnamed: 5</t>
  </si>
  <si>
    <t>Unnamed: 6</t>
  </si>
  <si>
    <t>Unnamed: 7</t>
  </si>
  <si>
    <t>Unnamed: 8</t>
  </si>
  <si>
    <t>Basin Area</t>
  </si>
  <si>
    <t>Avg_GL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</si>
  <si>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</si>
  <si>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</si>
  <si>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</si>
  <si>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</si>
  <si>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</si>
  <si>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</si>
  <si>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</si>
  <si>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</si>
  <si>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</si>
  <si>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No Vent</t>
  </si>
  <si>
    <t>Vent Width</t>
  </si>
  <si>
    <t>Vent Height</t>
  </si>
  <si>
    <t>Pier_width</t>
  </si>
  <si>
    <t>Abutment_width</t>
  </si>
  <si>
    <t>flare_Angle_min</t>
  </si>
  <si>
    <t>flare_Angle_max</t>
  </si>
  <si>
    <t>glacis_drop_min</t>
  </si>
  <si>
    <t>glacis_drop_max</t>
  </si>
  <si>
    <t>Barrel Length</t>
  </si>
  <si>
    <t>cutoff_depth_min</t>
  </si>
  <si>
    <t>cutoff_depth_max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</si>
  <si>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</si>
  <si>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</si>
  <si>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</si>
  <si>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</si>
  <si>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</si>
  <si>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</si>
  <si>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friction Angle of fill soil</t>
  </si>
  <si>
    <t>surcharge height</t>
  </si>
  <si>
    <t>return wall level</t>
  </si>
  <si>
    <t>sq mile</t>
  </si>
  <si>
    <t>feet-PWD</t>
  </si>
  <si>
    <t>cfs/sqmile</t>
  </si>
  <si>
    <t>feet</t>
  </si>
  <si>
    <t>inch</t>
  </si>
  <si>
    <t>degree</t>
  </si>
  <si>
    <t>min</t>
  </si>
  <si>
    <t>max</t>
  </si>
  <si>
    <t>pcf</t>
  </si>
  <si>
    <t>feet-pwd</t>
  </si>
  <si>
    <t>Q</t>
  </si>
  <si>
    <t>FAngle</t>
  </si>
  <si>
    <t>g_drop</t>
  </si>
  <si>
    <t>Bc</t>
  </si>
  <si>
    <t>q</t>
  </si>
  <si>
    <t>dc</t>
  </si>
  <si>
    <t>vc</t>
  </si>
  <si>
    <t>B1</t>
  </si>
  <si>
    <t>q1</t>
  </si>
  <si>
    <t>d1</t>
  </si>
  <si>
    <t>v1</t>
  </si>
  <si>
    <t>B2</t>
  </si>
  <si>
    <t>q2</t>
  </si>
  <si>
    <t>d2</t>
  </si>
  <si>
    <t>v2</t>
  </si>
  <si>
    <t>Fr1</t>
  </si>
  <si>
    <t>LJ</t>
  </si>
  <si>
    <t>Eff</t>
  </si>
  <si>
    <t>Del_E</t>
  </si>
  <si>
    <t>Del_E(%)</t>
  </si>
  <si>
    <t>Parmeter Name</t>
  </si>
  <si>
    <t>Unit</t>
  </si>
  <si>
    <t>Values</t>
  </si>
  <si>
    <t>Discharge/ft</t>
  </si>
  <si>
    <t>Flare Angle</t>
  </si>
  <si>
    <t>Glasis_Drop</t>
  </si>
  <si>
    <t>Exit Velocity</t>
  </si>
  <si>
    <t>Jump_Length</t>
  </si>
  <si>
    <t>Energy Loss(%)</t>
  </si>
  <si>
    <t>Floor Length</t>
  </si>
  <si>
    <t>Point_1</t>
  </si>
  <si>
    <t>Point_2</t>
  </si>
  <si>
    <t>Point_3</t>
  </si>
  <si>
    <t>Point_4</t>
  </si>
  <si>
    <t>cfs/ft</t>
  </si>
  <si>
    <t>Degree</t>
  </si>
  <si>
    <t>Feet</t>
  </si>
  <si>
    <t>Feet/sec</t>
  </si>
  <si>
    <t>%</t>
  </si>
  <si>
    <t>locations</t>
  </si>
  <si>
    <t>uncorrected</t>
  </si>
  <si>
    <t>mc_corr</t>
  </si>
  <si>
    <t>t_corrr</t>
  </si>
  <si>
    <t>corrected</t>
  </si>
  <si>
    <t>Phi_E</t>
  </si>
  <si>
    <t>Phi_C1</t>
  </si>
  <si>
    <t>location</t>
  </si>
  <si>
    <t>p(%)</t>
  </si>
  <si>
    <t>p(feet)</t>
  </si>
  <si>
    <t>th_min(feet)</t>
  </si>
  <si>
    <t>dist</t>
  </si>
  <si>
    <t>P%</t>
  </si>
  <si>
    <t>Hw</t>
  </si>
  <si>
    <t>Bi</t>
  </si>
  <si>
    <t>-WwL</t>
  </si>
  <si>
    <t>Net(Hw)</t>
  </si>
  <si>
    <t>t_req</t>
  </si>
  <si>
    <t>Parameter Name</t>
  </si>
  <si>
    <t>Parameter Value</t>
  </si>
  <si>
    <t>Detail Name</t>
  </si>
  <si>
    <t>VW</t>
  </si>
  <si>
    <t>VH</t>
  </si>
  <si>
    <t>NV</t>
  </si>
  <si>
    <t>Tt</t>
  </si>
  <si>
    <t>Ts</t>
  </si>
  <si>
    <t>Tb</t>
  </si>
  <si>
    <t>Tp</t>
  </si>
  <si>
    <t>gamma_s</t>
  </si>
  <si>
    <t>phi</t>
  </si>
  <si>
    <t>H</t>
  </si>
  <si>
    <t>MPF</t>
  </si>
  <si>
    <t>IM</t>
  </si>
  <si>
    <t>INVERT_LEVEL</t>
  </si>
  <si>
    <t>EMBANKMENT_CREST_LEVEL</t>
  </si>
  <si>
    <t>h_prime</t>
  </si>
  <si>
    <t>nos</t>
  </si>
  <si>
    <t>unitless</t>
  </si>
  <si>
    <t>ft-pwd</t>
  </si>
  <si>
    <t>ft</t>
  </si>
  <si>
    <t>Vent Inner Span/width</t>
  </si>
  <si>
    <t>No of Vents</t>
  </si>
  <si>
    <t>Top Slab thicjness</t>
  </si>
  <si>
    <t>Abutmet Thicknes</t>
  </si>
  <si>
    <t>Bottom Slab Thicknes</t>
  </si>
  <si>
    <t>Pier Thicknes</t>
  </si>
  <si>
    <t>Soil Fill Unit Wieght</t>
  </si>
  <si>
    <t>friction angle of back fill soil</t>
  </si>
  <si>
    <t>Height of srcharge above pier</t>
  </si>
  <si>
    <t>Multiple Presnce Factor</t>
  </si>
  <si>
    <t>Impact factor for Dynamic Loading</t>
  </si>
  <si>
    <t>Invert Level of Regulator</t>
  </si>
  <si>
    <t>Emnakment Crest Level</t>
  </si>
  <si>
    <t>Additional Surcharge load above Embankemt</t>
  </si>
  <si>
    <t>Notations</t>
  </si>
  <si>
    <t>LoadName</t>
  </si>
  <si>
    <t>LoadUnits</t>
  </si>
  <si>
    <t>LoadType</t>
  </si>
  <si>
    <t>Load_Value_Maximum</t>
  </si>
  <si>
    <t>Load_Value_Minimum</t>
  </si>
  <si>
    <t>TSL</t>
  </si>
  <si>
    <t>BSL</t>
  </si>
  <si>
    <t>SWL+</t>
  </si>
  <si>
    <t>SWL(-)</t>
  </si>
  <si>
    <t>Load on Top Slab</t>
  </si>
  <si>
    <t>Load on Bottom Slab</t>
  </si>
  <si>
    <t>Load on Left Side Wall</t>
  </si>
  <si>
    <t>Load on Right Side Wall</t>
  </si>
  <si>
    <t>klf</t>
  </si>
  <si>
    <t>UDL</t>
  </si>
  <si>
    <t>Trapizoidal</t>
  </si>
  <si>
    <t>Ltoe</t>
  </si>
  <si>
    <t>Ttop</t>
  </si>
  <si>
    <t>Theel</t>
  </si>
  <si>
    <t>Lheel</t>
  </si>
  <si>
    <t>h1</t>
  </si>
  <si>
    <t>Sr</t>
  </si>
  <si>
    <t>gamma_sat</t>
  </si>
  <si>
    <t>gamma_w</t>
  </si>
  <si>
    <t>gamma_c</t>
  </si>
  <si>
    <t>h2</t>
  </si>
  <si>
    <t>B</t>
  </si>
  <si>
    <t>water pressure</t>
  </si>
  <si>
    <t>ca</t>
  </si>
  <si>
    <t>component Name</t>
  </si>
  <si>
    <t>Area</t>
  </si>
  <si>
    <t>V</t>
  </si>
  <si>
    <t>P</t>
  </si>
  <si>
    <t>C1</t>
  </si>
  <si>
    <t>C3</t>
  </si>
  <si>
    <t>S2</t>
  </si>
  <si>
    <t>P2</t>
  </si>
  <si>
    <t>P1</t>
  </si>
  <si>
    <t>P3</t>
  </si>
  <si>
    <t>sum</t>
  </si>
  <si>
    <t>P1_sat</t>
  </si>
  <si>
    <t>P2_sat</t>
  </si>
  <si>
    <t>P3_sat</t>
  </si>
  <si>
    <t>Moment_arm_v</t>
  </si>
  <si>
    <t>Moment_arm_p</t>
  </si>
  <si>
    <t>Mv</t>
  </si>
  <si>
    <t>Mh</t>
  </si>
  <si>
    <t>Mt</t>
  </si>
  <si>
    <t>R</t>
  </si>
  <si>
    <t>Xr</t>
  </si>
  <si>
    <t>e</t>
  </si>
  <si>
    <t>Fa</t>
  </si>
  <si>
    <t>Fd</t>
  </si>
  <si>
    <t>Unsaturated</t>
  </si>
  <si>
    <t>Partial Saturated</t>
  </si>
  <si>
    <t>U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</si>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</sst>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 t="s">
        <v>41</v>
      </c>
      <c r="D2">
        <v>10.4</v>
      </c>
    </row>
    <row r="3" spans="1:10" x14ac:dyDescent="0.3">
      <c r="A3" s="1">
        <v>1</v>
      </c>
      <c r="B3" t="s">
        <v>10</v>
      </c>
      <c r="C3" t="s">
        <v>42</v>
      </c>
      <c r="D3">
        <v>4.92</v>
      </c>
    </row>
    <row r="4" spans="1:10" x14ac:dyDescent="0.3">
      <c r="A4" s="1">
        <v>2</v>
      </c>
      <c r="B4" t="s">
        <v>11</v>
      </c>
      <c r="C4" t="s">
        <v>42</v>
      </c>
      <c r="D4">
        <v>16.7</v>
      </c>
    </row>
    <row r="5" spans="1:10" x14ac:dyDescent="0.3">
      <c r="A5" s="1">
        <v>3</v>
      </c>
      <c r="B5" t="s">
        <v>12</v>
      </c>
      <c r="C5" t="s">
        <v>42</v>
      </c>
      <c r="D5">
        <v>-4.92</v>
      </c>
      <c r="E5">
        <v>21.62</v>
      </c>
    </row>
    <row r="6" spans="1:10" x14ac:dyDescent="0.3">
      <c r="A6" s="1">
        <v>4</v>
      </c>
      <c r="B6" t="s">
        <v>13</v>
      </c>
      <c r="C6" t="s">
        <v>42</v>
      </c>
      <c r="D6">
        <v>-4.5919999999999996</v>
      </c>
    </row>
    <row r="7" spans="1:10" x14ac:dyDescent="0.3">
      <c r="A7" s="1">
        <v>5</v>
      </c>
      <c r="B7" t="s">
        <v>14</v>
      </c>
      <c r="C7" t="s">
        <v>42</v>
      </c>
      <c r="D7">
        <v>18.04</v>
      </c>
    </row>
    <row r="8" spans="1:10" x14ac:dyDescent="0.3">
      <c r="A8" s="1">
        <v>6</v>
      </c>
      <c r="B8" t="s">
        <v>15</v>
      </c>
      <c r="C8" t="s">
        <v>42</v>
      </c>
      <c r="D8">
        <v>19.68</v>
      </c>
    </row>
    <row r="9" spans="1:10" x14ac:dyDescent="0.3">
      <c r="A9" s="1">
        <v>7</v>
      </c>
      <c r="B9" t="s">
        <v>16</v>
      </c>
      <c r="D9">
        <v>2</v>
      </c>
    </row>
    <row r="10" spans="1:10" x14ac:dyDescent="0.3">
      <c r="A10" s="1">
        <v>8</v>
      </c>
      <c r="B10" t="s">
        <v>17</v>
      </c>
      <c r="D10">
        <v>3</v>
      </c>
    </row>
    <row r="11" spans="1:10" x14ac:dyDescent="0.3">
      <c r="A11" s="1">
        <v>9</v>
      </c>
      <c r="B11" t="s">
        <v>18</v>
      </c>
      <c r="C11" t="s">
        <v>42</v>
      </c>
      <c r="D11">
        <v>-4.92</v>
      </c>
    </row>
    <row r="12" spans="1:10" x14ac:dyDescent="0.3">
      <c r="A12" s="1">
        <v>10</v>
      </c>
      <c r="B12" t="s">
        <v>19</v>
      </c>
      <c r="C12" t="s">
        <v>43</v>
      </c>
      <c r="D12">
        <v>54</v>
      </c>
    </row>
    <row r="13" spans="1:10" x14ac:dyDescent="0.3">
      <c r="A13" s="1">
        <v>11</v>
      </c>
      <c r="B13" t="s">
        <v>20</v>
      </c>
      <c r="D13">
        <v>3</v>
      </c>
    </row>
    <row r="14" spans="1:10" x14ac:dyDescent="0.3">
      <c r="A14" s="1">
        <v>12</v>
      </c>
      <c r="B14" t="s">
        <v>21</v>
      </c>
      <c r="C14" t="s">
        <v>44</v>
      </c>
      <c r="D14">
        <v>5</v>
      </c>
    </row>
    <row r="15" spans="1:10" x14ac:dyDescent="0.3">
      <c r="A15" s="1">
        <v>13</v>
      </c>
      <c r="B15" t="s">
        <v>22</v>
      </c>
      <c r="C15" t="s">
        <v>44</v>
      </c>
      <c r="D15">
        <v>6</v>
      </c>
    </row>
    <row r="16" spans="1:10" x14ac:dyDescent="0.3">
      <c r="A16" s="1">
        <v>14</v>
      </c>
      <c r="B16" t="s">
        <v>23</v>
      </c>
      <c r="C16" t="s">
        <v>45</v>
      </c>
      <c r="D16">
        <v>15</v>
      </c>
    </row>
    <row r="17" spans="1:4" x14ac:dyDescent="0.3">
      <c r="A17" s="1">
        <v>15</v>
      </c>
      <c r="B17" t="s">
        <v>24</v>
      </c>
      <c r="C17" t="s">
        <v>45</v>
      </c>
      <c r="D17">
        <v>18</v>
      </c>
    </row>
    <row r="18" spans="1:4" x14ac:dyDescent="0.3">
      <c r="A18" s="1">
        <v>16</v>
      </c>
      <c r="B18" t="s">
        <v>25</v>
      </c>
      <c r="C18" t="s">
        <v>46</v>
      </c>
      <c r="D18">
        <v>8</v>
      </c>
    </row>
    <row r="19" spans="1:4" x14ac:dyDescent="0.3">
      <c r="A19" s="1">
        <v>17</v>
      </c>
      <c r="B19" t="s">
        <v>26</v>
      </c>
      <c r="C19" t="s">
        <v>46</v>
      </c>
      <c r="D19">
        <v>12</v>
      </c>
    </row>
    <row r="20" spans="1:4" x14ac:dyDescent="0.3">
      <c r="A20" s="1">
        <v>18</v>
      </c>
      <c r="B20" t="s">
        <v>27</v>
      </c>
      <c r="C20" t="s">
        <v>44</v>
      </c>
      <c r="D20">
        <v>3</v>
      </c>
    </row>
    <row r="21" spans="1:4" x14ac:dyDescent="0.3">
      <c r="A21" s="1">
        <v>19</v>
      </c>
      <c r="B21" t="s">
        <v>28</v>
      </c>
      <c r="C21" t="s">
        <v>44</v>
      </c>
      <c r="D21">
        <v>4</v>
      </c>
    </row>
    <row r="22" spans="1:4" x14ac:dyDescent="0.3">
      <c r="A22" s="1">
        <v>20</v>
      </c>
      <c r="B22" t="s">
        <v>29</v>
      </c>
      <c r="C22" t="s">
        <v>44</v>
      </c>
      <c r="D22">
        <v>34</v>
      </c>
    </row>
    <row r="23" spans="1:4" x14ac:dyDescent="0.3">
      <c r="A23" s="1">
        <v>21</v>
      </c>
      <c r="B23" t="s">
        <v>30</v>
      </c>
      <c r="C23" t="s">
        <v>47</v>
      </c>
      <c r="D23">
        <v>9.84</v>
      </c>
    </row>
    <row r="24" spans="1:4" x14ac:dyDescent="0.3">
      <c r="A24" s="1">
        <v>22</v>
      </c>
      <c r="B24" t="s">
        <v>31</v>
      </c>
      <c r="C24" t="s">
        <v>48</v>
      </c>
      <c r="D24">
        <v>21.32</v>
      </c>
    </row>
    <row r="25" spans="1:4" x14ac:dyDescent="0.3">
      <c r="A25" s="1">
        <v>23</v>
      </c>
      <c r="B25" t="s">
        <v>32</v>
      </c>
      <c r="D25">
        <v>0.4</v>
      </c>
    </row>
    <row r="26" spans="1:4" x14ac:dyDescent="0.3">
      <c r="A26" s="1">
        <v>24</v>
      </c>
      <c r="B26" t="s">
        <v>33</v>
      </c>
      <c r="C26" t="s">
        <v>44</v>
      </c>
      <c r="D26">
        <v>17.876000000000001</v>
      </c>
    </row>
    <row r="27" spans="1:4" x14ac:dyDescent="0.3">
      <c r="A27" s="1">
        <v>25</v>
      </c>
      <c r="B27" t="s">
        <v>34</v>
      </c>
      <c r="D27">
        <v>0.14299999999999999</v>
      </c>
    </row>
    <row r="28" spans="1:4" x14ac:dyDescent="0.3">
      <c r="A28" s="1">
        <v>26</v>
      </c>
      <c r="B28" t="s">
        <v>35</v>
      </c>
      <c r="C28" t="s">
        <v>44</v>
      </c>
      <c r="D28">
        <v>3.28</v>
      </c>
    </row>
    <row r="29" spans="1:4" x14ac:dyDescent="0.3">
      <c r="A29" s="1">
        <v>27</v>
      </c>
      <c r="B29" t="s">
        <v>36</v>
      </c>
      <c r="C29" t="s">
        <v>45</v>
      </c>
      <c r="D29">
        <v>20</v>
      </c>
    </row>
    <row r="30" spans="1:4" x14ac:dyDescent="0.3">
      <c r="A30" s="1">
        <v>28</v>
      </c>
      <c r="B30" t="s">
        <v>37</v>
      </c>
      <c r="C30" t="s">
        <v>49</v>
      </c>
      <c r="D30">
        <v>120</v>
      </c>
    </row>
    <row r="31" spans="1:4" x14ac:dyDescent="0.3">
      <c r="A31" s="1">
        <v>29</v>
      </c>
      <c r="B31" t="s">
        <v>38</v>
      </c>
      <c r="C31" t="s">
        <v>46</v>
      </c>
      <c r="D31">
        <v>20</v>
      </c>
    </row>
    <row r="32" spans="1:4" x14ac:dyDescent="0.3">
      <c r="A32" s="1">
        <v>30</v>
      </c>
      <c r="B32" t="s">
        <v>39</v>
      </c>
      <c r="C32" t="s">
        <v>44</v>
      </c>
      <c r="D32">
        <v>17.04</v>
      </c>
    </row>
    <row r="33" spans="1:4" x14ac:dyDescent="0.3">
      <c r="A33" s="1">
        <v>31</v>
      </c>
      <c r="B33" t="s">
        <v>40</v>
      </c>
      <c r="C33" t="s">
        <v>50</v>
      </c>
      <c r="D33">
        <v>16.7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160" zoomScaleNormal="160" workbookViewId="0">
      <selection activeCell="B4" sqref="B4"/>
    </sheetView>
  </sheetViews>
  <sheetFormatPr defaultRowHeight="14.4" x14ac:dyDescent="0.3"/>
  <cols>
    <col min="1" max="1" width="17.33203125" customWidth="1"/>
    <col min="3" max="3" width="11.44140625" customWidth="1"/>
    <col min="6" max="6" width="14.6640625" customWidth="1"/>
    <col min="8" max="8" width="17.33203125" customWidth="1"/>
  </cols>
  <sheetData>
    <row r="1" spans="1:15" s="2" customFormat="1" x14ac:dyDescent="0.3">
      <c r="A1" s="11" t="s">
        <v>120</v>
      </c>
      <c r="B1" s="10">
        <v>5.6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2" customFormat="1" x14ac:dyDescent="0.3">
      <c r="A2" s="11" t="s">
        <v>162</v>
      </c>
      <c r="B2" s="10">
        <v>0.3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2" customFormat="1" x14ac:dyDescent="0.3">
      <c r="A3" s="11" t="s">
        <v>163</v>
      </c>
      <c r="B3" s="10">
        <v>0.6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x14ac:dyDescent="0.3">
      <c r="A4" s="11" t="s">
        <v>161</v>
      </c>
      <c r="B4" s="10">
        <v>1.35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2" customFormat="1" x14ac:dyDescent="0.3">
      <c r="A5" s="11" t="s">
        <v>164</v>
      </c>
      <c r="B5" s="10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s="2" customFormat="1" x14ac:dyDescent="0.3">
      <c r="A6" s="11" t="s">
        <v>166</v>
      </c>
      <c r="B6" s="10">
        <f>B12/(B12+B11)</f>
        <v>0.45178571428571429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2" customFormat="1" x14ac:dyDescent="0.3">
      <c r="A7" s="11" t="s">
        <v>167</v>
      </c>
      <c r="B7" s="10">
        <v>18.899999999999999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2" customFormat="1" x14ac:dyDescent="0.3">
      <c r="A8" s="11" t="s">
        <v>168</v>
      </c>
      <c r="B8" s="10">
        <v>9.8000000000000007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s="2" customFormat="1" x14ac:dyDescent="0.3">
      <c r="A9" s="11" t="s">
        <v>169</v>
      </c>
      <c r="B9" s="10">
        <v>23.6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4" t="s">
        <v>173</v>
      </c>
      <c r="B10" s="4">
        <f>1/3</f>
        <v>0.33333333333333331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s="4" t="s">
        <v>165</v>
      </c>
      <c r="B11" s="6">
        <v>3.07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11" t="s">
        <v>170</v>
      </c>
      <c r="B12" s="6">
        <v>2.5299999999999998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3">
      <c r="A13" s="4" t="s">
        <v>171</v>
      </c>
      <c r="B13" s="6">
        <f>B4+B2+B5</f>
        <v>3.6500000000000004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4" t="s">
        <v>172</v>
      </c>
      <c r="B14" s="6">
        <f>B12*B8</f>
        <v>24.794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12" t="s">
        <v>181</v>
      </c>
      <c r="B15" s="6">
        <f>0.5*B10*B7*B1^2</f>
        <v>98.783999999999963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4" t="s">
        <v>185</v>
      </c>
      <c r="B16" s="4">
        <f>0.5*B10*B7*B11^2</f>
        <v>29.688434999999991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4" t="s">
        <v>186</v>
      </c>
      <c r="B17" s="4">
        <f>B10*B7*B11*B12</f>
        <v>48.932729999999978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4" t="s">
        <v>187</v>
      </c>
      <c r="B18" s="4">
        <f>0.5*(B10*B7+(1-B10)*B8)*B12^2</f>
        <v>41.072441666666656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7"/>
      <c r="B19" s="7"/>
      <c r="C19" s="7" t="s">
        <v>198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42.75" customHeight="1" x14ac:dyDescent="0.3">
      <c r="A20" s="7"/>
      <c r="B20" s="7"/>
      <c r="C20" s="5" t="s">
        <v>174</v>
      </c>
      <c r="D20" s="6" t="s">
        <v>175</v>
      </c>
      <c r="E20" s="6" t="s">
        <v>176</v>
      </c>
      <c r="F20" s="5" t="s">
        <v>188</v>
      </c>
      <c r="G20" s="6" t="s">
        <v>177</v>
      </c>
      <c r="H20" s="6" t="s">
        <v>189</v>
      </c>
      <c r="I20" s="6" t="s">
        <v>190</v>
      </c>
      <c r="J20" s="9" t="s">
        <v>191</v>
      </c>
      <c r="K20" s="9" t="s">
        <v>192</v>
      </c>
      <c r="L20" s="7"/>
      <c r="M20" s="7"/>
      <c r="N20" s="7"/>
      <c r="O20" s="7"/>
    </row>
    <row r="21" spans="1:15" x14ac:dyDescent="0.3">
      <c r="A21" s="7"/>
      <c r="B21" s="7"/>
      <c r="C21" s="6" t="s">
        <v>178</v>
      </c>
      <c r="D21" s="6">
        <f>B2*(B1-B3)</f>
        <v>1.5</v>
      </c>
      <c r="E21" s="6">
        <f>D21*B9*-1</f>
        <v>-35.400000000000006</v>
      </c>
      <c r="F21" s="6">
        <f>B4+B2/2</f>
        <v>1.5</v>
      </c>
      <c r="G21" s="6">
        <v>0</v>
      </c>
      <c r="H21" s="6">
        <v>0</v>
      </c>
      <c r="I21" s="6">
        <f>E21*F21</f>
        <v>-53.100000000000009</v>
      </c>
      <c r="J21" s="6">
        <f>G21*H21*-1</f>
        <v>0</v>
      </c>
      <c r="K21" s="6">
        <f>I21+J21</f>
        <v>-53.100000000000009</v>
      </c>
      <c r="L21" s="7"/>
      <c r="M21" s="7"/>
      <c r="N21" s="7"/>
      <c r="O21" s="7"/>
    </row>
    <row r="22" spans="1:15" x14ac:dyDescent="0.3">
      <c r="A22" s="7"/>
      <c r="B22" s="7"/>
      <c r="C22" s="6" t="s">
        <v>179</v>
      </c>
      <c r="D22" s="6">
        <f>B13*B3</f>
        <v>2.19</v>
      </c>
      <c r="E22" s="6">
        <f>D22*B9*-1</f>
        <v>-51.684000000000005</v>
      </c>
      <c r="F22" s="6">
        <f>B13/2</f>
        <v>1.8250000000000002</v>
      </c>
      <c r="G22" s="6">
        <v>0</v>
      </c>
      <c r="H22" s="6">
        <v>0</v>
      </c>
      <c r="I22" s="6">
        <f t="shared" ref="I22:I24" si="0">E22*F22</f>
        <v>-94.323300000000017</v>
      </c>
      <c r="J22" s="6">
        <f t="shared" ref="J22:J24" si="1">G22*H22*-1</f>
        <v>0</v>
      </c>
      <c r="K22" s="6">
        <f t="shared" ref="K22:K24" si="2">I22+J22</f>
        <v>-94.323300000000017</v>
      </c>
      <c r="L22" s="7"/>
      <c r="M22" s="7"/>
      <c r="N22" s="7"/>
      <c r="O22" s="7"/>
    </row>
    <row r="23" spans="1:15" x14ac:dyDescent="0.3">
      <c r="A23" s="7"/>
      <c r="B23" s="7"/>
      <c r="C23" s="6" t="s">
        <v>180</v>
      </c>
      <c r="D23" s="6">
        <f>B5*(B1-B3)</f>
        <v>10</v>
      </c>
      <c r="E23" s="6">
        <f>D23*B7*-1</f>
        <v>-189</v>
      </c>
      <c r="F23" s="6">
        <f>B13-B5/2</f>
        <v>2.6500000000000004</v>
      </c>
      <c r="G23" s="6">
        <v>0</v>
      </c>
      <c r="H23" s="6">
        <v>0</v>
      </c>
      <c r="I23" s="6">
        <f t="shared" si="0"/>
        <v>-500.85000000000008</v>
      </c>
      <c r="J23" s="6">
        <f t="shared" si="1"/>
        <v>0</v>
      </c>
      <c r="K23" s="6">
        <f t="shared" si="2"/>
        <v>-500.85000000000008</v>
      </c>
      <c r="L23" s="7"/>
      <c r="M23" s="7"/>
      <c r="N23" s="7"/>
      <c r="O23" s="7"/>
    </row>
    <row r="24" spans="1:15" x14ac:dyDescent="0.3">
      <c r="A24" s="7"/>
      <c r="B24" s="7"/>
      <c r="C24" s="6" t="s">
        <v>181</v>
      </c>
      <c r="D24" s="6">
        <v>0</v>
      </c>
      <c r="E24" s="6">
        <v>0</v>
      </c>
      <c r="F24" s="6">
        <v>0</v>
      </c>
      <c r="G24" s="6">
        <f>B15*-1</f>
        <v>-98.783999999999963</v>
      </c>
      <c r="H24" s="6">
        <f>B1/3</f>
        <v>1.8666666666666665</v>
      </c>
      <c r="I24" s="6">
        <f t="shared" si="0"/>
        <v>0</v>
      </c>
      <c r="J24" s="6">
        <f t="shared" si="1"/>
        <v>184.3967999999999</v>
      </c>
      <c r="K24" s="6">
        <f t="shared" si="2"/>
        <v>184.3967999999999</v>
      </c>
      <c r="L24" s="7"/>
      <c r="M24" s="7"/>
      <c r="N24" s="7"/>
      <c r="O24" s="7"/>
    </row>
    <row r="25" spans="1:15" x14ac:dyDescent="0.3">
      <c r="A25" s="7"/>
      <c r="B25" s="7"/>
      <c r="C25" s="9" t="s">
        <v>184</v>
      </c>
      <c r="D25" s="6"/>
      <c r="E25" s="6">
        <f>SUM(E21:E24)</f>
        <v>-276.084</v>
      </c>
      <c r="F25" s="6"/>
      <c r="G25" s="6"/>
      <c r="H25" s="6"/>
      <c r="I25" s="6">
        <f>SUM(I21:I24)</f>
        <v>-648.27330000000006</v>
      </c>
      <c r="J25" s="6">
        <f t="shared" ref="J25:K25" si="3">SUM(J21:J24)</f>
        <v>184.3967999999999</v>
      </c>
      <c r="K25" s="6">
        <f t="shared" si="3"/>
        <v>-463.87650000000019</v>
      </c>
      <c r="L25" s="7"/>
      <c r="M25" s="7"/>
      <c r="N25" s="7"/>
      <c r="O25" s="7"/>
    </row>
    <row r="26" spans="1:15" x14ac:dyDescent="0.3">
      <c r="A26" s="7"/>
      <c r="B26" s="7"/>
      <c r="C26" s="9" t="s">
        <v>193</v>
      </c>
      <c r="D26" s="6"/>
      <c r="E26" s="6">
        <f>E25*-1</f>
        <v>276.084</v>
      </c>
      <c r="F26" s="6"/>
      <c r="G26" s="6"/>
      <c r="H26" s="6"/>
      <c r="I26" s="6"/>
      <c r="J26" s="6"/>
      <c r="K26" s="6"/>
      <c r="L26" s="7"/>
      <c r="M26" s="7"/>
      <c r="N26" s="7"/>
      <c r="O26" s="7"/>
    </row>
    <row r="27" spans="1:15" x14ac:dyDescent="0.3">
      <c r="A27" s="7"/>
      <c r="B27" s="7"/>
      <c r="C27" s="9" t="s">
        <v>194</v>
      </c>
      <c r="D27" s="6">
        <f>((-1)*K25)/E26</f>
        <v>1.6802005911244411</v>
      </c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</row>
    <row r="28" spans="1:15" x14ac:dyDescent="0.3">
      <c r="A28" s="7"/>
      <c r="B28" s="7"/>
      <c r="C28" s="9" t="s">
        <v>195</v>
      </c>
      <c r="D28" s="6">
        <f>D27-0.5*B13</f>
        <v>-0.14479940887555909</v>
      </c>
      <c r="E28" s="6"/>
      <c r="F28" s="6"/>
      <c r="G28" s="6"/>
      <c r="H28" s="6"/>
      <c r="I28" s="6"/>
      <c r="J28" s="6"/>
      <c r="K28" s="6"/>
      <c r="L28" s="7"/>
      <c r="M28" s="7"/>
      <c r="N28" s="7"/>
      <c r="O28" s="7"/>
    </row>
    <row r="29" spans="1:15" x14ac:dyDescent="0.3">
      <c r="A29" s="7"/>
      <c r="B29" s="7"/>
      <c r="C29" s="9" t="s">
        <v>196</v>
      </c>
      <c r="D29" s="4">
        <f>($E$26/$B$13)*(1-(6*$D$28)/$B$13)</f>
        <v>93.643640457871953</v>
      </c>
      <c r="E29" s="4"/>
      <c r="F29" s="4"/>
      <c r="G29" s="4"/>
      <c r="H29" s="4"/>
      <c r="I29" s="4"/>
      <c r="J29" s="4"/>
      <c r="K29" s="4"/>
      <c r="L29" s="7"/>
      <c r="M29" s="7"/>
      <c r="N29" s="7"/>
      <c r="O29" s="7"/>
    </row>
    <row r="30" spans="1:15" x14ac:dyDescent="0.3">
      <c r="A30" s="7"/>
      <c r="B30" s="7"/>
      <c r="C30" s="9" t="s">
        <v>197</v>
      </c>
      <c r="D30" s="4">
        <f>($E$26/$B$13)*(1+(6*$D$28)/$B$13)</f>
        <v>57.635263651717089</v>
      </c>
      <c r="E30" s="4"/>
      <c r="F30" s="4"/>
      <c r="G30" s="4"/>
      <c r="H30" s="4"/>
      <c r="I30" s="4"/>
      <c r="J30" s="4"/>
      <c r="K30" s="4"/>
      <c r="L30" s="7"/>
      <c r="M30" s="7"/>
      <c r="N30" s="7"/>
      <c r="O30" s="7"/>
    </row>
    <row r="31" spans="1:15" x14ac:dyDescent="0.3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C32" s="8"/>
      <c r="D32" s="7"/>
    </row>
    <row r="35" spans="1:11" x14ac:dyDescent="0.3">
      <c r="C35" t="s">
        <v>199</v>
      </c>
    </row>
    <row r="36" spans="1:11" ht="28.8" x14ac:dyDescent="0.3">
      <c r="C36" s="5" t="s">
        <v>174</v>
      </c>
      <c r="D36" s="6" t="s">
        <v>175</v>
      </c>
      <c r="E36" s="6" t="s">
        <v>176</v>
      </c>
      <c r="F36" s="5" t="s">
        <v>188</v>
      </c>
      <c r="G36" s="6" t="s">
        <v>177</v>
      </c>
      <c r="H36" s="6" t="s">
        <v>189</v>
      </c>
      <c r="I36" s="6" t="s">
        <v>190</v>
      </c>
      <c r="J36" s="9" t="s">
        <v>191</v>
      </c>
      <c r="K36" s="9" t="s">
        <v>192</v>
      </c>
    </row>
    <row r="37" spans="1:11" x14ac:dyDescent="0.3">
      <c r="C37" s="6" t="str">
        <f>C21</f>
        <v>C1</v>
      </c>
      <c r="D37" s="6">
        <f>D21</f>
        <v>1.5</v>
      </c>
      <c r="E37" s="6">
        <f t="shared" ref="E37:K37" si="4">E21</f>
        <v>-35.400000000000006</v>
      </c>
      <c r="F37" s="6">
        <f t="shared" si="4"/>
        <v>1.5</v>
      </c>
      <c r="G37" s="6">
        <f t="shared" si="4"/>
        <v>0</v>
      </c>
      <c r="H37" s="6">
        <f t="shared" si="4"/>
        <v>0</v>
      </c>
      <c r="I37" s="6">
        <f t="shared" si="4"/>
        <v>-53.100000000000009</v>
      </c>
      <c r="J37" s="6">
        <f t="shared" si="4"/>
        <v>0</v>
      </c>
      <c r="K37" s="6">
        <f t="shared" si="4"/>
        <v>-53.100000000000009</v>
      </c>
    </row>
    <row r="38" spans="1:11" x14ac:dyDescent="0.3">
      <c r="C38" s="6" t="str">
        <f t="shared" ref="C38:K39" si="5">C22</f>
        <v>C3</v>
      </c>
      <c r="D38" s="6">
        <f t="shared" si="5"/>
        <v>2.19</v>
      </c>
      <c r="E38" s="6">
        <f t="shared" si="5"/>
        <v>-51.684000000000005</v>
      </c>
      <c r="F38" s="6">
        <f t="shared" si="5"/>
        <v>1.8250000000000002</v>
      </c>
      <c r="G38" s="6">
        <f t="shared" si="5"/>
        <v>0</v>
      </c>
      <c r="H38" s="6">
        <f t="shared" si="5"/>
        <v>0</v>
      </c>
      <c r="I38" s="6">
        <f t="shared" si="5"/>
        <v>-94.323300000000017</v>
      </c>
      <c r="J38" s="6">
        <f t="shared" si="5"/>
        <v>0</v>
      </c>
      <c r="K38" s="6">
        <f t="shared" si="5"/>
        <v>-94.323300000000017</v>
      </c>
    </row>
    <row r="39" spans="1:11" x14ac:dyDescent="0.3">
      <c r="C39" s="6" t="str">
        <f t="shared" si="5"/>
        <v>S2</v>
      </c>
      <c r="D39" s="6">
        <f t="shared" si="5"/>
        <v>10</v>
      </c>
      <c r="E39" s="6">
        <f t="shared" si="5"/>
        <v>-189</v>
      </c>
      <c r="F39" s="6">
        <f t="shared" si="5"/>
        <v>2.6500000000000004</v>
      </c>
      <c r="G39" s="6">
        <f t="shared" si="5"/>
        <v>0</v>
      </c>
      <c r="H39" s="6">
        <f t="shared" si="5"/>
        <v>0</v>
      </c>
      <c r="I39" s="6">
        <f>I23</f>
        <v>-500.85000000000008</v>
      </c>
      <c r="J39" s="6">
        <f t="shared" si="5"/>
        <v>0</v>
      </c>
      <c r="K39" s="6">
        <f t="shared" si="5"/>
        <v>-500.85000000000008</v>
      </c>
    </row>
    <row r="40" spans="1:11" x14ac:dyDescent="0.3">
      <c r="C40" s="6" t="s">
        <v>200</v>
      </c>
      <c r="D40" s="6">
        <v>0</v>
      </c>
      <c r="E40" s="6">
        <f>B14*B13</f>
        <v>90.498100000000008</v>
      </c>
      <c r="F40" s="6">
        <f>B13/2</f>
        <v>1.8250000000000002</v>
      </c>
      <c r="G40" s="6">
        <v>0</v>
      </c>
      <c r="H40" s="6">
        <v>0</v>
      </c>
      <c r="I40" s="4">
        <f>E40*F40</f>
        <v>165.15903250000002</v>
      </c>
      <c r="J40" s="6">
        <f>G40*H40</f>
        <v>0</v>
      </c>
      <c r="K40" s="6">
        <f>I40+J40</f>
        <v>165.15903250000002</v>
      </c>
    </row>
    <row r="41" spans="1:11" x14ac:dyDescent="0.3">
      <c r="C41" s="6" t="s">
        <v>182</v>
      </c>
      <c r="D41" s="6">
        <v>0</v>
      </c>
      <c r="E41" s="6">
        <v>0</v>
      </c>
      <c r="F41" s="6">
        <v>0</v>
      </c>
      <c r="G41" s="4">
        <f>B16*-1</f>
        <v>-29.688434999999991</v>
      </c>
      <c r="H41" s="6">
        <f>B12+B11/3</f>
        <v>3.5533333333333328</v>
      </c>
      <c r="I41" s="6">
        <f>E41*F41</f>
        <v>0</v>
      </c>
      <c r="J41" s="4">
        <f>-1*G41*H41</f>
        <v>105.49290569999995</v>
      </c>
      <c r="K41" s="4">
        <f>I41+J41</f>
        <v>105.49290569999995</v>
      </c>
    </row>
    <row r="42" spans="1:11" x14ac:dyDescent="0.3">
      <c r="C42" s="6" t="s">
        <v>181</v>
      </c>
      <c r="D42" s="6">
        <v>0</v>
      </c>
      <c r="E42" s="6">
        <v>0</v>
      </c>
      <c r="F42" s="6">
        <v>0</v>
      </c>
      <c r="G42" s="4">
        <f>B17*-1</f>
        <v>-48.932729999999978</v>
      </c>
      <c r="H42" s="6">
        <f>B12/2</f>
        <v>1.2649999999999999</v>
      </c>
      <c r="I42" s="6">
        <f t="shared" ref="I42:I43" si="6">E42*F42</f>
        <v>0</v>
      </c>
      <c r="J42" s="4">
        <f t="shared" ref="J42:J43" si="7">-1*G42*H42</f>
        <v>61.899903449999968</v>
      </c>
      <c r="K42" s="4">
        <f t="shared" ref="K42:K43" si="8">I42+J42</f>
        <v>61.899903449999968</v>
      </c>
    </row>
    <row r="43" spans="1:11" x14ac:dyDescent="0.3">
      <c r="A43" t="s">
        <v>201</v>
      </c>
      <c r="C43" s="9" t="s">
        <v>183</v>
      </c>
      <c r="D43" s="6">
        <v>0</v>
      </c>
      <c r="E43" s="6">
        <v>0</v>
      </c>
      <c r="F43" s="6">
        <v>0</v>
      </c>
      <c r="G43" s="4">
        <f>B18*-1</f>
        <v>-41.072441666666656</v>
      </c>
      <c r="H43" s="6">
        <f>B12/3</f>
        <v>0.84333333333333327</v>
      </c>
      <c r="I43" s="6">
        <f t="shared" si="6"/>
        <v>0</v>
      </c>
      <c r="J43" s="4">
        <f t="shared" si="7"/>
        <v>34.637759138888875</v>
      </c>
      <c r="K43" s="4">
        <f t="shared" si="8"/>
        <v>34.637759138888875</v>
      </c>
    </row>
    <row r="44" spans="1:11" x14ac:dyDescent="0.3">
      <c r="C44" s="9" t="s">
        <v>184</v>
      </c>
      <c r="D44" s="4"/>
      <c r="E44" s="4">
        <f>SUM(E37:E43)</f>
        <v>-185.58589999999998</v>
      </c>
      <c r="F44" s="4"/>
      <c r="G44" s="4"/>
      <c r="H44" s="4"/>
      <c r="I44" s="4">
        <f>SUM(I37:I43)</f>
        <v>-483.11426750000004</v>
      </c>
      <c r="J44" s="4">
        <f t="shared" ref="J44:K44" si="9">SUM(J37:J43)</f>
        <v>202.03056828888879</v>
      </c>
      <c r="K44" s="4">
        <f t="shared" si="9"/>
        <v>-281.08369921111125</v>
      </c>
    </row>
    <row r="45" spans="1:11" x14ac:dyDescent="0.3">
      <c r="C45" s="9" t="s">
        <v>193</v>
      </c>
      <c r="D45" s="4"/>
      <c r="E45" s="4">
        <f>E44*-1</f>
        <v>185.58589999999998</v>
      </c>
      <c r="F45" s="4"/>
      <c r="G45" s="4"/>
      <c r="H45" s="4"/>
      <c r="I45" s="4"/>
      <c r="J45" s="4"/>
      <c r="K45" s="4">
        <f>SUM(K41:K43)</f>
        <v>202.03056828888879</v>
      </c>
    </row>
    <row r="46" spans="1:11" x14ac:dyDescent="0.3">
      <c r="C46" s="9" t="s">
        <v>194</v>
      </c>
      <c r="D46" s="4"/>
      <c r="E46" s="4">
        <f>((-1)*K44)/E45</f>
        <v>1.5145746482416567</v>
      </c>
      <c r="F46" s="4"/>
      <c r="G46" s="4"/>
      <c r="H46" s="4"/>
      <c r="I46" s="4"/>
      <c r="J46" s="4"/>
      <c r="K46" s="4"/>
    </row>
    <row r="47" spans="1:11" x14ac:dyDescent="0.3">
      <c r="C47" s="9" t="s">
        <v>195</v>
      </c>
      <c r="D47" s="4"/>
      <c r="E47" s="4">
        <f>E46-B13/2</f>
        <v>-0.31042535175834352</v>
      </c>
      <c r="F47" s="4"/>
      <c r="G47" s="4"/>
      <c r="H47" s="4"/>
      <c r="I47" s="4"/>
      <c r="J47" s="4"/>
      <c r="K47" s="4"/>
    </row>
    <row r="48" spans="1:11" x14ac:dyDescent="0.3">
      <c r="C48" s="9" t="s">
        <v>196</v>
      </c>
      <c r="D48" s="4"/>
      <c r="E48" s="4">
        <f>($E$45/$B$13)*(1-(6*$E$47)/$B$13)</f>
        <v>76.791288777131356</v>
      </c>
      <c r="F48" s="4"/>
      <c r="G48" s="4"/>
      <c r="H48" s="4"/>
      <c r="I48" s="4"/>
      <c r="J48" s="4"/>
      <c r="K48" s="4"/>
    </row>
    <row r="49" spans="3:11" x14ac:dyDescent="0.3">
      <c r="C49" s="9" t="s">
        <v>197</v>
      </c>
      <c r="D49" s="4"/>
      <c r="E49" s="4">
        <f>($E$45/$B$13)*(1+(6*$E$47)/$B$13)</f>
        <v>24.899615332457678</v>
      </c>
      <c r="F49" s="4"/>
      <c r="G49" s="4"/>
      <c r="H49" s="4"/>
      <c r="I49" s="4"/>
      <c r="J49" s="4"/>
      <c r="K49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43" zoomScale="190" zoomScaleNormal="190" workbookViewId="0">
      <selection activeCell="C51" sqref="C51"/>
    </sheetView>
  </sheetViews>
  <sheetFormatPr defaultRowHeight="14.4" x14ac:dyDescent="0.3"/>
  <cols>
    <col min="1" max="1" width="17.33203125" customWidth="1"/>
    <col min="3" max="3" width="11.44140625" customWidth="1"/>
    <col min="6" max="6" width="14.6640625" customWidth="1"/>
    <col min="8" max="8" width="17.33203125" customWidth="1"/>
  </cols>
  <sheetData>
    <row r="1" spans="1:15" s="2" customFormat="1" x14ac:dyDescent="0.3">
      <c r="A1" s="11" t="s">
        <v>120</v>
      </c>
      <c r="B1" s="10">
        <v>7.65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2" customFormat="1" x14ac:dyDescent="0.3">
      <c r="A2" s="11" t="s">
        <v>162</v>
      </c>
      <c r="B2" s="10">
        <v>0.3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2" customFormat="1" x14ac:dyDescent="0.3">
      <c r="A3" s="11" t="s">
        <v>163</v>
      </c>
      <c r="B3" s="10">
        <v>0.6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x14ac:dyDescent="0.3">
      <c r="A4" s="11" t="s">
        <v>161</v>
      </c>
      <c r="B4" s="10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2" customFormat="1" x14ac:dyDescent="0.3">
      <c r="A5" s="11" t="s">
        <v>164</v>
      </c>
      <c r="B5" s="10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s="2" customFormat="1" x14ac:dyDescent="0.3">
      <c r="A6" s="11" t="s">
        <v>166</v>
      </c>
      <c r="B6" s="10">
        <f>B12/(B12+B11)</f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2" customFormat="1" x14ac:dyDescent="0.3">
      <c r="A7" s="11" t="s">
        <v>167</v>
      </c>
      <c r="B7" s="10">
        <v>18.899999999999999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2" customFormat="1" x14ac:dyDescent="0.3">
      <c r="A8" s="11" t="s">
        <v>168</v>
      </c>
      <c r="B8" s="10">
        <v>9.8000000000000007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s="2" customFormat="1" x14ac:dyDescent="0.3">
      <c r="A9" s="11" t="s">
        <v>169</v>
      </c>
      <c r="B9" s="10">
        <v>23.6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4" t="s">
        <v>173</v>
      </c>
      <c r="B10" s="4">
        <f>1/3</f>
        <v>0.33333333333333331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s="4" t="s">
        <v>165</v>
      </c>
      <c r="B11" s="6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11" t="s">
        <v>170</v>
      </c>
      <c r="B12" s="6">
        <v>7.65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3">
      <c r="A13" s="4" t="s">
        <v>171</v>
      </c>
      <c r="B13" s="6">
        <f>B4+B2+B5</f>
        <v>7.3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4" t="s">
        <v>172</v>
      </c>
      <c r="B14" s="6">
        <f>B12*B8</f>
        <v>74.970000000000013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12" t="s">
        <v>181</v>
      </c>
      <c r="B15" s="6">
        <f>0.5*B10*B7*B1^2</f>
        <v>184.34587500000001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4" t="s">
        <v>185</v>
      </c>
      <c r="B16" s="4">
        <f>0.5*B10*B7*B11^2</f>
        <v>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4" t="s">
        <v>186</v>
      </c>
      <c r="B17" s="4">
        <f>B10*B7*B11*B12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4" t="s">
        <v>187</v>
      </c>
      <c r="B18" s="4">
        <f>0.5*(B10*B7+(1-B10)*B8)*B12^2</f>
        <v>375.51937500000003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7"/>
      <c r="B19" s="7"/>
      <c r="C19" s="7" t="s">
        <v>198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42.75" customHeight="1" x14ac:dyDescent="0.3">
      <c r="A20" s="7"/>
      <c r="B20" s="7"/>
      <c r="C20" s="5" t="s">
        <v>174</v>
      </c>
      <c r="D20" s="6" t="s">
        <v>175</v>
      </c>
      <c r="E20" s="6" t="s">
        <v>176</v>
      </c>
      <c r="F20" s="5" t="s">
        <v>188</v>
      </c>
      <c r="G20" s="6" t="s">
        <v>177</v>
      </c>
      <c r="H20" s="6" t="s">
        <v>189</v>
      </c>
      <c r="I20" s="6" t="s">
        <v>190</v>
      </c>
      <c r="J20" s="9" t="s">
        <v>191</v>
      </c>
      <c r="K20" s="9" t="s">
        <v>192</v>
      </c>
      <c r="L20" s="7"/>
      <c r="M20" s="7"/>
      <c r="N20" s="7"/>
      <c r="O20" s="7"/>
    </row>
    <row r="21" spans="1:15" x14ac:dyDescent="0.3">
      <c r="A21" s="7"/>
      <c r="B21" s="7"/>
      <c r="C21" s="6" t="s">
        <v>178</v>
      </c>
      <c r="D21" s="6">
        <f>B2*(B1-B3)</f>
        <v>2.1150000000000002</v>
      </c>
      <c r="E21" s="6">
        <f>D21*B9*-1</f>
        <v>-49.914000000000009</v>
      </c>
      <c r="F21" s="6">
        <f>B4+B2/2</f>
        <v>2.15</v>
      </c>
      <c r="G21" s="6">
        <v>0</v>
      </c>
      <c r="H21" s="6">
        <v>0</v>
      </c>
      <c r="I21" s="6">
        <f>E21*F21</f>
        <v>-107.31510000000002</v>
      </c>
      <c r="J21" s="6">
        <f>G21*H21*-1</f>
        <v>0</v>
      </c>
      <c r="K21" s="6">
        <f>I21+J21</f>
        <v>-107.31510000000002</v>
      </c>
      <c r="L21" s="7"/>
      <c r="M21" s="7"/>
      <c r="N21" s="7"/>
      <c r="O21" s="7"/>
    </row>
    <row r="22" spans="1:15" x14ac:dyDescent="0.3">
      <c r="A22" s="7"/>
      <c r="B22" s="7"/>
      <c r="C22" s="6" t="s">
        <v>179</v>
      </c>
      <c r="D22" s="6">
        <f>B13*B3</f>
        <v>4.38</v>
      </c>
      <c r="E22" s="6">
        <f>D22*B9*-1</f>
        <v>-103.36800000000001</v>
      </c>
      <c r="F22" s="6">
        <f>B13/2</f>
        <v>3.65</v>
      </c>
      <c r="G22" s="6">
        <v>0</v>
      </c>
      <c r="H22" s="6">
        <v>0</v>
      </c>
      <c r="I22" s="6">
        <f t="shared" ref="I22:I24" si="0">E22*F22</f>
        <v>-377.29320000000001</v>
      </c>
      <c r="J22" s="6">
        <f t="shared" ref="J22:J24" si="1">G22*H22*-1</f>
        <v>0</v>
      </c>
      <c r="K22" s="6">
        <f t="shared" ref="K22:K24" si="2">I22+J22</f>
        <v>-377.29320000000001</v>
      </c>
      <c r="L22" s="7"/>
      <c r="M22" s="7"/>
      <c r="N22" s="7"/>
      <c r="O22" s="7"/>
    </row>
    <row r="23" spans="1:15" x14ac:dyDescent="0.3">
      <c r="A23" s="7"/>
      <c r="B23" s="7"/>
      <c r="C23" s="6" t="s">
        <v>180</v>
      </c>
      <c r="D23" s="6">
        <f>B5*(B1-B3)</f>
        <v>35.25</v>
      </c>
      <c r="E23" s="6">
        <f>D23*B7*-1</f>
        <v>-666.22499999999991</v>
      </c>
      <c r="F23" s="6">
        <f>B13-B5/2</f>
        <v>4.8</v>
      </c>
      <c r="G23" s="6">
        <v>0</v>
      </c>
      <c r="H23" s="6">
        <v>0</v>
      </c>
      <c r="I23" s="6">
        <f t="shared" si="0"/>
        <v>-3197.8799999999997</v>
      </c>
      <c r="J23" s="6">
        <f t="shared" si="1"/>
        <v>0</v>
      </c>
      <c r="K23" s="6">
        <f t="shared" si="2"/>
        <v>-3197.8799999999997</v>
      </c>
      <c r="L23" s="7"/>
      <c r="M23" s="7"/>
      <c r="N23" s="7"/>
      <c r="O23" s="7"/>
    </row>
    <row r="24" spans="1:15" x14ac:dyDescent="0.3">
      <c r="A24" s="7"/>
      <c r="B24" s="7"/>
      <c r="C24" s="6" t="s">
        <v>181</v>
      </c>
      <c r="D24" s="6">
        <v>0</v>
      </c>
      <c r="E24" s="6">
        <v>0</v>
      </c>
      <c r="F24" s="6">
        <v>0</v>
      </c>
      <c r="G24" s="6">
        <f>B15*-1</f>
        <v>-184.34587500000001</v>
      </c>
      <c r="H24" s="6">
        <f>B1/3</f>
        <v>2.5500000000000003</v>
      </c>
      <c r="I24" s="6">
        <f t="shared" si="0"/>
        <v>0</v>
      </c>
      <c r="J24" s="6">
        <f t="shared" si="1"/>
        <v>470.08198125000007</v>
      </c>
      <c r="K24" s="6">
        <f t="shared" si="2"/>
        <v>470.08198125000007</v>
      </c>
      <c r="L24" s="7"/>
      <c r="M24" s="7"/>
      <c r="N24" s="7"/>
      <c r="O24" s="7"/>
    </row>
    <row r="25" spans="1:15" x14ac:dyDescent="0.3">
      <c r="A25" s="7"/>
      <c r="B25" s="7"/>
      <c r="C25" s="9" t="s">
        <v>184</v>
      </c>
      <c r="D25" s="6"/>
      <c r="E25" s="6">
        <f>SUM(E21:E24)</f>
        <v>-819.50699999999995</v>
      </c>
      <c r="F25" s="6"/>
      <c r="G25" s="6"/>
      <c r="H25" s="6"/>
      <c r="I25" s="6">
        <f>SUM(I21:I24)</f>
        <v>-3682.4882999999995</v>
      </c>
      <c r="J25" s="6">
        <f t="shared" ref="J25:K25" si="3">SUM(J21:J24)</f>
        <v>470.08198125000007</v>
      </c>
      <c r="K25" s="6">
        <f t="shared" si="3"/>
        <v>-3212.4063187499996</v>
      </c>
      <c r="L25" s="7"/>
      <c r="M25" s="7"/>
      <c r="N25" s="7"/>
      <c r="O25" s="7"/>
    </row>
    <row r="26" spans="1:15" x14ac:dyDescent="0.3">
      <c r="A26" s="7"/>
      <c r="B26" s="7"/>
      <c r="C26" s="9" t="s">
        <v>193</v>
      </c>
      <c r="D26" s="6"/>
      <c r="E26" s="6">
        <f>E25*-1</f>
        <v>819.50699999999995</v>
      </c>
      <c r="F26" s="6"/>
      <c r="G26" s="6"/>
      <c r="H26" s="6"/>
      <c r="I26" s="6"/>
      <c r="J26" s="6"/>
      <c r="K26" s="6"/>
      <c r="L26" s="7"/>
      <c r="M26" s="7"/>
      <c r="N26" s="7"/>
      <c r="O26" s="7"/>
    </row>
    <row r="27" spans="1:15" x14ac:dyDescent="0.3">
      <c r="A27" s="7"/>
      <c r="B27" s="7"/>
      <c r="C27" s="9" t="s">
        <v>194</v>
      </c>
      <c r="D27" s="6">
        <f>((-1)*K25)/E26</f>
        <v>3.9199254170495186</v>
      </c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</row>
    <row r="28" spans="1:15" x14ac:dyDescent="0.3">
      <c r="A28" s="7"/>
      <c r="B28" s="7"/>
      <c r="C28" s="9" t="s">
        <v>195</v>
      </c>
      <c r="D28" s="6">
        <f>D27-0.5*B13</f>
        <v>0.26992541704951867</v>
      </c>
      <c r="E28" s="6"/>
      <c r="F28" s="6"/>
      <c r="G28" s="6"/>
      <c r="H28" s="6"/>
      <c r="I28" s="6"/>
      <c r="J28" s="6"/>
      <c r="K28" s="6"/>
      <c r="L28" s="7"/>
      <c r="M28" s="7"/>
      <c r="N28" s="7"/>
      <c r="O28" s="7"/>
    </row>
    <row r="29" spans="1:15" x14ac:dyDescent="0.3">
      <c r="A29" s="7"/>
      <c r="B29" s="7"/>
      <c r="C29" s="9" t="s">
        <v>196</v>
      </c>
      <c r="D29" s="4">
        <f>($E$26/$B$13)*(1-(6*$D$28)/$B$13)</f>
        <v>87.355347860761881</v>
      </c>
      <c r="E29" s="4"/>
      <c r="F29" s="4"/>
      <c r="G29" s="4"/>
      <c r="H29" s="4"/>
      <c r="I29" s="4"/>
      <c r="J29" s="4"/>
      <c r="K29" s="4"/>
      <c r="L29" s="7"/>
      <c r="M29" s="7"/>
      <c r="N29" s="7"/>
      <c r="O29" s="7"/>
    </row>
    <row r="30" spans="1:15" x14ac:dyDescent="0.3">
      <c r="A30" s="7"/>
      <c r="B30" s="7"/>
      <c r="C30" s="9" t="s">
        <v>197</v>
      </c>
      <c r="D30" s="4">
        <f>($E$26/$B$13)*(1+(6*$D$28)/$B$13)</f>
        <v>137.16711789266279</v>
      </c>
      <c r="E30" s="4"/>
      <c r="F30" s="4"/>
      <c r="G30" s="4"/>
      <c r="H30" s="4"/>
      <c r="I30" s="4"/>
      <c r="J30" s="4"/>
      <c r="K30" s="4"/>
      <c r="L30" s="7"/>
      <c r="M30" s="7"/>
      <c r="N30" s="7"/>
      <c r="O30" s="7"/>
    </row>
    <row r="31" spans="1:15" x14ac:dyDescent="0.3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C32" s="8"/>
      <c r="D32" s="7"/>
    </row>
    <row r="35" spans="1:11" x14ac:dyDescent="0.3">
      <c r="C35" t="s">
        <v>199</v>
      </c>
    </row>
    <row r="36" spans="1:11" ht="28.8" x14ac:dyDescent="0.3">
      <c r="C36" s="5" t="s">
        <v>174</v>
      </c>
      <c r="D36" s="6" t="s">
        <v>175</v>
      </c>
      <c r="E36" s="6" t="s">
        <v>176</v>
      </c>
      <c r="F36" s="5" t="s">
        <v>188</v>
      </c>
      <c r="G36" s="6" t="s">
        <v>177</v>
      </c>
      <c r="H36" s="6" t="s">
        <v>189</v>
      </c>
      <c r="I36" s="6" t="s">
        <v>190</v>
      </c>
      <c r="J36" s="9" t="s">
        <v>191</v>
      </c>
      <c r="K36" s="9" t="s">
        <v>192</v>
      </c>
    </row>
    <row r="37" spans="1:11" x14ac:dyDescent="0.3">
      <c r="C37" s="6" t="str">
        <f>C21</f>
        <v>C1</v>
      </c>
      <c r="D37" s="6">
        <f>D21</f>
        <v>2.1150000000000002</v>
      </c>
      <c r="E37" s="6">
        <f t="shared" ref="E37:K37" si="4">E21</f>
        <v>-49.914000000000009</v>
      </c>
      <c r="F37" s="6">
        <f t="shared" si="4"/>
        <v>2.15</v>
      </c>
      <c r="G37" s="6">
        <f t="shared" si="4"/>
        <v>0</v>
      </c>
      <c r="H37" s="6">
        <f t="shared" si="4"/>
        <v>0</v>
      </c>
      <c r="I37" s="6">
        <f t="shared" si="4"/>
        <v>-107.31510000000002</v>
      </c>
      <c r="J37" s="6">
        <f t="shared" si="4"/>
        <v>0</v>
      </c>
      <c r="K37" s="6">
        <f t="shared" si="4"/>
        <v>-107.31510000000002</v>
      </c>
    </row>
    <row r="38" spans="1:11" x14ac:dyDescent="0.3">
      <c r="C38" s="6" t="str">
        <f t="shared" ref="C38:K39" si="5">C22</f>
        <v>C3</v>
      </c>
      <c r="D38" s="6">
        <f t="shared" si="5"/>
        <v>4.38</v>
      </c>
      <c r="E38" s="6">
        <f t="shared" si="5"/>
        <v>-103.36800000000001</v>
      </c>
      <c r="F38" s="6">
        <f t="shared" si="5"/>
        <v>3.65</v>
      </c>
      <c r="G38" s="6">
        <f t="shared" si="5"/>
        <v>0</v>
      </c>
      <c r="H38" s="6">
        <f t="shared" si="5"/>
        <v>0</v>
      </c>
      <c r="I38" s="6">
        <f t="shared" si="5"/>
        <v>-377.29320000000001</v>
      </c>
      <c r="J38" s="6">
        <f t="shared" si="5"/>
        <v>0</v>
      </c>
      <c r="K38" s="6">
        <f t="shared" si="5"/>
        <v>-377.29320000000001</v>
      </c>
    </row>
    <row r="39" spans="1:11" x14ac:dyDescent="0.3">
      <c r="C39" s="6" t="str">
        <f t="shared" si="5"/>
        <v>S2</v>
      </c>
      <c r="D39" s="6">
        <f t="shared" si="5"/>
        <v>35.25</v>
      </c>
      <c r="E39" s="6">
        <f t="shared" si="5"/>
        <v>-666.22499999999991</v>
      </c>
      <c r="F39" s="6">
        <f t="shared" si="5"/>
        <v>4.8</v>
      </c>
      <c r="G39" s="6">
        <f t="shared" si="5"/>
        <v>0</v>
      </c>
      <c r="H39" s="6">
        <f t="shared" si="5"/>
        <v>0</v>
      </c>
      <c r="I39" s="6">
        <f>I23</f>
        <v>-3197.8799999999997</v>
      </c>
      <c r="J39" s="6">
        <f t="shared" si="5"/>
        <v>0</v>
      </c>
      <c r="K39" s="6">
        <f t="shared" si="5"/>
        <v>-3197.8799999999997</v>
      </c>
    </row>
    <row r="40" spans="1:11" x14ac:dyDescent="0.3">
      <c r="C40" s="6" t="s">
        <v>200</v>
      </c>
      <c r="D40" s="6">
        <v>0</v>
      </c>
      <c r="E40" s="6">
        <f>B14*B13</f>
        <v>547.28100000000006</v>
      </c>
      <c r="F40" s="6">
        <f>B13/2</f>
        <v>3.65</v>
      </c>
      <c r="G40" s="6">
        <v>0</v>
      </c>
      <c r="H40" s="6">
        <v>0</v>
      </c>
      <c r="I40" s="4">
        <f>E40*F40</f>
        <v>1997.5756500000002</v>
      </c>
      <c r="J40" s="6">
        <f>G40*H40</f>
        <v>0</v>
      </c>
      <c r="K40" s="6">
        <f>I40+J40</f>
        <v>1997.5756500000002</v>
      </c>
    </row>
    <row r="41" spans="1:11" x14ac:dyDescent="0.3">
      <c r="C41" s="6" t="s">
        <v>182</v>
      </c>
      <c r="D41" s="6">
        <v>0</v>
      </c>
      <c r="E41" s="6">
        <v>0</v>
      </c>
      <c r="F41" s="6">
        <v>0</v>
      </c>
      <c r="G41" s="4">
        <f>B16*-1</f>
        <v>0</v>
      </c>
      <c r="H41" s="6">
        <f>B12+B11/3</f>
        <v>7.65</v>
      </c>
      <c r="I41" s="6">
        <f>E41*F41</f>
        <v>0</v>
      </c>
      <c r="J41" s="4">
        <f>-1*G41*H41</f>
        <v>0</v>
      </c>
      <c r="K41" s="4">
        <f>I41+J41</f>
        <v>0</v>
      </c>
    </row>
    <row r="42" spans="1:11" x14ac:dyDescent="0.3">
      <c r="C42" s="6" t="s">
        <v>181</v>
      </c>
      <c r="D42" s="6">
        <v>0</v>
      </c>
      <c r="E42" s="6">
        <v>0</v>
      </c>
      <c r="F42" s="6">
        <v>0</v>
      </c>
      <c r="G42" s="4">
        <f>B17*-1</f>
        <v>0</v>
      </c>
      <c r="H42" s="6">
        <f>B12/2</f>
        <v>3.8250000000000002</v>
      </c>
      <c r="I42" s="6">
        <f t="shared" ref="I42:I43" si="6">E42*F42</f>
        <v>0</v>
      </c>
      <c r="J42" s="4">
        <f t="shared" ref="J42:J43" si="7">-1*G42*H42</f>
        <v>0</v>
      </c>
      <c r="K42" s="4">
        <f t="shared" ref="K42:K43" si="8">I42+J42</f>
        <v>0</v>
      </c>
    </row>
    <row r="43" spans="1:11" x14ac:dyDescent="0.3">
      <c r="A43" t="s">
        <v>201</v>
      </c>
      <c r="C43" s="9" t="s">
        <v>183</v>
      </c>
      <c r="D43" s="6">
        <v>0</v>
      </c>
      <c r="E43" s="6">
        <v>0</v>
      </c>
      <c r="F43" s="6">
        <v>0</v>
      </c>
      <c r="G43" s="4">
        <f>B18*-1</f>
        <v>-375.51937500000003</v>
      </c>
      <c r="H43" s="6">
        <f>B12/3</f>
        <v>2.5500000000000003</v>
      </c>
      <c r="I43" s="6">
        <f t="shared" si="6"/>
        <v>0</v>
      </c>
      <c r="J43" s="4">
        <f t="shared" si="7"/>
        <v>957.57440625000015</v>
      </c>
      <c r="K43" s="4">
        <f t="shared" si="8"/>
        <v>957.57440625000015</v>
      </c>
    </row>
    <row r="44" spans="1:11" x14ac:dyDescent="0.3">
      <c r="C44" s="9" t="s">
        <v>184</v>
      </c>
      <c r="D44" s="4"/>
      <c r="E44" s="4">
        <f>SUM(E37:E43)</f>
        <v>-272.22599999999989</v>
      </c>
      <c r="F44" s="4"/>
      <c r="G44" s="4"/>
      <c r="H44" s="4"/>
      <c r="I44" s="4">
        <f>SUM(I37:I43)</f>
        <v>-1684.9126499999993</v>
      </c>
      <c r="J44" s="4">
        <f t="shared" ref="J44:K44" si="9">SUM(J37:J43)</f>
        <v>957.57440625000015</v>
      </c>
      <c r="K44" s="4">
        <f t="shared" si="9"/>
        <v>-727.33824374999915</v>
      </c>
    </row>
    <row r="45" spans="1:11" x14ac:dyDescent="0.3">
      <c r="C45" s="9" t="s">
        <v>193</v>
      </c>
      <c r="D45" s="4"/>
      <c r="E45" s="4">
        <f>E44*-1</f>
        <v>272.22599999999989</v>
      </c>
      <c r="F45" s="4"/>
      <c r="G45" s="4"/>
      <c r="H45" s="4"/>
      <c r="I45" s="4"/>
      <c r="J45" s="4"/>
      <c r="K45" s="4">
        <f>SUM(K41:K43)</f>
        <v>957.57440625000015</v>
      </c>
    </row>
    <row r="46" spans="1:11" x14ac:dyDescent="0.3">
      <c r="C46" s="9" t="s">
        <v>194</v>
      </c>
      <c r="D46" s="4"/>
      <c r="E46" s="4">
        <f>((-1)*K44)/E45</f>
        <v>2.6718176946728067</v>
      </c>
      <c r="F46" s="4"/>
      <c r="G46" s="4"/>
      <c r="H46" s="4"/>
      <c r="I46" s="4"/>
      <c r="J46" s="4"/>
      <c r="K46" s="4"/>
    </row>
    <row r="47" spans="1:11" x14ac:dyDescent="0.3">
      <c r="C47" s="9" t="s">
        <v>195</v>
      </c>
      <c r="D47" s="4"/>
      <c r="E47" s="4">
        <f>E46-B13/2</f>
        <v>-0.97818230532719319</v>
      </c>
      <c r="F47" s="4"/>
      <c r="G47" s="4"/>
      <c r="H47" s="4"/>
      <c r="I47" s="4"/>
      <c r="J47" s="4"/>
      <c r="K47" s="4"/>
    </row>
    <row r="48" spans="1:11" x14ac:dyDescent="0.3">
      <c r="C48" s="9" t="s">
        <v>196</v>
      </c>
      <c r="D48" s="4"/>
      <c r="E48" s="4">
        <f>($E$45/$B$13)*(1-(6*$E$47)/$B$13)</f>
        <v>67.2728417620567</v>
      </c>
      <c r="F48" s="4"/>
      <c r="G48" s="4"/>
      <c r="H48" s="4"/>
      <c r="I48" s="4"/>
      <c r="J48" s="4"/>
      <c r="K48" s="4"/>
    </row>
    <row r="49" spans="3:11" x14ac:dyDescent="0.3">
      <c r="C49" s="9" t="s">
        <v>197</v>
      </c>
      <c r="D49" s="4"/>
      <c r="E49" s="4">
        <f>($E$45/$B$13)*(1+(6*$E$47)/$B$13)</f>
        <v>7.3096239913679257</v>
      </c>
      <c r="F49" s="4"/>
      <c r="G49" s="4"/>
      <c r="H49" s="4"/>
      <c r="I49" s="4"/>
      <c r="J49" s="4"/>
      <c r="K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4.4" x14ac:dyDescent="0.3"/>
  <sheetData>
    <row r="1" spans="1:21" x14ac:dyDescent="0.3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3">
      <c r="A2" s="1">
        <v>0</v>
      </c>
      <c r="B2">
        <v>1275.5</v>
      </c>
      <c r="C2">
        <v>8</v>
      </c>
      <c r="D2">
        <v>3</v>
      </c>
      <c r="E2">
        <v>17.5</v>
      </c>
      <c r="F2">
        <v>72.885999999999996</v>
      </c>
      <c r="G2">
        <v>5.4850000000000003</v>
      </c>
      <c r="H2">
        <v>13.289</v>
      </c>
      <c r="I2">
        <v>20.03</v>
      </c>
      <c r="J2">
        <v>63.680999999999997</v>
      </c>
      <c r="K2">
        <v>2.7210000000000001</v>
      </c>
      <c r="L2">
        <v>23.405000000000001</v>
      </c>
      <c r="M2">
        <v>30.960999999999999</v>
      </c>
      <c r="N2">
        <v>41.198</v>
      </c>
      <c r="O2">
        <v>8.3569999999999993</v>
      </c>
      <c r="P2">
        <v>4.93</v>
      </c>
      <c r="Q2">
        <v>2.5009999999999999</v>
      </c>
      <c r="R2">
        <v>38.887999999999998</v>
      </c>
      <c r="S2">
        <v>82.5</v>
      </c>
      <c r="T2">
        <v>1.968</v>
      </c>
      <c r="U2">
        <v>17.5</v>
      </c>
    </row>
    <row r="3" spans="1:21" x14ac:dyDescent="0.3">
      <c r="A3" s="1">
        <v>1</v>
      </c>
      <c r="B3">
        <v>1275.5</v>
      </c>
      <c r="C3">
        <v>8</v>
      </c>
      <c r="D3">
        <v>4</v>
      </c>
      <c r="E3">
        <v>17.5</v>
      </c>
      <c r="F3">
        <v>72.885999999999996</v>
      </c>
      <c r="G3">
        <v>5.4850000000000003</v>
      </c>
      <c r="H3">
        <v>13.289</v>
      </c>
      <c r="I3">
        <v>20.873000000000001</v>
      </c>
      <c r="J3">
        <v>61.107999999999997</v>
      </c>
      <c r="K3">
        <v>2.4329999999999998</v>
      </c>
      <c r="L3">
        <v>25.114000000000001</v>
      </c>
      <c r="M3">
        <v>32.875999999999998</v>
      </c>
      <c r="N3">
        <v>38.796999999999997</v>
      </c>
      <c r="O3">
        <v>8.6219999999999999</v>
      </c>
      <c r="P3">
        <v>4.5</v>
      </c>
      <c r="Q3">
        <v>2.8370000000000002</v>
      </c>
      <c r="R3">
        <v>42.703000000000003</v>
      </c>
      <c r="S3">
        <v>76.900000000000006</v>
      </c>
      <c r="T3">
        <v>2.8250000000000002</v>
      </c>
      <c r="U3">
        <v>23.1</v>
      </c>
    </row>
    <row r="4" spans="1:21" x14ac:dyDescent="0.3">
      <c r="A4" s="1">
        <v>2</v>
      </c>
      <c r="B4">
        <v>1275.5</v>
      </c>
      <c r="C4">
        <v>9</v>
      </c>
      <c r="D4">
        <v>3</v>
      </c>
      <c r="E4">
        <v>17.5</v>
      </c>
      <c r="F4">
        <v>72.885999999999996</v>
      </c>
      <c r="G4">
        <v>5.4850000000000003</v>
      </c>
      <c r="H4">
        <v>13.289</v>
      </c>
      <c r="I4">
        <v>20.350999999999999</v>
      </c>
      <c r="J4">
        <v>62.674999999999997</v>
      </c>
      <c r="K4">
        <v>2.67</v>
      </c>
      <c r="L4">
        <v>23.475000000000001</v>
      </c>
      <c r="M4">
        <v>32.695</v>
      </c>
      <c r="N4">
        <v>39.012999999999998</v>
      </c>
      <c r="O4">
        <v>8.3170000000000002</v>
      </c>
      <c r="P4">
        <v>4.6909999999999998</v>
      </c>
      <c r="Q4">
        <v>2.532</v>
      </c>
      <c r="R4">
        <v>38.968000000000004</v>
      </c>
      <c r="S4">
        <v>81.900000000000006</v>
      </c>
      <c r="T4">
        <v>2.028</v>
      </c>
      <c r="U4">
        <v>18.100000000000001</v>
      </c>
    </row>
    <row r="5" spans="1:21" x14ac:dyDescent="0.3">
      <c r="A5" s="1">
        <v>3</v>
      </c>
      <c r="B5">
        <v>1275.5</v>
      </c>
      <c r="C5">
        <v>9</v>
      </c>
      <c r="D5">
        <v>4</v>
      </c>
      <c r="E5">
        <v>17.5</v>
      </c>
      <c r="F5">
        <v>72.885999999999996</v>
      </c>
      <c r="G5">
        <v>5.4850000000000003</v>
      </c>
      <c r="H5">
        <v>13.289</v>
      </c>
      <c r="I5">
        <v>21.300999999999998</v>
      </c>
      <c r="J5">
        <v>59.878999999999998</v>
      </c>
      <c r="K5">
        <v>2.3780000000000001</v>
      </c>
      <c r="L5">
        <v>25.184999999999999</v>
      </c>
      <c r="M5">
        <v>34.819000000000003</v>
      </c>
      <c r="N5">
        <v>36.631999999999998</v>
      </c>
      <c r="O5">
        <v>8.5619999999999994</v>
      </c>
      <c r="P5">
        <v>4.2779999999999996</v>
      </c>
      <c r="Q5">
        <v>2.8780000000000001</v>
      </c>
      <c r="R5">
        <v>42.673999999999999</v>
      </c>
      <c r="S5">
        <v>76.2</v>
      </c>
      <c r="T5">
        <v>2.9049999999999998</v>
      </c>
      <c r="U5">
        <v>23.8</v>
      </c>
    </row>
    <row r="6" spans="1:21" x14ac:dyDescent="0.3">
      <c r="A6" s="1">
        <v>4</v>
      </c>
      <c r="B6">
        <v>1275.5</v>
      </c>
      <c r="C6">
        <v>10</v>
      </c>
      <c r="D6">
        <v>3</v>
      </c>
      <c r="E6">
        <v>17.5</v>
      </c>
      <c r="F6">
        <v>72.885999999999996</v>
      </c>
      <c r="G6">
        <v>5.4850000000000003</v>
      </c>
      <c r="H6">
        <v>13.289</v>
      </c>
      <c r="I6">
        <v>20.673999999999999</v>
      </c>
      <c r="J6">
        <v>61.695999999999998</v>
      </c>
      <c r="K6">
        <v>2.621</v>
      </c>
      <c r="L6">
        <v>23.542000000000002</v>
      </c>
      <c r="M6">
        <v>34.44</v>
      </c>
      <c r="N6">
        <v>37.036000000000001</v>
      </c>
      <c r="O6">
        <v>8.2780000000000005</v>
      </c>
      <c r="P6">
        <v>4.4740000000000002</v>
      </c>
      <c r="Q6">
        <v>2.5630000000000002</v>
      </c>
      <c r="R6">
        <v>39.033999999999999</v>
      </c>
      <c r="S6">
        <v>81.400000000000006</v>
      </c>
      <c r="T6">
        <v>2.0859999999999999</v>
      </c>
      <c r="U6">
        <v>18.600000000000001</v>
      </c>
    </row>
    <row r="7" spans="1:21" x14ac:dyDescent="0.3">
      <c r="A7" s="1">
        <v>5</v>
      </c>
      <c r="B7">
        <v>1275.5</v>
      </c>
      <c r="C7">
        <v>10</v>
      </c>
      <c r="D7">
        <v>4</v>
      </c>
      <c r="E7">
        <v>17.5</v>
      </c>
      <c r="F7">
        <v>72.885999999999996</v>
      </c>
      <c r="G7">
        <v>5.4850000000000003</v>
      </c>
      <c r="H7">
        <v>13.289</v>
      </c>
      <c r="I7">
        <v>21.731999999999999</v>
      </c>
      <c r="J7">
        <v>58.692999999999998</v>
      </c>
      <c r="K7">
        <v>2.3239999999999998</v>
      </c>
      <c r="L7">
        <v>25.253</v>
      </c>
      <c r="M7">
        <v>36.767000000000003</v>
      </c>
      <c r="N7">
        <v>34.692</v>
      </c>
      <c r="O7">
        <v>8.5030000000000001</v>
      </c>
      <c r="P7">
        <v>4.08</v>
      </c>
      <c r="Q7">
        <v>2.919</v>
      </c>
      <c r="R7">
        <v>42.634</v>
      </c>
      <c r="S7">
        <v>75.599999999999994</v>
      </c>
      <c r="T7">
        <v>2.984</v>
      </c>
      <c r="U7">
        <v>24.4</v>
      </c>
    </row>
    <row r="8" spans="1:21" x14ac:dyDescent="0.3">
      <c r="A8" s="1">
        <v>6</v>
      </c>
      <c r="B8">
        <v>1275.5</v>
      </c>
      <c r="C8">
        <v>11</v>
      </c>
      <c r="D8">
        <v>3</v>
      </c>
      <c r="E8">
        <v>17.5</v>
      </c>
      <c r="F8">
        <v>72.885999999999996</v>
      </c>
      <c r="G8">
        <v>5.4850000000000003</v>
      </c>
      <c r="H8">
        <v>13.289</v>
      </c>
      <c r="I8">
        <v>20.998999999999999</v>
      </c>
      <c r="J8">
        <v>60.741999999999997</v>
      </c>
      <c r="K8">
        <v>2.573</v>
      </c>
      <c r="L8">
        <v>23.606999999999999</v>
      </c>
      <c r="M8">
        <v>36.195999999999998</v>
      </c>
      <c r="N8">
        <v>35.238999999999997</v>
      </c>
      <c r="O8">
        <v>8.2379999999999995</v>
      </c>
      <c r="P8">
        <v>4.2779999999999996</v>
      </c>
      <c r="Q8">
        <v>2.5939999999999999</v>
      </c>
      <c r="R8">
        <v>39.090000000000003</v>
      </c>
      <c r="S8">
        <v>80.900000000000006</v>
      </c>
      <c r="T8">
        <v>2.1440000000000001</v>
      </c>
      <c r="U8">
        <v>19.100000000000001</v>
      </c>
    </row>
    <row r="9" spans="1:21" x14ac:dyDescent="0.3">
      <c r="A9" s="1">
        <v>7</v>
      </c>
      <c r="B9">
        <v>1275.5</v>
      </c>
      <c r="C9">
        <v>11</v>
      </c>
      <c r="D9">
        <v>4</v>
      </c>
      <c r="E9">
        <v>17.5</v>
      </c>
      <c r="F9">
        <v>72.885999999999996</v>
      </c>
      <c r="G9">
        <v>5.4850000000000003</v>
      </c>
      <c r="H9">
        <v>13.289</v>
      </c>
      <c r="I9">
        <v>22.164999999999999</v>
      </c>
      <c r="J9">
        <v>57.545999999999999</v>
      </c>
      <c r="K9">
        <v>2.2730000000000001</v>
      </c>
      <c r="L9">
        <v>25.318999999999999</v>
      </c>
      <c r="M9">
        <v>38.719000000000001</v>
      </c>
      <c r="N9">
        <v>32.942</v>
      </c>
      <c r="O9">
        <v>8.4440000000000008</v>
      </c>
      <c r="P9">
        <v>3.9009999999999998</v>
      </c>
      <c r="Q9">
        <v>2.96</v>
      </c>
      <c r="R9">
        <v>42.582000000000001</v>
      </c>
      <c r="S9">
        <v>75</v>
      </c>
      <c r="T9">
        <v>3.0619999999999998</v>
      </c>
      <c r="U9">
        <v>25</v>
      </c>
    </row>
    <row r="10" spans="1:21" x14ac:dyDescent="0.3">
      <c r="A10" s="1">
        <v>8</v>
      </c>
      <c r="B10">
        <v>1275.5</v>
      </c>
      <c r="C10">
        <v>12</v>
      </c>
      <c r="D10">
        <v>3</v>
      </c>
      <c r="E10">
        <v>17.5</v>
      </c>
      <c r="F10">
        <v>72.885999999999996</v>
      </c>
      <c r="G10">
        <v>5.4850000000000003</v>
      </c>
      <c r="H10">
        <v>13.289</v>
      </c>
      <c r="I10">
        <v>21.326000000000001</v>
      </c>
      <c r="J10">
        <v>59.81</v>
      </c>
      <c r="K10">
        <v>2.5270000000000001</v>
      </c>
      <c r="L10">
        <v>23.67</v>
      </c>
      <c r="M10">
        <v>37.963000000000001</v>
      </c>
      <c r="N10">
        <v>33.598999999999997</v>
      </c>
      <c r="O10">
        <v>8.1989999999999998</v>
      </c>
      <c r="P10">
        <v>4.0979999999999999</v>
      </c>
      <c r="Q10">
        <v>2.6240000000000001</v>
      </c>
      <c r="R10">
        <v>39.136000000000003</v>
      </c>
      <c r="S10">
        <v>80.400000000000006</v>
      </c>
      <c r="T10">
        <v>2.202</v>
      </c>
      <c r="U10">
        <v>19.600000000000001</v>
      </c>
    </row>
    <row r="11" spans="1:21" x14ac:dyDescent="0.3">
      <c r="A11" s="1">
        <v>9</v>
      </c>
      <c r="B11">
        <v>1275.5</v>
      </c>
      <c r="C11">
        <v>12</v>
      </c>
      <c r="D11">
        <v>4</v>
      </c>
      <c r="E11">
        <v>17.5</v>
      </c>
      <c r="F11">
        <v>72.885999999999996</v>
      </c>
      <c r="G11">
        <v>5.4850000000000003</v>
      </c>
      <c r="H11">
        <v>13.289</v>
      </c>
      <c r="I11">
        <v>22.600999999999999</v>
      </c>
      <c r="J11">
        <v>56.435000000000002</v>
      </c>
      <c r="K11">
        <v>2.2229999999999999</v>
      </c>
      <c r="L11">
        <v>25.381</v>
      </c>
      <c r="M11">
        <v>40.677</v>
      </c>
      <c r="N11">
        <v>31.356000000000002</v>
      </c>
      <c r="O11">
        <v>8.3859999999999992</v>
      </c>
      <c r="P11">
        <v>3.7389999999999999</v>
      </c>
      <c r="Q11">
        <v>3</v>
      </c>
      <c r="R11">
        <v>42.521000000000001</v>
      </c>
      <c r="S11">
        <v>74.3</v>
      </c>
      <c r="T11">
        <v>3.1379999999999999</v>
      </c>
      <c r="U11">
        <v>25.7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4.4" x14ac:dyDescent="0.3"/>
  <sheetData>
    <row r="1" spans="1:21" x14ac:dyDescent="0.3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</row>
    <row r="2" spans="1:21" x14ac:dyDescent="0.3">
      <c r="A2" s="1">
        <v>0</v>
      </c>
      <c r="B2">
        <v>36.130000000000003</v>
      </c>
      <c r="C2">
        <v>8</v>
      </c>
      <c r="D2">
        <v>0.91</v>
      </c>
      <c r="E2">
        <v>5.34</v>
      </c>
      <c r="F2">
        <v>6.77</v>
      </c>
      <c r="G2">
        <v>1.67</v>
      </c>
      <c r="H2">
        <v>4.05</v>
      </c>
      <c r="I2">
        <v>6.11</v>
      </c>
      <c r="J2">
        <v>5.92</v>
      </c>
      <c r="K2">
        <v>0.83</v>
      </c>
      <c r="L2">
        <v>7.14</v>
      </c>
      <c r="M2">
        <v>9.44</v>
      </c>
      <c r="N2">
        <v>3.83</v>
      </c>
      <c r="O2">
        <v>2.5499999999999998</v>
      </c>
      <c r="P2">
        <v>1.5</v>
      </c>
      <c r="Q2">
        <v>2.5009999999999999</v>
      </c>
      <c r="R2">
        <v>12</v>
      </c>
      <c r="S2">
        <v>82.5</v>
      </c>
      <c r="T2">
        <v>0.6</v>
      </c>
      <c r="U2">
        <v>17.5</v>
      </c>
    </row>
    <row r="3" spans="1:21" x14ac:dyDescent="0.3">
      <c r="A3" s="1">
        <v>1</v>
      </c>
      <c r="B3">
        <v>36.130000000000003</v>
      </c>
      <c r="C3">
        <v>8</v>
      </c>
      <c r="D3">
        <v>1.22</v>
      </c>
      <c r="E3">
        <v>5.34</v>
      </c>
      <c r="F3">
        <v>6.77</v>
      </c>
      <c r="G3">
        <v>1.67</v>
      </c>
      <c r="H3">
        <v>4.05</v>
      </c>
      <c r="I3">
        <v>6.36</v>
      </c>
      <c r="J3">
        <v>5.68</v>
      </c>
      <c r="K3">
        <v>0.74</v>
      </c>
      <c r="L3">
        <v>7.66</v>
      </c>
      <c r="M3">
        <v>10.02</v>
      </c>
      <c r="N3">
        <v>3.61</v>
      </c>
      <c r="O3">
        <v>2.63</v>
      </c>
      <c r="P3">
        <v>1.37</v>
      </c>
      <c r="Q3">
        <v>2.8370000000000002</v>
      </c>
      <c r="R3">
        <v>14</v>
      </c>
      <c r="S3">
        <v>76.900000000000006</v>
      </c>
      <c r="T3">
        <v>0.86</v>
      </c>
      <c r="U3">
        <v>23.1</v>
      </c>
    </row>
    <row r="4" spans="1:21" x14ac:dyDescent="0.3">
      <c r="A4" s="1">
        <v>2</v>
      </c>
      <c r="B4">
        <v>36.130000000000003</v>
      </c>
      <c r="C4">
        <v>9</v>
      </c>
      <c r="D4">
        <v>0.91</v>
      </c>
      <c r="E4">
        <v>5.34</v>
      </c>
      <c r="F4">
        <v>6.77</v>
      </c>
      <c r="G4">
        <v>1.67</v>
      </c>
      <c r="H4">
        <v>4.05</v>
      </c>
      <c r="I4">
        <v>6.2</v>
      </c>
      <c r="J4">
        <v>5.82</v>
      </c>
      <c r="K4">
        <v>0.81</v>
      </c>
      <c r="L4">
        <v>7.16</v>
      </c>
      <c r="M4">
        <v>9.9700000000000006</v>
      </c>
      <c r="N4">
        <v>3.63</v>
      </c>
      <c r="O4">
        <v>2.54</v>
      </c>
      <c r="P4">
        <v>1.43</v>
      </c>
      <c r="Q4">
        <v>2.532</v>
      </c>
      <c r="R4">
        <v>12</v>
      </c>
      <c r="S4">
        <v>81.900000000000006</v>
      </c>
      <c r="T4">
        <v>0.62</v>
      </c>
      <c r="U4">
        <v>18.100000000000001</v>
      </c>
    </row>
    <row r="5" spans="1:21" x14ac:dyDescent="0.3">
      <c r="A5" s="1">
        <v>3</v>
      </c>
      <c r="B5">
        <v>36.130000000000003</v>
      </c>
      <c r="C5">
        <v>9</v>
      </c>
      <c r="D5">
        <v>1.22</v>
      </c>
      <c r="E5">
        <v>5.34</v>
      </c>
      <c r="F5">
        <v>6.77</v>
      </c>
      <c r="G5">
        <v>1.67</v>
      </c>
      <c r="H5">
        <v>4.05</v>
      </c>
      <c r="I5">
        <v>6.49</v>
      </c>
      <c r="J5">
        <v>5.56</v>
      </c>
      <c r="K5">
        <v>0.73</v>
      </c>
      <c r="L5">
        <v>7.68</v>
      </c>
      <c r="M5">
        <v>10.62</v>
      </c>
      <c r="N5">
        <v>3.4</v>
      </c>
      <c r="O5">
        <v>2.61</v>
      </c>
      <c r="P5">
        <v>1.3</v>
      </c>
      <c r="Q5">
        <v>2.8780000000000001</v>
      </c>
      <c r="R5">
        <v>14</v>
      </c>
      <c r="S5">
        <v>76.2</v>
      </c>
      <c r="T5">
        <v>0.89</v>
      </c>
      <c r="U5">
        <v>23.8</v>
      </c>
    </row>
    <row r="6" spans="1:21" x14ac:dyDescent="0.3">
      <c r="A6" s="1">
        <v>4</v>
      </c>
      <c r="B6">
        <v>36.130000000000003</v>
      </c>
      <c r="C6">
        <v>10</v>
      </c>
      <c r="D6">
        <v>0.91</v>
      </c>
      <c r="E6">
        <v>5.34</v>
      </c>
      <c r="F6">
        <v>6.77</v>
      </c>
      <c r="G6">
        <v>1.67</v>
      </c>
      <c r="H6">
        <v>4.05</v>
      </c>
      <c r="I6">
        <v>6.3</v>
      </c>
      <c r="J6">
        <v>5.73</v>
      </c>
      <c r="K6">
        <v>0.8</v>
      </c>
      <c r="L6">
        <v>7.18</v>
      </c>
      <c r="M6">
        <v>10.5</v>
      </c>
      <c r="N6">
        <v>3.44</v>
      </c>
      <c r="O6">
        <v>2.52</v>
      </c>
      <c r="P6">
        <v>1.36</v>
      </c>
      <c r="Q6">
        <v>2.5630000000000002</v>
      </c>
      <c r="R6">
        <v>12</v>
      </c>
      <c r="S6">
        <v>81.400000000000006</v>
      </c>
      <c r="T6">
        <v>0.64</v>
      </c>
      <c r="U6">
        <v>18.600000000000001</v>
      </c>
    </row>
    <row r="7" spans="1:21" x14ac:dyDescent="0.3">
      <c r="A7" s="1">
        <v>5</v>
      </c>
      <c r="B7">
        <v>36.130000000000003</v>
      </c>
      <c r="C7">
        <v>10</v>
      </c>
      <c r="D7">
        <v>1.22</v>
      </c>
      <c r="E7">
        <v>5.34</v>
      </c>
      <c r="F7">
        <v>6.77</v>
      </c>
      <c r="G7">
        <v>1.67</v>
      </c>
      <c r="H7">
        <v>4.05</v>
      </c>
      <c r="I7">
        <v>6.63</v>
      </c>
      <c r="J7">
        <v>5.45</v>
      </c>
      <c r="K7">
        <v>0.71</v>
      </c>
      <c r="L7">
        <v>7.7</v>
      </c>
      <c r="M7">
        <v>11.21</v>
      </c>
      <c r="N7">
        <v>3.22</v>
      </c>
      <c r="O7">
        <v>2.59</v>
      </c>
      <c r="P7">
        <v>1.24</v>
      </c>
      <c r="Q7">
        <v>2.919</v>
      </c>
      <c r="R7">
        <v>13</v>
      </c>
      <c r="S7">
        <v>75.599999999999994</v>
      </c>
      <c r="T7">
        <v>0.91</v>
      </c>
      <c r="U7">
        <v>24.4</v>
      </c>
    </row>
    <row r="8" spans="1:21" x14ac:dyDescent="0.3">
      <c r="A8" s="1">
        <v>6</v>
      </c>
      <c r="B8">
        <v>36.130000000000003</v>
      </c>
      <c r="C8">
        <v>11</v>
      </c>
      <c r="D8">
        <v>0.91</v>
      </c>
      <c r="E8">
        <v>5.34</v>
      </c>
      <c r="F8">
        <v>6.77</v>
      </c>
      <c r="G8">
        <v>1.67</v>
      </c>
      <c r="H8">
        <v>4.05</v>
      </c>
      <c r="I8">
        <v>6.4</v>
      </c>
      <c r="J8">
        <v>5.65</v>
      </c>
      <c r="K8">
        <v>0.78</v>
      </c>
      <c r="L8">
        <v>7.2</v>
      </c>
      <c r="M8">
        <v>11.04</v>
      </c>
      <c r="N8">
        <v>3.28</v>
      </c>
      <c r="O8">
        <v>2.5099999999999998</v>
      </c>
      <c r="P8">
        <v>1.3</v>
      </c>
      <c r="Q8">
        <v>2.5939999999999999</v>
      </c>
      <c r="R8">
        <v>12</v>
      </c>
      <c r="S8">
        <v>80.900000000000006</v>
      </c>
      <c r="T8">
        <v>0.65</v>
      </c>
      <c r="U8">
        <v>19.100000000000001</v>
      </c>
    </row>
    <row r="9" spans="1:21" x14ac:dyDescent="0.3">
      <c r="A9" s="1">
        <v>7</v>
      </c>
      <c r="B9">
        <v>36.130000000000003</v>
      </c>
      <c r="C9">
        <v>11</v>
      </c>
      <c r="D9">
        <v>1.22</v>
      </c>
      <c r="E9">
        <v>5.34</v>
      </c>
      <c r="F9">
        <v>6.77</v>
      </c>
      <c r="G9">
        <v>1.67</v>
      </c>
      <c r="H9">
        <v>4.05</v>
      </c>
      <c r="I9">
        <v>6.76</v>
      </c>
      <c r="J9">
        <v>5.35</v>
      </c>
      <c r="K9">
        <v>0.69</v>
      </c>
      <c r="L9">
        <v>7.72</v>
      </c>
      <c r="M9">
        <v>11.8</v>
      </c>
      <c r="N9">
        <v>3.06</v>
      </c>
      <c r="O9">
        <v>2.57</v>
      </c>
      <c r="P9">
        <v>1.19</v>
      </c>
      <c r="Q9">
        <v>2.96</v>
      </c>
      <c r="R9">
        <v>13</v>
      </c>
      <c r="S9">
        <v>75</v>
      </c>
      <c r="T9">
        <v>0.93</v>
      </c>
      <c r="U9">
        <v>25</v>
      </c>
    </row>
    <row r="10" spans="1:21" x14ac:dyDescent="0.3">
      <c r="A10" s="1">
        <v>8</v>
      </c>
      <c r="B10">
        <v>36.130000000000003</v>
      </c>
      <c r="C10">
        <v>12</v>
      </c>
      <c r="D10">
        <v>0.91</v>
      </c>
      <c r="E10">
        <v>5.34</v>
      </c>
      <c r="F10">
        <v>6.77</v>
      </c>
      <c r="G10">
        <v>1.67</v>
      </c>
      <c r="H10">
        <v>4.05</v>
      </c>
      <c r="I10">
        <v>6.5</v>
      </c>
      <c r="J10">
        <v>5.56</v>
      </c>
      <c r="K10">
        <v>0.77</v>
      </c>
      <c r="L10">
        <v>7.22</v>
      </c>
      <c r="M10">
        <v>11.57</v>
      </c>
      <c r="N10">
        <v>3.12</v>
      </c>
      <c r="O10">
        <v>2.5</v>
      </c>
      <c r="P10">
        <v>1.25</v>
      </c>
      <c r="Q10">
        <v>2.6240000000000001</v>
      </c>
      <c r="R10">
        <v>12</v>
      </c>
      <c r="S10">
        <v>80.400000000000006</v>
      </c>
      <c r="T10">
        <v>0.67</v>
      </c>
      <c r="U10">
        <v>19.600000000000001</v>
      </c>
    </row>
    <row r="11" spans="1:21" x14ac:dyDescent="0.3">
      <c r="A11" s="1">
        <v>9</v>
      </c>
      <c r="B11">
        <v>36.130000000000003</v>
      </c>
      <c r="C11">
        <v>12</v>
      </c>
      <c r="D11">
        <v>1.22</v>
      </c>
      <c r="E11">
        <v>5.34</v>
      </c>
      <c r="F11">
        <v>6.77</v>
      </c>
      <c r="G11">
        <v>1.67</v>
      </c>
      <c r="H11">
        <v>4.05</v>
      </c>
      <c r="I11">
        <v>6.89</v>
      </c>
      <c r="J11">
        <v>5.24</v>
      </c>
      <c r="K11">
        <v>0.68</v>
      </c>
      <c r="L11">
        <v>7.74</v>
      </c>
      <c r="M11">
        <v>12.4</v>
      </c>
      <c r="N11">
        <v>2.91</v>
      </c>
      <c r="O11">
        <v>2.56</v>
      </c>
      <c r="P11">
        <v>1.1399999999999999</v>
      </c>
      <c r="Q11">
        <v>3</v>
      </c>
      <c r="R11">
        <v>13</v>
      </c>
      <c r="S11">
        <v>74.3</v>
      </c>
      <c r="T11">
        <v>0.96</v>
      </c>
      <c r="U11">
        <v>25.7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 x14ac:dyDescent="0.3"/>
  <sheetData>
    <row r="1" spans="1:4" x14ac:dyDescent="0.3">
      <c r="B1" s="1" t="s">
        <v>71</v>
      </c>
      <c r="C1" s="1" t="s">
        <v>72</v>
      </c>
      <c r="D1" s="1" t="s">
        <v>73</v>
      </c>
    </row>
    <row r="2" spans="1:4" x14ac:dyDescent="0.3">
      <c r="A2" s="1">
        <v>0</v>
      </c>
      <c r="B2" t="s">
        <v>74</v>
      </c>
      <c r="C2" t="s">
        <v>85</v>
      </c>
      <c r="D2">
        <v>72.885999999999996</v>
      </c>
    </row>
    <row r="3" spans="1:4" x14ac:dyDescent="0.3">
      <c r="A3" s="1">
        <v>1</v>
      </c>
      <c r="B3" t="s">
        <v>75</v>
      </c>
      <c r="C3" t="s">
        <v>86</v>
      </c>
      <c r="D3">
        <v>12</v>
      </c>
    </row>
    <row r="4" spans="1:4" x14ac:dyDescent="0.3">
      <c r="A4" s="1">
        <v>2</v>
      </c>
      <c r="B4" t="s">
        <v>76</v>
      </c>
      <c r="C4" t="s">
        <v>87</v>
      </c>
      <c r="D4">
        <v>4</v>
      </c>
    </row>
    <row r="5" spans="1:4" x14ac:dyDescent="0.3">
      <c r="A5" s="1">
        <v>3</v>
      </c>
      <c r="B5" t="s">
        <v>77</v>
      </c>
      <c r="C5" t="s">
        <v>88</v>
      </c>
      <c r="D5">
        <v>3.74</v>
      </c>
    </row>
    <row r="6" spans="1:4" x14ac:dyDescent="0.3">
      <c r="A6" s="1">
        <v>4</v>
      </c>
      <c r="B6" t="s">
        <v>66</v>
      </c>
      <c r="D6">
        <v>3</v>
      </c>
    </row>
    <row r="7" spans="1:4" x14ac:dyDescent="0.3">
      <c r="A7" s="1">
        <v>5</v>
      </c>
      <c r="B7" t="s">
        <v>78</v>
      </c>
      <c r="C7" t="s">
        <v>87</v>
      </c>
      <c r="D7">
        <v>42.52</v>
      </c>
    </row>
    <row r="8" spans="1:4" x14ac:dyDescent="0.3">
      <c r="A8" s="1">
        <v>6</v>
      </c>
      <c r="B8" t="s">
        <v>79</v>
      </c>
      <c r="C8" t="s">
        <v>89</v>
      </c>
      <c r="D8">
        <v>25.7</v>
      </c>
    </row>
    <row r="9" spans="1:4" x14ac:dyDescent="0.3">
      <c r="A9" s="1">
        <v>7</v>
      </c>
      <c r="B9" t="s">
        <v>80</v>
      </c>
      <c r="C9" t="s">
        <v>87</v>
      </c>
      <c r="D9">
        <v>158</v>
      </c>
    </row>
    <row r="10" spans="1:4" x14ac:dyDescent="0.3">
      <c r="A10" s="1">
        <v>8</v>
      </c>
      <c r="B10" t="s">
        <v>81</v>
      </c>
      <c r="C10" t="s">
        <v>87</v>
      </c>
      <c r="D10">
        <v>0</v>
      </c>
    </row>
    <row r="11" spans="1:4" x14ac:dyDescent="0.3">
      <c r="A11" s="1">
        <v>9</v>
      </c>
      <c r="B11" t="s">
        <v>82</v>
      </c>
      <c r="C11" t="s">
        <v>87</v>
      </c>
      <c r="D11">
        <v>62</v>
      </c>
    </row>
    <row r="12" spans="1:4" x14ac:dyDescent="0.3">
      <c r="A12" s="1">
        <v>10</v>
      </c>
      <c r="B12" t="s">
        <v>83</v>
      </c>
      <c r="C12" t="s">
        <v>87</v>
      </c>
      <c r="D12">
        <v>96</v>
      </c>
    </row>
    <row r="13" spans="1:4" x14ac:dyDescent="0.3">
      <c r="A13" s="1">
        <v>11</v>
      </c>
      <c r="B13" t="s">
        <v>84</v>
      </c>
      <c r="C13" t="s">
        <v>87</v>
      </c>
      <c r="D13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sheetData>
    <row r="1" spans="1:6" x14ac:dyDescent="0.3"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3">
      <c r="A2" s="1">
        <v>0</v>
      </c>
      <c r="B2" t="s">
        <v>95</v>
      </c>
      <c r="C2">
        <v>32.29</v>
      </c>
      <c r="D2">
        <v>-1.46606344790786</v>
      </c>
      <c r="E2">
        <v>1.53</v>
      </c>
      <c r="F2">
        <v>32.22</v>
      </c>
    </row>
    <row r="3" spans="1:6" x14ac:dyDescent="0.3">
      <c r="A3" s="1">
        <v>1</v>
      </c>
      <c r="B3" t="s">
        <v>96</v>
      </c>
      <c r="C3">
        <v>67.709999999999994</v>
      </c>
      <c r="D3">
        <v>1.46606344790786</v>
      </c>
      <c r="E3">
        <v>1.53</v>
      </c>
      <c r="F3">
        <v>70.709999999999994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4" x14ac:dyDescent="0.3"/>
  <sheetData>
    <row r="1" spans="1:5" x14ac:dyDescent="0.3"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3">
      <c r="A2" s="1">
        <v>0</v>
      </c>
      <c r="B2">
        <v>1</v>
      </c>
      <c r="C2">
        <v>70.709999999999994</v>
      </c>
      <c r="D2">
        <v>12.64</v>
      </c>
      <c r="E2">
        <v>0</v>
      </c>
    </row>
    <row r="3" spans="1:5" x14ac:dyDescent="0.3">
      <c r="A3" s="1">
        <v>1</v>
      </c>
      <c r="B3">
        <v>2</v>
      </c>
      <c r="C3">
        <v>55.61</v>
      </c>
      <c r="D3">
        <v>9.94</v>
      </c>
      <c r="E3">
        <v>0</v>
      </c>
    </row>
    <row r="4" spans="1:5" x14ac:dyDescent="0.3">
      <c r="A4" s="1">
        <v>2</v>
      </c>
      <c r="B4">
        <v>3</v>
      </c>
      <c r="C4">
        <v>47.32</v>
      </c>
      <c r="D4">
        <v>8.4600000000000009</v>
      </c>
      <c r="E4">
        <v>6.04</v>
      </c>
    </row>
    <row r="5" spans="1:5" x14ac:dyDescent="0.3">
      <c r="A5" s="1">
        <v>3</v>
      </c>
      <c r="B5">
        <v>4</v>
      </c>
      <c r="C5">
        <v>32.22</v>
      </c>
      <c r="D5">
        <v>5.76</v>
      </c>
      <c r="E5">
        <v>4.1100000000000003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4.4" x14ac:dyDescent="0.3"/>
  <sheetData>
    <row r="1" spans="1:8" x14ac:dyDescent="0.3"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0</v>
      </c>
      <c r="B2">
        <v>0</v>
      </c>
      <c r="C2">
        <v>32.22</v>
      </c>
      <c r="D2">
        <v>5.76</v>
      </c>
      <c r="E2">
        <v>31</v>
      </c>
      <c r="F2">
        <v>2.41</v>
      </c>
      <c r="G2">
        <v>3.35</v>
      </c>
      <c r="H2">
        <v>2.39</v>
      </c>
    </row>
    <row r="3" spans="1:8" x14ac:dyDescent="0.3">
      <c r="A3" s="1">
        <v>1</v>
      </c>
      <c r="B3">
        <v>3</v>
      </c>
      <c r="C3">
        <v>32.950822784810128</v>
      </c>
      <c r="D3">
        <v>5.89</v>
      </c>
      <c r="E3">
        <v>30.35</v>
      </c>
      <c r="F3">
        <v>2.4700000000000002</v>
      </c>
      <c r="G3">
        <v>3.42</v>
      </c>
      <c r="H3">
        <v>2.44</v>
      </c>
    </row>
    <row r="4" spans="1:8" x14ac:dyDescent="0.3">
      <c r="A4" s="1">
        <v>2</v>
      </c>
      <c r="B4">
        <v>6</v>
      </c>
      <c r="C4">
        <v>33.681645569620251</v>
      </c>
      <c r="D4">
        <v>6.02</v>
      </c>
      <c r="E4">
        <v>29.69</v>
      </c>
      <c r="F4">
        <v>2.52</v>
      </c>
      <c r="G4">
        <v>3.5</v>
      </c>
      <c r="H4">
        <v>2.5</v>
      </c>
    </row>
    <row r="5" spans="1:8" x14ac:dyDescent="0.3">
      <c r="A5" s="1">
        <v>3</v>
      </c>
      <c r="B5">
        <v>9</v>
      </c>
      <c r="C5">
        <v>34.412468354430381</v>
      </c>
      <c r="D5">
        <v>6.15</v>
      </c>
      <c r="E5">
        <v>29.04</v>
      </c>
      <c r="F5">
        <v>2.58</v>
      </c>
      <c r="G5">
        <v>3.57</v>
      </c>
      <c r="H5">
        <v>2.5499999999999998</v>
      </c>
    </row>
    <row r="6" spans="1:8" x14ac:dyDescent="0.3">
      <c r="A6" s="1">
        <v>4</v>
      </c>
      <c r="B6">
        <v>12</v>
      </c>
      <c r="C6">
        <v>35.143291139240503</v>
      </c>
      <c r="D6">
        <v>6.28</v>
      </c>
      <c r="E6">
        <v>28.39</v>
      </c>
      <c r="F6">
        <v>2.64</v>
      </c>
      <c r="G6">
        <v>3.64</v>
      </c>
      <c r="H6">
        <v>2.6</v>
      </c>
    </row>
    <row r="7" spans="1:8" x14ac:dyDescent="0.3">
      <c r="A7" s="1">
        <v>5</v>
      </c>
      <c r="B7">
        <v>15</v>
      </c>
      <c r="C7">
        <v>35.874113924050633</v>
      </c>
      <c r="D7">
        <v>6.41</v>
      </c>
      <c r="E7">
        <v>27.73</v>
      </c>
      <c r="F7">
        <v>2.7</v>
      </c>
      <c r="G7">
        <v>3.71</v>
      </c>
      <c r="H7">
        <v>2.65</v>
      </c>
    </row>
    <row r="8" spans="1:8" x14ac:dyDescent="0.3">
      <c r="A8" s="1">
        <v>6</v>
      </c>
      <c r="B8">
        <v>18</v>
      </c>
      <c r="C8">
        <v>36.604936708860762</v>
      </c>
      <c r="D8">
        <v>6.54</v>
      </c>
      <c r="E8">
        <v>27.08</v>
      </c>
      <c r="F8">
        <v>2.76</v>
      </c>
      <c r="G8">
        <v>3.78</v>
      </c>
      <c r="H8">
        <v>2.7</v>
      </c>
    </row>
    <row r="9" spans="1:8" x14ac:dyDescent="0.3">
      <c r="A9" s="1">
        <v>7</v>
      </c>
      <c r="B9">
        <v>21</v>
      </c>
      <c r="C9">
        <v>37.335759493670878</v>
      </c>
      <c r="D9">
        <v>6.67</v>
      </c>
      <c r="E9">
        <v>26.43</v>
      </c>
      <c r="F9">
        <v>2.83</v>
      </c>
      <c r="G9">
        <v>3.84</v>
      </c>
      <c r="H9">
        <v>2.74</v>
      </c>
    </row>
    <row r="10" spans="1:8" x14ac:dyDescent="0.3">
      <c r="A10" s="1">
        <v>8</v>
      </c>
      <c r="B10">
        <v>24</v>
      </c>
      <c r="C10">
        <v>38.066582278481008</v>
      </c>
      <c r="D10">
        <v>6.8</v>
      </c>
      <c r="E10">
        <v>25.77</v>
      </c>
      <c r="F10">
        <v>2.9</v>
      </c>
      <c r="G10">
        <v>3.9</v>
      </c>
      <c r="H10">
        <v>2.79</v>
      </c>
    </row>
    <row r="11" spans="1:8" x14ac:dyDescent="0.3">
      <c r="A11" s="1">
        <v>9</v>
      </c>
      <c r="B11">
        <v>27</v>
      </c>
      <c r="C11">
        <v>38.797405063291137</v>
      </c>
      <c r="D11">
        <v>6.94</v>
      </c>
      <c r="E11">
        <v>25.12</v>
      </c>
      <c r="F11">
        <v>2.98</v>
      </c>
      <c r="G11">
        <v>3.96</v>
      </c>
      <c r="H11">
        <v>2.83</v>
      </c>
    </row>
    <row r="12" spans="1:8" x14ac:dyDescent="0.3">
      <c r="A12" s="1">
        <v>10</v>
      </c>
      <c r="B12">
        <v>30</v>
      </c>
      <c r="C12">
        <v>39.528227848101267</v>
      </c>
      <c r="D12">
        <v>7.07</v>
      </c>
      <c r="E12">
        <v>24.47</v>
      </c>
      <c r="F12">
        <v>3.06</v>
      </c>
      <c r="G12">
        <v>4.01</v>
      </c>
      <c r="H12">
        <v>2.86</v>
      </c>
    </row>
    <row r="13" spans="1:8" x14ac:dyDescent="0.3">
      <c r="A13" s="1">
        <v>11</v>
      </c>
      <c r="B13">
        <v>33</v>
      </c>
      <c r="C13">
        <v>40.259050632911389</v>
      </c>
      <c r="D13">
        <v>7.2</v>
      </c>
      <c r="E13">
        <v>23.81</v>
      </c>
      <c r="F13">
        <v>3.14</v>
      </c>
      <c r="G13">
        <v>4.0599999999999996</v>
      </c>
      <c r="H13">
        <v>2.9</v>
      </c>
    </row>
    <row r="14" spans="1:8" x14ac:dyDescent="0.3">
      <c r="A14" s="1">
        <v>12</v>
      </c>
      <c r="B14">
        <v>36</v>
      </c>
      <c r="C14">
        <v>40.989873417721519</v>
      </c>
      <c r="D14">
        <v>7.33</v>
      </c>
      <c r="E14">
        <v>23.16</v>
      </c>
      <c r="F14">
        <v>3.23</v>
      </c>
      <c r="G14">
        <v>4.0999999999999996</v>
      </c>
      <c r="H14">
        <v>2.93</v>
      </c>
    </row>
    <row r="15" spans="1:8" x14ac:dyDescent="0.3">
      <c r="A15" s="1">
        <v>13</v>
      </c>
      <c r="B15">
        <v>39</v>
      </c>
      <c r="C15">
        <v>41.720696202531641</v>
      </c>
      <c r="D15">
        <v>7.46</v>
      </c>
      <c r="E15">
        <v>22.51</v>
      </c>
      <c r="F15">
        <v>3.32</v>
      </c>
      <c r="G15">
        <v>4.1399999999999997</v>
      </c>
      <c r="H15">
        <v>2.96</v>
      </c>
    </row>
    <row r="16" spans="1:8" x14ac:dyDescent="0.3">
      <c r="A16" s="1">
        <v>14</v>
      </c>
      <c r="B16">
        <v>42</v>
      </c>
      <c r="C16">
        <v>42.451518987341771</v>
      </c>
      <c r="D16">
        <v>7.59</v>
      </c>
      <c r="E16">
        <v>21.85</v>
      </c>
      <c r="F16">
        <v>3.42</v>
      </c>
      <c r="G16">
        <v>4.17</v>
      </c>
      <c r="H16">
        <v>2.98</v>
      </c>
    </row>
    <row r="17" spans="1:8" x14ac:dyDescent="0.3">
      <c r="A17" s="1">
        <v>15</v>
      </c>
      <c r="B17">
        <v>45</v>
      </c>
      <c r="C17">
        <v>43.182341772151901</v>
      </c>
      <c r="D17">
        <v>7.72</v>
      </c>
      <c r="E17">
        <v>21.2</v>
      </c>
      <c r="F17">
        <v>3.53</v>
      </c>
      <c r="G17">
        <v>4.1900000000000004</v>
      </c>
      <c r="H17">
        <v>2.99</v>
      </c>
    </row>
    <row r="18" spans="1:8" x14ac:dyDescent="0.3">
      <c r="A18" s="1">
        <v>16</v>
      </c>
      <c r="B18">
        <v>48</v>
      </c>
      <c r="C18">
        <v>43.913164556962023</v>
      </c>
      <c r="D18">
        <v>7.85</v>
      </c>
      <c r="E18">
        <v>20.55</v>
      </c>
      <c r="F18">
        <v>3.64</v>
      </c>
      <c r="G18">
        <v>4.21</v>
      </c>
      <c r="H18">
        <v>3.01</v>
      </c>
    </row>
    <row r="19" spans="1:8" x14ac:dyDescent="0.3">
      <c r="A19" s="1">
        <v>17</v>
      </c>
      <c r="B19">
        <v>51</v>
      </c>
      <c r="C19">
        <v>44.643987341772153</v>
      </c>
      <c r="D19">
        <v>7.98</v>
      </c>
      <c r="E19">
        <v>19.899999999999999</v>
      </c>
      <c r="F19">
        <v>3.76</v>
      </c>
      <c r="G19">
        <v>4.22</v>
      </c>
      <c r="H19">
        <v>3.01</v>
      </c>
    </row>
    <row r="20" spans="1:8" x14ac:dyDescent="0.3">
      <c r="A20" s="1">
        <v>18</v>
      </c>
      <c r="B20">
        <v>54</v>
      </c>
      <c r="C20">
        <v>45.374810126582283</v>
      </c>
      <c r="D20">
        <v>8.11</v>
      </c>
      <c r="E20">
        <v>19.239999999999998</v>
      </c>
      <c r="F20">
        <v>3.89</v>
      </c>
      <c r="G20">
        <v>4.22</v>
      </c>
      <c r="H20">
        <v>3.01</v>
      </c>
    </row>
    <row r="21" spans="1:8" x14ac:dyDescent="0.3">
      <c r="A21" s="1">
        <v>19</v>
      </c>
      <c r="B21">
        <v>57</v>
      </c>
      <c r="C21">
        <v>46.105632911392412</v>
      </c>
      <c r="D21">
        <v>8.24</v>
      </c>
      <c r="E21">
        <v>18.59</v>
      </c>
      <c r="F21">
        <v>4.0199999999999996</v>
      </c>
      <c r="G21">
        <v>4.22</v>
      </c>
      <c r="H21">
        <v>3.01</v>
      </c>
    </row>
    <row r="22" spans="1:8" x14ac:dyDescent="0.3">
      <c r="A22" s="1">
        <v>20</v>
      </c>
      <c r="B22">
        <v>60</v>
      </c>
      <c r="C22">
        <v>46.836455696202528</v>
      </c>
      <c r="D22">
        <v>8.3699999999999992</v>
      </c>
      <c r="E22">
        <v>17.940000000000001</v>
      </c>
      <c r="F22">
        <v>4.17</v>
      </c>
      <c r="G22">
        <v>4.2</v>
      </c>
      <c r="H2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4.4" x14ac:dyDescent="0.3"/>
  <sheetData>
    <row r="1" spans="1:5" x14ac:dyDescent="0.3">
      <c r="B1" s="1" t="s">
        <v>108</v>
      </c>
      <c r="C1" s="1" t="s">
        <v>72</v>
      </c>
      <c r="D1" s="1" t="s">
        <v>109</v>
      </c>
      <c r="E1" s="1" t="s">
        <v>110</v>
      </c>
    </row>
    <row r="2" spans="1:5" x14ac:dyDescent="0.3">
      <c r="A2" s="1">
        <v>0</v>
      </c>
      <c r="B2" t="s">
        <v>111</v>
      </c>
      <c r="C2" t="s">
        <v>44</v>
      </c>
      <c r="D2">
        <v>5</v>
      </c>
      <c r="E2" t="s">
        <v>130</v>
      </c>
    </row>
    <row r="3" spans="1:5" x14ac:dyDescent="0.3">
      <c r="A3" s="1">
        <v>1</v>
      </c>
      <c r="B3" t="s">
        <v>112</v>
      </c>
      <c r="C3" t="s">
        <v>44</v>
      </c>
      <c r="D3">
        <v>6</v>
      </c>
      <c r="E3" t="s">
        <v>22</v>
      </c>
    </row>
    <row r="4" spans="1:5" x14ac:dyDescent="0.3">
      <c r="A4" s="1">
        <v>2</v>
      </c>
      <c r="B4" t="s">
        <v>113</v>
      </c>
      <c r="C4" t="s">
        <v>126</v>
      </c>
      <c r="D4">
        <v>3</v>
      </c>
      <c r="E4" t="s">
        <v>131</v>
      </c>
    </row>
    <row r="5" spans="1:5" x14ac:dyDescent="0.3">
      <c r="A5" s="1">
        <v>3</v>
      </c>
      <c r="B5" t="s">
        <v>114</v>
      </c>
      <c r="C5" t="s">
        <v>45</v>
      </c>
      <c r="D5">
        <v>20</v>
      </c>
      <c r="E5" t="s">
        <v>132</v>
      </c>
    </row>
    <row r="6" spans="1:5" x14ac:dyDescent="0.3">
      <c r="A6" s="1">
        <v>4</v>
      </c>
      <c r="B6" t="s">
        <v>115</v>
      </c>
      <c r="C6" t="s">
        <v>45</v>
      </c>
      <c r="D6">
        <v>18</v>
      </c>
      <c r="E6" t="s">
        <v>133</v>
      </c>
    </row>
    <row r="7" spans="1:5" x14ac:dyDescent="0.3">
      <c r="A7" s="1">
        <v>5</v>
      </c>
      <c r="B7" t="s">
        <v>116</v>
      </c>
      <c r="C7" t="s">
        <v>45</v>
      </c>
      <c r="D7">
        <v>36.119999999999997</v>
      </c>
      <c r="E7" t="s">
        <v>134</v>
      </c>
    </row>
    <row r="8" spans="1:5" x14ac:dyDescent="0.3">
      <c r="A8" s="1">
        <v>6</v>
      </c>
      <c r="B8" t="s">
        <v>117</v>
      </c>
      <c r="C8" t="s">
        <v>45</v>
      </c>
      <c r="D8">
        <v>15</v>
      </c>
      <c r="E8" t="s">
        <v>135</v>
      </c>
    </row>
    <row r="9" spans="1:5" x14ac:dyDescent="0.3">
      <c r="A9" s="1">
        <v>7</v>
      </c>
      <c r="B9" t="s">
        <v>118</v>
      </c>
      <c r="C9" t="s">
        <v>49</v>
      </c>
      <c r="D9">
        <v>120</v>
      </c>
      <c r="E9" t="s">
        <v>136</v>
      </c>
    </row>
    <row r="10" spans="1:5" x14ac:dyDescent="0.3">
      <c r="A10" s="1">
        <v>8</v>
      </c>
      <c r="B10" t="s">
        <v>119</v>
      </c>
      <c r="C10" t="s">
        <v>46</v>
      </c>
      <c r="D10">
        <v>20</v>
      </c>
      <c r="E10" t="s">
        <v>137</v>
      </c>
    </row>
    <row r="11" spans="1:5" x14ac:dyDescent="0.3">
      <c r="A11" s="1">
        <v>9</v>
      </c>
      <c r="B11" t="s">
        <v>120</v>
      </c>
      <c r="C11" t="s">
        <v>44</v>
      </c>
      <c r="D11">
        <v>17.04</v>
      </c>
      <c r="E11" t="s">
        <v>138</v>
      </c>
    </row>
    <row r="12" spans="1:5" x14ac:dyDescent="0.3">
      <c r="A12" s="1">
        <v>10</v>
      </c>
      <c r="B12" t="s">
        <v>121</v>
      </c>
      <c r="C12" t="s">
        <v>127</v>
      </c>
      <c r="D12">
        <v>1.2</v>
      </c>
      <c r="E12" t="s">
        <v>139</v>
      </c>
    </row>
    <row r="13" spans="1:5" x14ac:dyDescent="0.3">
      <c r="A13" s="1">
        <v>11</v>
      </c>
      <c r="B13" t="s">
        <v>122</v>
      </c>
      <c r="C13" t="s">
        <v>127</v>
      </c>
      <c r="D13">
        <v>1.3</v>
      </c>
      <c r="E13" t="s">
        <v>140</v>
      </c>
    </row>
    <row r="14" spans="1:5" x14ac:dyDescent="0.3">
      <c r="A14" s="1">
        <v>12</v>
      </c>
      <c r="B14" t="s">
        <v>123</v>
      </c>
      <c r="C14" t="s">
        <v>128</v>
      </c>
      <c r="D14">
        <v>-4.92</v>
      </c>
      <c r="E14" t="s">
        <v>141</v>
      </c>
    </row>
    <row r="15" spans="1:5" x14ac:dyDescent="0.3">
      <c r="A15" s="1">
        <v>13</v>
      </c>
      <c r="B15" t="s">
        <v>124</v>
      </c>
      <c r="C15" t="s">
        <v>128</v>
      </c>
      <c r="D15">
        <v>18.04</v>
      </c>
      <c r="E15" t="s">
        <v>142</v>
      </c>
    </row>
    <row r="16" spans="1:5" x14ac:dyDescent="0.3">
      <c r="A16" s="1">
        <v>14</v>
      </c>
      <c r="B16" t="s">
        <v>125</v>
      </c>
      <c r="C16" t="s">
        <v>129</v>
      </c>
      <c r="D16">
        <v>3</v>
      </c>
      <c r="E16" t="s">
        <v>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4" x14ac:dyDescent="0.3"/>
  <sheetData>
    <row r="1" spans="1:7" x14ac:dyDescent="0.3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</row>
    <row r="2" spans="1:7" x14ac:dyDescent="0.3">
      <c r="A2" s="1">
        <v>0</v>
      </c>
      <c r="B2" t="s">
        <v>150</v>
      </c>
      <c r="C2" t="s">
        <v>154</v>
      </c>
      <c r="D2" t="s">
        <v>158</v>
      </c>
      <c r="E2" t="s">
        <v>159</v>
      </c>
      <c r="F2">
        <v>-2.1280000000000001</v>
      </c>
      <c r="G2">
        <v>-2.1280000000000001</v>
      </c>
    </row>
    <row r="3" spans="1:7" x14ac:dyDescent="0.3">
      <c r="A3" s="1">
        <v>1</v>
      </c>
      <c r="B3" t="s">
        <v>151</v>
      </c>
      <c r="C3" t="s">
        <v>155</v>
      </c>
      <c r="D3" t="s">
        <v>158</v>
      </c>
      <c r="E3" t="s">
        <v>159</v>
      </c>
      <c r="F3">
        <v>2.3690000000000002</v>
      </c>
      <c r="G3">
        <v>2.3690000000000002</v>
      </c>
    </row>
    <row r="4" spans="1:7" x14ac:dyDescent="0.3">
      <c r="A4" s="1">
        <v>2</v>
      </c>
      <c r="B4" t="s">
        <v>152</v>
      </c>
      <c r="C4" t="s">
        <v>156</v>
      </c>
      <c r="D4" t="s">
        <v>158</v>
      </c>
      <c r="E4" t="s">
        <v>160</v>
      </c>
      <c r="F4">
        <v>1.1576</v>
      </c>
      <c r="G4">
        <v>1.6578999999999999</v>
      </c>
    </row>
    <row r="5" spans="1:7" x14ac:dyDescent="0.3">
      <c r="A5" s="1">
        <v>3</v>
      </c>
      <c r="B5" t="s">
        <v>153</v>
      </c>
      <c r="C5" t="s">
        <v>157</v>
      </c>
      <c r="D5" t="s">
        <v>158</v>
      </c>
      <c r="E5" t="s">
        <v>160</v>
      </c>
      <c r="F5">
        <v>-1.1576</v>
      </c>
      <c r="G5">
        <v>-1.6578999999999999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Basic_Parameter</vt:lpstr>
      <vt:lpstr>Stilling Basin FPS</vt:lpstr>
      <vt:lpstr>Stilling Basin MKS</vt:lpstr>
      <vt:lpstr>Selected Basin</vt:lpstr>
      <vt:lpstr>Seepage_calc</vt:lpstr>
      <vt:lpstr>thickness_calc</vt:lpstr>
      <vt:lpstr>Deailed_thickness</vt:lpstr>
      <vt:lpstr>Load Calcualtion Input</vt:lpstr>
      <vt:lpstr>Barrel Load</vt:lpstr>
      <vt:lpstr>Counter_fort_calcualtion</vt:lpstr>
      <vt:lpstr>Sheet2</vt:lpstr>
      <vt:lpstr>Counter_fort_calcualtion_Chadni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2023-01-26T15:37:10Z</dcterms:created>
  <dcterms:modified xsi:type="dcterms:W3CDTF">2023-03-22T12:21:04Z</dcterms:modified>
</cp:coreProperties>
</file>