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basic_param" sheetId="2" r:id="rId2"/>
    <sheet name="Sheet1" sheetId="3" r:id="rId3"/>
    <sheet name="Input_variation" sheetId="4" r:id="rId4"/>
    <sheet name="Basic_Input_Veriation" sheetId="5" r:id="rId5"/>
    <sheet name="Sheet2" sheetId="6" r:id="rId6"/>
    <sheet name="delta_Ha_Verification" sheetId="7" r:id="rId7"/>
    <sheet name="delta_sub_Ha_calcualtion" sheetId="8" r:id="rId8"/>
    <sheet name="Sheet3" sheetId="9" r:id="rId9"/>
    <sheet name="Whieney_del_Ha_Calcualtion" sheetId="10" r:id="rId10"/>
    <sheet name="del_sub_Ha_2" sheetId="11" r:id="rId11"/>
    <sheet name="del_sub_Ha_3" sheetId="12" r:id="rId12"/>
    <sheet name="Sheet5" sheetId="13" r:id="rId13"/>
    <sheet name="del_Sub_HA_3rd" sheetId="14" r:id="rId14"/>
    <sheet name="del_Sub_HA_Aswani" sheetId="16" r:id="rId15"/>
    <sheet name="y_c" sheetId="15" r:id="rId16"/>
    <sheet name="g_from_N" sheetId="17" r:id="rId17"/>
    <sheet name="Thrust_coeficient_from_graph" sheetId="18" r:id="rId18"/>
    <sheet name="Quarter_Point_Moment_From_Graph" sheetId="19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" i="19"/>
  <c r="Q2" i="17" l="1"/>
  <c r="O2" i="17" l="1"/>
  <c r="M2" i="17"/>
  <c r="L2" i="17"/>
  <c r="K2" i="17"/>
  <c r="J2" i="17"/>
  <c r="I2" i="17"/>
  <c r="H2" i="17"/>
  <c r="G2" i="17"/>
  <c r="F2" i="17"/>
  <c r="E2" i="17"/>
  <c r="F3" i="18"/>
  <c r="F4" i="18"/>
  <c r="F5" i="18"/>
  <c r="F6" i="18"/>
  <c r="F7" i="18"/>
  <c r="F8" i="18"/>
  <c r="F9" i="18"/>
  <c r="F10" i="18"/>
  <c r="F11" i="18"/>
  <c r="F2" i="18"/>
  <c r="E3" i="18"/>
  <c r="E4" i="18"/>
  <c r="E5" i="18"/>
  <c r="E6" i="18"/>
  <c r="E7" i="18"/>
  <c r="E8" i="18"/>
  <c r="E9" i="18"/>
  <c r="E10" i="18"/>
  <c r="E11" i="18"/>
  <c r="E2" i="18"/>
  <c r="D2" i="17"/>
  <c r="B36" i="14" l="1"/>
  <c r="B34" i="14"/>
  <c r="B32" i="14"/>
  <c r="B31" i="14"/>
  <c r="B30" i="14"/>
  <c r="B13" i="14"/>
  <c r="B49" i="16"/>
  <c r="H23" i="15"/>
  <c r="H24" i="15"/>
  <c r="H25" i="15"/>
  <c r="H26" i="15"/>
  <c r="H27" i="15"/>
  <c r="H28" i="15"/>
  <c r="H29" i="15"/>
  <c r="H30" i="15"/>
  <c r="H31" i="15"/>
  <c r="H22" i="15"/>
  <c r="G23" i="15"/>
  <c r="G24" i="15"/>
  <c r="G25" i="15"/>
  <c r="G26" i="15"/>
  <c r="G27" i="15"/>
  <c r="G28" i="15"/>
  <c r="G29" i="15"/>
  <c r="G30" i="15"/>
  <c r="G31" i="15"/>
  <c r="G22" i="15"/>
  <c r="K49" i="16"/>
  <c r="C9" i="16"/>
  <c r="D9" i="16"/>
  <c r="E9" i="16"/>
  <c r="F9" i="16"/>
  <c r="F15" i="16" s="1"/>
  <c r="G9" i="16"/>
  <c r="H9" i="16"/>
  <c r="I9" i="16"/>
  <c r="J9" i="16"/>
  <c r="J15" i="16" s="1"/>
  <c r="K9" i="16"/>
  <c r="F23" i="15"/>
  <c r="F24" i="15"/>
  <c r="F25" i="15"/>
  <c r="F26" i="15"/>
  <c r="F27" i="15"/>
  <c r="F28" i="15"/>
  <c r="F29" i="15"/>
  <c r="F30" i="15"/>
  <c r="F31" i="15"/>
  <c r="F22" i="15"/>
  <c r="E23" i="15"/>
  <c r="E22" i="15"/>
  <c r="E24" i="15"/>
  <c r="E25" i="15"/>
  <c r="E26" i="15"/>
  <c r="E27" i="15"/>
  <c r="E28" i="15"/>
  <c r="E29" i="15"/>
  <c r="E30" i="15"/>
  <c r="E31" i="15"/>
  <c r="D23" i="15"/>
  <c r="D24" i="15"/>
  <c r="D25" i="15"/>
  <c r="D26" i="15"/>
  <c r="D27" i="15"/>
  <c r="D28" i="15"/>
  <c r="D29" i="15"/>
  <c r="D30" i="15"/>
  <c r="D31" i="15"/>
  <c r="D22" i="15"/>
  <c r="C23" i="15"/>
  <c r="C24" i="15"/>
  <c r="C25" i="15"/>
  <c r="C26" i="15"/>
  <c r="C27" i="15"/>
  <c r="C28" i="15"/>
  <c r="C29" i="15"/>
  <c r="C30" i="15"/>
  <c r="C31" i="15"/>
  <c r="C22" i="15"/>
  <c r="B20" i="15"/>
  <c r="B18" i="15"/>
  <c r="B16" i="15"/>
  <c r="B14" i="15"/>
  <c r="B12" i="15"/>
  <c r="B11" i="15"/>
  <c r="B8" i="15"/>
  <c r="B7" i="15"/>
  <c r="B6" i="15"/>
  <c r="B5" i="15"/>
  <c r="B2" i="15"/>
  <c r="K38" i="16"/>
  <c r="J38" i="16"/>
  <c r="I38" i="16"/>
  <c r="H38" i="16"/>
  <c r="G38" i="16"/>
  <c r="F38" i="16"/>
  <c r="E38" i="16"/>
  <c r="D38" i="16"/>
  <c r="C38" i="16"/>
  <c r="B38" i="16"/>
  <c r="K23" i="16"/>
  <c r="K24" i="16" s="1"/>
  <c r="J23" i="16"/>
  <c r="J24" i="16" s="1"/>
  <c r="I23" i="16"/>
  <c r="I26" i="16" s="1"/>
  <c r="H23" i="16"/>
  <c r="H26" i="16" s="1"/>
  <c r="G23" i="16"/>
  <c r="G24" i="16" s="1"/>
  <c r="F23" i="16"/>
  <c r="F24" i="16" s="1"/>
  <c r="E23" i="16"/>
  <c r="E26" i="16" s="1"/>
  <c r="D23" i="16"/>
  <c r="D26" i="16" s="1"/>
  <c r="C23" i="16"/>
  <c r="C24" i="16" s="1"/>
  <c r="B23" i="16"/>
  <c r="K22" i="16"/>
  <c r="J22" i="16"/>
  <c r="I22" i="16"/>
  <c r="H22" i="16"/>
  <c r="G22" i="16"/>
  <c r="F22" i="16"/>
  <c r="E22" i="16"/>
  <c r="D22" i="16"/>
  <c r="C22" i="16"/>
  <c r="B22" i="16"/>
  <c r="K21" i="16"/>
  <c r="J21" i="16"/>
  <c r="I21" i="16"/>
  <c r="H21" i="16"/>
  <c r="G21" i="16"/>
  <c r="F21" i="16"/>
  <c r="E21" i="16"/>
  <c r="D21" i="16"/>
  <c r="C21" i="16"/>
  <c r="B21" i="16"/>
  <c r="K16" i="16"/>
  <c r="J16" i="16"/>
  <c r="I16" i="16"/>
  <c r="H16" i="16"/>
  <c r="G16" i="16"/>
  <c r="F16" i="16"/>
  <c r="E16" i="16"/>
  <c r="D16" i="16"/>
  <c r="C16" i="16"/>
  <c r="B16" i="16"/>
  <c r="K14" i="16"/>
  <c r="J14" i="16"/>
  <c r="I14" i="16"/>
  <c r="H14" i="16"/>
  <c r="G14" i="16"/>
  <c r="F14" i="16"/>
  <c r="E14" i="16"/>
  <c r="D14" i="16"/>
  <c r="C14" i="16"/>
  <c r="B14" i="16"/>
  <c r="K13" i="16"/>
  <c r="K31" i="16" s="1"/>
  <c r="J13" i="16"/>
  <c r="I13" i="16"/>
  <c r="H13" i="16"/>
  <c r="G13" i="16"/>
  <c r="G31" i="16" s="1"/>
  <c r="F13" i="16"/>
  <c r="E13" i="16"/>
  <c r="D13" i="16"/>
  <c r="C13" i="16"/>
  <c r="C31" i="16" s="1"/>
  <c r="B13" i="16"/>
  <c r="K11" i="16"/>
  <c r="J11" i="16"/>
  <c r="I11" i="16"/>
  <c r="H11" i="16"/>
  <c r="G11" i="16"/>
  <c r="F11" i="16"/>
  <c r="E11" i="16"/>
  <c r="D11" i="16"/>
  <c r="C11" i="16"/>
  <c r="B11" i="16"/>
  <c r="K12" i="16"/>
  <c r="I15" i="16"/>
  <c r="H12" i="16"/>
  <c r="G12" i="16"/>
  <c r="E15" i="16"/>
  <c r="E32" i="16" s="1"/>
  <c r="D15" i="16"/>
  <c r="C12" i="16"/>
  <c r="B9" i="16"/>
  <c r="B12" i="16" s="1"/>
  <c r="J31" i="16" l="1"/>
  <c r="I32" i="16"/>
  <c r="F31" i="16"/>
  <c r="B29" i="16"/>
  <c r="H24" i="16"/>
  <c r="H31" i="16" s="1"/>
  <c r="F12" i="16"/>
  <c r="F30" i="16" s="1"/>
  <c r="J12" i="16"/>
  <c r="D24" i="16"/>
  <c r="D31" i="16" s="1"/>
  <c r="B15" i="16"/>
  <c r="B26" i="16"/>
  <c r="F28" i="16"/>
  <c r="B30" i="16"/>
  <c r="B28" i="16"/>
  <c r="G30" i="16"/>
  <c r="G28" i="16"/>
  <c r="K30" i="16"/>
  <c r="K28" i="16"/>
  <c r="J30" i="16"/>
  <c r="J28" i="16"/>
  <c r="C30" i="16"/>
  <c r="C28" i="16"/>
  <c r="D32" i="16"/>
  <c r="H30" i="16"/>
  <c r="H28" i="16"/>
  <c r="F26" i="16"/>
  <c r="F32" i="16" s="1"/>
  <c r="J29" i="16"/>
  <c r="E12" i="16"/>
  <c r="I12" i="16"/>
  <c r="C15" i="16"/>
  <c r="G15" i="16"/>
  <c r="K15" i="16"/>
  <c r="E24" i="16"/>
  <c r="E31" i="16" s="1"/>
  <c r="I24" i="16"/>
  <c r="I31" i="16" s="1"/>
  <c r="C26" i="16"/>
  <c r="G26" i="16"/>
  <c r="K26" i="16"/>
  <c r="C29" i="16"/>
  <c r="G29" i="16"/>
  <c r="K29" i="16"/>
  <c r="D12" i="16"/>
  <c r="J26" i="16"/>
  <c r="J32" i="16" s="1"/>
  <c r="H15" i="16"/>
  <c r="H32" i="16" s="1"/>
  <c r="B24" i="16"/>
  <c r="B31" i="16" s="1"/>
  <c r="D29" i="16"/>
  <c r="H29" i="16"/>
  <c r="F29" i="16"/>
  <c r="E29" i="16"/>
  <c r="I29" i="16"/>
  <c r="C45" i="14"/>
  <c r="D45" i="14"/>
  <c r="E45" i="14"/>
  <c r="F45" i="14"/>
  <c r="G45" i="14"/>
  <c r="H45" i="14"/>
  <c r="I45" i="14"/>
  <c r="J45" i="14"/>
  <c r="K45" i="14"/>
  <c r="B45" i="14"/>
  <c r="C22" i="14"/>
  <c r="D22" i="14"/>
  <c r="E22" i="14"/>
  <c r="E30" i="14" s="1"/>
  <c r="F22" i="14"/>
  <c r="F30" i="14" s="1"/>
  <c r="G22" i="14"/>
  <c r="H22" i="14"/>
  <c r="I22" i="14"/>
  <c r="I30" i="14" s="1"/>
  <c r="J22" i="14"/>
  <c r="J30" i="14" s="1"/>
  <c r="K22" i="14"/>
  <c r="B40" i="14"/>
  <c r="C30" i="14"/>
  <c r="D30" i="14"/>
  <c r="G30" i="14"/>
  <c r="H30" i="14"/>
  <c r="K30" i="14"/>
  <c r="B22" i="14"/>
  <c r="C21" i="14"/>
  <c r="D21" i="14"/>
  <c r="E21" i="14"/>
  <c r="F21" i="14"/>
  <c r="G21" i="14"/>
  <c r="H21" i="14"/>
  <c r="I21" i="14"/>
  <c r="J21" i="14"/>
  <c r="K21" i="14"/>
  <c r="B21" i="14"/>
  <c r="B26" i="14"/>
  <c r="B32" i="16" l="1"/>
  <c r="D28" i="16"/>
  <c r="D30" i="16"/>
  <c r="I30" i="16"/>
  <c r="I28" i="16"/>
  <c r="I34" i="16" s="1"/>
  <c r="I36" i="16" s="1"/>
  <c r="I40" i="16" s="1"/>
  <c r="I49" i="16" s="1"/>
  <c r="K32" i="16"/>
  <c r="E30" i="16"/>
  <c r="E28" i="16"/>
  <c r="E34" i="16" s="1"/>
  <c r="E36" i="16" s="1"/>
  <c r="E40" i="16" s="1"/>
  <c r="E49" i="16" s="1"/>
  <c r="G32" i="16"/>
  <c r="G34" i="16" s="1"/>
  <c r="G36" i="16" s="1"/>
  <c r="G40" i="16" s="1"/>
  <c r="G49" i="16" s="1"/>
  <c r="H34" i="16"/>
  <c r="H36" i="16" s="1"/>
  <c r="H40" i="16" s="1"/>
  <c r="H49" i="16" s="1"/>
  <c r="K34" i="16"/>
  <c r="K36" i="16" s="1"/>
  <c r="K40" i="16" s="1"/>
  <c r="B34" i="16"/>
  <c r="B36" i="16" s="1"/>
  <c r="B40" i="16" s="1"/>
  <c r="F34" i="16"/>
  <c r="F36" i="16" s="1"/>
  <c r="F40" i="16" s="1"/>
  <c r="F49" i="16" s="1"/>
  <c r="C32" i="16"/>
  <c r="C34" i="16" s="1"/>
  <c r="C36" i="16" s="1"/>
  <c r="C40" i="16" s="1"/>
  <c r="C49" i="16" s="1"/>
  <c r="J34" i="16"/>
  <c r="J36" i="16" s="1"/>
  <c r="J40" i="16" s="1"/>
  <c r="J49" i="16" s="1"/>
  <c r="C38" i="14"/>
  <c r="D38" i="14"/>
  <c r="E38" i="14"/>
  <c r="F38" i="14"/>
  <c r="G38" i="14"/>
  <c r="H38" i="14"/>
  <c r="I38" i="14"/>
  <c r="J38" i="14"/>
  <c r="K38" i="14"/>
  <c r="I9" i="14"/>
  <c r="J9" i="14"/>
  <c r="K9" i="14"/>
  <c r="K12" i="14" s="1"/>
  <c r="I11" i="14"/>
  <c r="J11" i="14"/>
  <c r="K11" i="14"/>
  <c r="I12" i="14"/>
  <c r="J12" i="14"/>
  <c r="I13" i="14"/>
  <c r="J13" i="14"/>
  <c r="J29" i="14" s="1"/>
  <c r="K13" i="14"/>
  <c r="I14" i="14"/>
  <c r="J14" i="14"/>
  <c r="K14" i="14"/>
  <c r="I15" i="14"/>
  <c r="J15" i="14"/>
  <c r="I16" i="14"/>
  <c r="J16" i="14"/>
  <c r="K16" i="14"/>
  <c r="I23" i="14"/>
  <c r="I26" i="14" s="1"/>
  <c r="J23" i="14"/>
  <c r="J24" i="14" s="1"/>
  <c r="K23" i="14"/>
  <c r="K26" i="14" s="1"/>
  <c r="K24" i="14"/>
  <c r="K31" i="14" s="1"/>
  <c r="I28" i="14"/>
  <c r="J28" i="14"/>
  <c r="B11" i="14"/>
  <c r="C11" i="14"/>
  <c r="D11" i="14"/>
  <c r="E11" i="14"/>
  <c r="F11" i="14"/>
  <c r="G11" i="14"/>
  <c r="H11" i="14"/>
  <c r="D12" i="14"/>
  <c r="D28" i="14" s="1"/>
  <c r="E12" i="14"/>
  <c r="H12" i="14"/>
  <c r="H28" i="14" s="1"/>
  <c r="C13" i="14"/>
  <c r="C29" i="14" s="1"/>
  <c r="D13" i="14"/>
  <c r="E13" i="14"/>
  <c r="F13" i="14"/>
  <c r="G13" i="14"/>
  <c r="H13" i="14"/>
  <c r="C14" i="14"/>
  <c r="D14" i="14"/>
  <c r="E14" i="14"/>
  <c r="F14" i="14"/>
  <c r="G14" i="14"/>
  <c r="H14" i="14"/>
  <c r="C15" i="14"/>
  <c r="G15" i="14"/>
  <c r="C16" i="14"/>
  <c r="D16" i="14"/>
  <c r="E16" i="14"/>
  <c r="F16" i="14"/>
  <c r="G16" i="14"/>
  <c r="H16" i="14"/>
  <c r="C23" i="14"/>
  <c r="C24" i="14" s="1"/>
  <c r="D23" i="14"/>
  <c r="D24" i="14" s="1"/>
  <c r="D31" i="14" s="1"/>
  <c r="E23" i="14"/>
  <c r="E29" i="14" s="1"/>
  <c r="F23" i="14"/>
  <c r="F24" i="14" s="1"/>
  <c r="G23" i="14"/>
  <c r="G24" i="14" s="1"/>
  <c r="H23" i="14"/>
  <c r="H24" i="14" s="1"/>
  <c r="H31" i="14" s="1"/>
  <c r="H26" i="14"/>
  <c r="C9" i="14"/>
  <c r="C12" i="14" s="1"/>
  <c r="C28" i="14" s="1"/>
  <c r="D9" i="14"/>
  <c r="D15" i="14" s="1"/>
  <c r="E9" i="14"/>
  <c r="E15" i="14" s="1"/>
  <c r="F9" i="14"/>
  <c r="F12" i="14" s="1"/>
  <c r="G9" i="14"/>
  <c r="G12" i="14" s="1"/>
  <c r="H9" i="14"/>
  <c r="H15" i="14" s="1"/>
  <c r="B38" i="14"/>
  <c r="B15" i="14"/>
  <c r="B23" i="14"/>
  <c r="B29" i="14" s="1"/>
  <c r="B16" i="14"/>
  <c r="B14" i="14"/>
  <c r="B9" i="14"/>
  <c r="B12" i="14" s="1"/>
  <c r="G45" i="16" l="1"/>
  <c r="G42" i="16"/>
  <c r="C45" i="16"/>
  <c r="C42" i="16"/>
  <c r="J45" i="16"/>
  <c r="J42" i="16"/>
  <c r="E42" i="16"/>
  <c r="E45" i="16"/>
  <c r="H42" i="16"/>
  <c r="H45" i="16"/>
  <c r="I42" i="16"/>
  <c r="I45" i="16"/>
  <c r="F42" i="16"/>
  <c r="F45" i="16"/>
  <c r="K45" i="16"/>
  <c r="K42" i="16"/>
  <c r="B45" i="16"/>
  <c r="B42" i="16"/>
  <c r="D34" i="16"/>
  <c r="D36" i="16" s="1"/>
  <c r="D40" i="16" s="1"/>
  <c r="D49" i="16" s="1"/>
  <c r="B28" i="14"/>
  <c r="K29" i="14"/>
  <c r="J26" i="14"/>
  <c r="J32" i="14" s="1"/>
  <c r="G29" i="14"/>
  <c r="F29" i="14"/>
  <c r="E24" i="14"/>
  <c r="E31" i="14" s="1"/>
  <c r="E26" i="14"/>
  <c r="E32" i="14" s="1"/>
  <c r="D26" i="14"/>
  <c r="K28" i="14"/>
  <c r="H32" i="14"/>
  <c r="H34" i="14" s="1"/>
  <c r="H36" i="14" s="1"/>
  <c r="H40" i="14" s="1"/>
  <c r="H42" i="14" s="1"/>
  <c r="F15" i="14"/>
  <c r="D29" i="14"/>
  <c r="G26" i="14"/>
  <c r="G32" i="14" s="1"/>
  <c r="C26" i="14"/>
  <c r="C32" i="14" s="1"/>
  <c r="C34" i="14" s="1"/>
  <c r="C36" i="14" s="1"/>
  <c r="C40" i="14" s="1"/>
  <c r="C42" i="14" s="1"/>
  <c r="G31" i="14"/>
  <c r="C31" i="14"/>
  <c r="E28" i="14"/>
  <c r="J31" i="14"/>
  <c r="K15" i="14"/>
  <c r="K32" i="14" s="1"/>
  <c r="G28" i="14"/>
  <c r="F28" i="14"/>
  <c r="D32" i="14"/>
  <c r="H29" i="14"/>
  <c r="F26" i="14"/>
  <c r="I32" i="14"/>
  <c r="I29" i="14"/>
  <c r="I24" i="14"/>
  <c r="I31" i="14" s="1"/>
  <c r="F31" i="14"/>
  <c r="B24" i="14"/>
  <c r="E34" i="13"/>
  <c r="F34" i="13"/>
  <c r="G34" i="13"/>
  <c r="H34" i="13"/>
  <c r="I34" i="13"/>
  <c r="J34" i="13"/>
  <c r="K34" i="13"/>
  <c r="E35" i="13"/>
  <c r="F35" i="13"/>
  <c r="G35" i="13"/>
  <c r="G37" i="13" s="1"/>
  <c r="G40" i="13" s="1"/>
  <c r="H35" i="13"/>
  <c r="I35" i="13"/>
  <c r="J35" i="13"/>
  <c r="K35" i="13"/>
  <c r="E37" i="13"/>
  <c r="F37" i="13"/>
  <c r="H37" i="13"/>
  <c r="I37" i="13"/>
  <c r="J37" i="13"/>
  <c r="K37" i="13"/>
  <c r="D39" i="13"/>
  <c r="E39" i="13"/>
  <c r="F39" i="13"/>
  <c r="G39" i="13"/>
  <c r="H39" i="13"/>
  <c r="I39" i="13"/>
  <c r="J39" i="13"/>
  <c r="K39" i="13"/>
  <c r="E40" i="13"/>
  <c r="F40" i="13"/>
  <c r="H40" i="13"/>
  <c r="I40" i="13"/>
  <c r="J40" i="13"/>
  <c r="K40" i="13"/>
  <c r="K7" i="13"/>
  <c r="K8" i="13"/>
  <c r="K9" i="13"/>
  <c r="K11" i="13"/>
  <c r="K12" i="13" s="1"/>
  <c r="K15" i="13"/>
  <c r="K28" i="13" s="1"/>
  <c r="K29" i="13" s="1"/>
  <c r="K30" i="13" s="1"/>
  <c r="K17" i="13"/>
  <c r="K18" i="13" s="1"/>
  <c r="K21" i="13"/>
  <c r="K23" i="13"/>
  <c r="K26" i="13"/>
  <c r="K27" i="13" s="1"/>
  <c r="K32" i="13"/>
  <c r="D7" i="13"/>
  <c r="E7" i="13"/>
  <c r="F7" i="13"/>
  <c r="F9" i="13" s="1"/>
  <c r="G7" i="13"/>
  <c r="G9" i="13" s="1"/>
  <c r="G13" i="13" s="1"/>
  <c r="H7" i="13"/>
  <c r="I7" i="13"/>
  <c r="J7" i="13"/>
  <c r="J9" i="13" s="1"/>
  <c r="D8" i="13"/>
  <c r="D22" i="13" s="1"/>
  <c r="E8" i="13"/>
  <c r="F8" i="13"/>
  <c r="G8" i="13"/>
  <c r="H8" i="13"/>
  <c r="H22" i="13" s="1"/>
  <c r="I8" i="13"/>
  <c r="J8" i="13"/>
  <c r="D9" i="13"/>
  <c r="E9" i="13"/>
  <c r="H9" i="13"/>
  <c r="I9" i="13"/>
  <c r="D11" i="13"/>
  <c r="D12" i="13" s="1"/>
  <c r="D13" i="13" s="1"/>
  <c r="E11" i="13"/>
  <c r="E12" i="13" s="1"/>
  <c r="F11" i="13"/>
  <c r="F12" i="13" s="1"/>
  <c r="G11" i="13"/>
  <c r="H11" i="13"/>
  <c r="H12" i="13" s="1"/>
  <c r="H13" i="13" s="1"/>
  <c r="I11" i="13"/>
  <c r="I12" i="13" s="1"/>
  <c r="J11" i="13"/>
  <c r="J12" i="13" s="1"/>
  <c r="G12" i="13"/>
  <c r="D15" i="13"/>
  <c r="D28" i="13" s="1"/>
  <c r="D29" i="13" s="1"/>
  <c r="D30" i="13" s="1"/>
  <c r="E15" i="13"/>
  <c r="E28" i="13" s="1"/>
  <c r="E29" i="13" s="1"/>
  <c r="E30" i="13" s="1"/>
  <c r="F15" i="13"/>
  <c r="G15" i="13"/>
  <c r="H15" i="13"/>
  <c r="I15" i="13"/>
  <c r="I28" i="13" s="1"/>
  <c r="I29" i="13" s="1"/>
  <c r="I30" i="13" s="1"/>
  <c r="J15" i="13"/>
  <c r="D17" i="13"/>
  <c r="D18" i="13" s="1"/>
  <c r="E17" i="13"/>
  <c r="E18" i="13" s="1"/>
  <c r="F17" i="13"/>
  <c r="F25" i="13" s="1"/>
  <c r="G17" i="13"/>
  <c r="H17" i="13"/>
  <c r="H18" i="13" s="1"/>
  <c r="I17" i="13"/>
  <c r="I18" i="13" s="1"/>
  <c r="J17" i="13"/>
  <c r="J25" i="13" s="1"/>
  <c r="G18" i="13"/>
  <c r="G19" i="13" s="1"/>
  <c r="D21" i="13"/>
  <c r="E21" i="13"/>
  <c r="F21" i="13"/>
  <c r="G21" i="13"/>
  <c r="H21" i="13"/>
  <c r="I21" i="13"/>
  <c r="J21" i="13"/>
  <c r="D23" i="13"/>
  <c r="E23" i="13"/>
  <c r="F23" i="13"/>
  <c r="G23" i="13"/>
  <c r="H23" i="13"/>
  <c r="I23" i="13"/>
  <c r="J23" i="13"/>
  <c r="D25" i="13"/>
  <c r="E25" i="13"/>
  <c r="H25" i="13"/>
  <c r="I25" i="13"/>
  <c r="D26" i="13"/>
  <c r="D27" i="13" s="1"/>
  <c r="E26" i="13"/>
  <c r="E27" i="13" s="1"/>
  <c r="F26" i="13"/>
  <c r="F27" i="13" s="1"/>
  <c r="G26" i="13"/>
  <c r="H26" i="13"/>
  <c r="H27" i="13" s="1"/>
  <c r="I26" i="13"/>
  <c r="I27" i="13" s="1"/>
  <c r="J26" i="13"/>
  <c r="J27" i="13" s="1"/>
  <c r="G27" i="13"/>
  <c r="H28" i="13"/>
  <c r="H29" i="13" s="1"/>
  <c r="H30" i="13" s="1"/>
  <c r="D32" i="13"/>
  <c r="E32" i="13"/>
  <c r="F32" i="13"/>
  <c r="G32" i="13"/>
  <c r="H32" i="13"/>
  <c r="I32" i="13"/>
  <c r="J32" i="13"/>
  <c r="C23" i="13"/>
  <c r="C39" i="13"/>
  <c r="C15" i="13"/>
  <c r="C7" i="13"/>
  <c r="C8" i="13"/>
  <c r="C9" i="13"/>
  <c r="C11" i="13"/>
  <c r="C12" i="13" s="1"/>
  <c r="C28" i="13"/>
  <c r="C29" i="13" s="1"/>
  <c r="C30" i="13" s="1"/>
  <c r="C17" i="13"/>
  <c r="C18" i="13" s="1"/>
  <c r="C21" i="13"/>
  <c r="C26" i="13"/>
  <c r="C27" i="13" s="1"/>
  <c r="C32" i="13"/>
  <c r="B25" i="13"/>
  <c r="B39" i="13"/>
  <c r="B32" i="13"/>
  <c r="B27" i="13"/>
  <c r="B26" i="13"/>
  <c r="B23" i="13"/>
  <c r="B24" i="13" s="1"/>
  <c r="B21" i="13"/>
  <c r="B17" i="13"/>
  <c r="B18" i="13" s="1"/>
  <c r="B15" i="13"/>
  <c r="B19" i="13" s="1"/>
  <c r="B41" i="12"/>
  <c r="B8" i="13"/>
  <c r="B11" i="13"/>
  <c r="B12" i="13" s="1"/>
  <c r="B7" i="13"/>
  <c r="B9" i="13" s="1"/>
  <c r="B38" i="12"/>
  <c r="B39" i="12"/>
  <c r="C39" i="12"/>
  <c r="D39" i="12"/>
  <c r="E39" i="12"/>
  <c r="F39" i="12"/>
  <c r="G39" i="12"/>
  <c r="H39" i="12"/>
  <c r="I39" i="12"/>
  <c r="J39" i="12"/>
  <c r="K39" i="12"/>
  <c r="B35" i="12"/>
  <c r="B34" i="12"/>
  <c r="B33" i="12"/>
  <c r="B32" i="12"/>
  <c r="B44" i="12"/>
  <c r="K29" i="12"/>
  <c r="K31" i="12" s="1"/>
  <c r="K38" i="12" s="1"/>
  <c r="K41" i="12" s="1"/>
  <c r="K44" i="12" s="1"/>
  <c r="C29" i="12"/>
  <c r="D29" i="12"/>
  <c r="E29" i="12"/>
  <c r="F29" i="12"/>
  <c r="F31" i="12" s="1"/>
  <c r="F38" i="12" s="1"/>
  <c r="G29" i="12"/>
  <c r="H29" i="12"/>
  <c r="I29" i="12"/>
  <c r="J29" i="12"/>
  <c r="J31" i="12" s="1"/>
  <c r="J38" i="12" s="1"/>
  <c r="B29" i="12"/>
  <c r="B31" i="12"/>
  <c r="C31" i="12"/>
  <c r="C38" i="12" s="1"/>
  <c r="C41" i="12" s="1"/>
  <c r="C44" i="12" s="1"/>
  <c r="D31" i="12"/>
  <c r="E31" i="12"/>
  <c r="E38" i="12" s="1"/>
  <c r="G31" i="12"/>
  <c r="G38" i="12" s="1"/>
  <c r="G41" i="12" s="1"/>
  <c r="G44" i="12" s="1"/>
  <c r="H31" i="12"/>
  <c r="I31" i="12"/>
  <c r="B36" i="12"/>
  <c r="B28" i="12"/>
  <c r="B27" i="12"/>
  <c r="B26" i="12"/>
  <c r="B25" i="12"/>
  <c r="C42" i="12"/>
  <c r="D42" i="12"/>
  <c r="E42" i="12"/>
  <c r="F42" i="12"/>
  <c r="G42" i="12"/>
  <c r="H42" i="12"/>
  <c r="I42" i="12"/>
  <c r="J42" i="12"/>
  <c r="K42" i="12"/>
  <c r="B42" i="12"/>
  <c r="D38" i="12"/>
  <c r="D41" i="12" s="1"/>
  <c r="D44" i="12" s="1"/>
  <c r="H38" i="12"/>
  <c r="H41" i="12" s="1"/>
  <c r="H44" i="12" s="1"/>
  <c r="I38" i="12"/>
  <c r="I41" i="12" s="1"/>
  <c r="I44" i="12" s="1"/>
  <c r="C36" i="12"/>
  <c r="D36" i="12"/>
  <c r="E36" i="12"/>
  <c r="F36" i="12"/>
  <c r="G36" i="12"/>
  <c r="H36" i="12"/>
  <c r="I36" i="12"/>
  <c r="J36" i="12"/>
  <c r="K36" i="12"/>
  <c r="C35" i="12"/>
  <c r="D35" i="12"/>
  <c r="E35" i="12"/>
  <c r="F35" i="12"/>
  <c r="G35" i="12"/>
  <c r="H35" i="12"/>
  <c r="I35" i="12"/>
  <c r="J35" i="12"/>
  <c r="K35" i="12"/>
  <c r="C34" i="12"/>
  <c r="D34" i="12"/>
  <c r="E34" i="12"/>
  <c r="F34" i="12"/>
  <c r="G34" i="12"/>
  <c r="H34" i="12"/>
  <c r="I34" i="12"/>
  <c r="J34" i="12"/>
  <c r="K34" i="12"/>
  <c r="C33" i="12"/>
  <c r="D33" i="12"/>
  <c r="E33" i="12"/>
  <c r="F33" i="12"/>
  <c r="G33" i="12"/>
  <c r="H33" i="12"/>
  <c r="I33" i="12"/>
  <c r="J33" i="12"/>
  <c r="K33" i="12"/>
  <c r="C32" i="12"/>
  <c r="D32" i="12"/>
  <c r="E32" i="12"/>
  <c r="F32" i="12"/>
  <c r="G32" i="12"/>
  <c r="H32" i="12"/>
  <c r="I32" i="12"/>
  <c r="J32" i="12"/>
  <c r="K32" i="12"/>
  <c r="C25" i="12"/>
  <c r="D25" i="12"/>
  <c r="E25" i="12"/>
  <c r="F25" i="12"/>
  <c r="F26" i="12" s="1"/>
  <c r="F27" i="12" s="1"/>
  <c r="G25" i="12"/>
  <c r="H25" i="12"/>
  <c r="I25" i="12"/>
  <c r="J25" i="12"/>
  <c r="J26" i="12" s="1"/>
  <c r="J27" i="12" s="1"/>
  <c r="K25" i="12"/>
  <c r="K26" i="12" s="1"/>
  <c r="K27" i="12" s="1"/>
  <c r="C26" i="12"/>
  <c r="D26" i="12"/>
  <c r="E26" i="12"/>
  <c r="E27" i="12" s="1"/>
  <c r="G26" i="12"/>
  <c r="H26" i="12"/>
  <c r="I26" i="12"/>
  <c r="I27" i="12" s="1"/>
  <c r="C27" i="12"/>
  <c r="D27" i="12"/>
  <c r="G27" i="12"/>
  <c r="H27" i="12"/>
  <c r="C28" i="12"/>
  <c r="D28" i="12"/>
  <c r="E28" i="12"/>
  <c r="F28" i="12"/>
  <c r="G28" i="12"/>
  <c r="H28" i="12"/>
  <c r="I28" i="12"/>
  <c r="J28" i="12"/>
  <c r="K28" i="12"/>
  <c r="K11" i="12"/>
  <c r="K12" i="12"/>
  <c r="K13" i="12"/>
  <c r="K14" i="12"/>
  <c r="K16" i="12" s="1"/>
  <c r="K15" i="12"/>
  <c r="K17" i="12"/>
  <c r="K18" i="12"/>
  <c r="K19" i="12"/>
  <c r="K20" i="12"/>
  <c r="K21" i="12"/>
  <c r="K22" i="12"/>
  <c r="B11" i="12"/>
  <c r="C11" i="12"/>
  <c r="D11" i="12"/>
  <c r="E11" i="12"/>
  <c r="F11" i="12"/>
  <c r="G11" i="12"/>
  <c r="H11" i="12"/>
  <c r="I11" i="12"/>
  <c r="J11" i="12"/>
  <c r="B12" i="12"/>
  <c r="C12" i="12"/>
  <c r="D12" i="12"/>
  <c r="E12" i="12"/>
  <c r="F12" i="12"/>
  <c r="G12" i="12"/>
  <c r="H12" i="12"/>
  <c r="I12" i="12"/>
  <c r="J12" i="12"/>
  <c r="B13" i="12"/>
  <c r="C13" i="12"/>
  <c r="D13" i="12"/>
  <c r="E13" i="12"/>
  <c r="F13" i="12"/>
  <c r="G13" i="12"/>
  <c r="H13" i="12"/>
  <c r="I13" i="12"/>
  <c r="J13" i="12"/>
  <c r="C14" i="12"/>
  <c r="D14" i="12"/>
  <c r="E14" i="12"/>
  <c r="F14" i="12"/>
  <c r="G14" i="12"/>
  <c r="H14" i="12"/>
  <c r="I14" i="12"/>
  <c r="J14" i="12"/>
  <c r="B15" i="12"/>
  <c r="C15" i="12"/>
  <c r="D15" i="12"/>
  <c r="E15" i="12"/>
  <c r="F15" i="12"/>
  <c r="G15" i="12"/>
  <c r="H15" i="12"/>
  <c r="I15" i="12"/>
  <c r="J15" i="12"/>
  <c r="C16" i="12"/>
  <c r="D16" i="12"/>
  <c r="E16" i="12"/>
  <c r="G16" i="12"/>
  <c r="H16" i="12"/>
  <c r="I16" i="12"/>
  <c r="B17" i="12"/>
  <c r="C17" i="12"/>
  <c r="D17" i="12"/>
  <c r="E17" i="12"/>
  <c r="F17" i="12"/>
  <c r="G17" i="12"/>
  <c r="H17" i="12"/>
  <c r="I17" i="12"/>
  <c r="J17" i="12"/>
  <c r="B18" i="12"/>
  <c r="C18" i="12"/>
  <c r="D18" i="12"/>
  <c r="E18" i="12"/>
  <c r="F18" i="12"/>
  <c r="G18" i="12"/>
  <c r="H18" i="12"/>
  <c r="I18" i="12"/>
  <c r="J18" i="12"/>
  <c r="B19" i="12"/>
  <c r="C19" i="12"/>
  <c r="D19" i="12"/>
  <c r="E19" i="12"/>
  <c r="F19" i="12"/>
  <c r="G19" i="12"/>
  <c r="H19" i="12"/>
  <c r="I19" i="12"/>
  <c r="J19" i="12"/>
  <c r="B20" i="12"/>
  <c r="B21" i="12" s="1"/>
  <c r="B22" i="12" s="1"/>
  <c r="C20" i="12"/>
  <c r="D20" i="12"/>
  <c r="D21" i="12" s="1"/>
  <c r="E20" i="12"/>
  <c r="E21" i="12" s="1"/>
  <c r="F20" i="12"/>
  <c r="F21" i="12" s="1"/>
  <c r="F22" i="12" s="1"/>
  <c r="G20" i="12"/>
  <c r="G21" i="12" s="1"/>
  <c r="H20" i="12"/>
  <c r="H21" i="12" s="1"/>
  <c r="I20" i="12"/>
  <c r="J20" i="12"/>
  <c r="J21" i="12" s="1"/>
  <c r="J22" i="12" s="1"/>
  <c r="C21" i="12"/>
  <c r="I21" i="12"/>
  <c r="D45" i="16" l="1"/>
  <c r="D42" i="16"/>
  <c r="E34" i="14"/>
  <c r="E36" i="14" s="1"/>
  <c r="E40" i="14" s="1"/>
  <c r="E42" i="14" s="1"/>
  <c r="K34" i="14"/>
  <c r="K36" i="14" s="1"/>
  <c r="K40" i="14" s="1"/>
  <c r="K42" i="14" s="1"/>
  <c r="J34" i="14"/>
  <c r="J36" i="14" s="1"/>
  <c r="J40" i="14" s="1"/>
  <c r="J42" i="14" s="1"/>
  <c r="G34" i="14"/>
  <c r="G36" i="14" s="1"/>
  <c r="G40" i="14" s="1"/>
  <c r="G42" i="14" s="1"/>
  <c r="F32" i="14"/>
  <c r="F34" i="14" s="1"/>
  <c r="F36" i="14" s="1"/>
  <c r="F40" i="14" s="1"/>
  <c r="F42" i="14" s="1"/>
  <c r="D34" i="14"/>
  <c r="D36" i="14" s="1"/>
  <c r="D40" i="14" s="1"/>
  <c r="D42" i="14" s="1"/>
  <c r="I34" i="14"/>
  <c r="I36" i="14" s="1"/>
  <c r="I40" i="14" s="1"/>
  <c r="I42" i="14" s="1"/>
  <c r="B28" i="13"/>
  <c r="B29" i="13" s="1"/>
  <c r="B30" i="13" s="1"/>
  <c r="B31" i="13" s="1"/>
  <c r="B22" i="13"/>
  <c r="K22" i="13"/>
  <c r="K13" i="13"/>
  <c r="K19" i="13"/>
  <c r="K24" i="13"/>
  <c r="K25" i="13"/>
  <c r="K31" i="13" s="1"/>
  <c r="I19" i="13"/>
  <c r="I24" i="13"/>
  <c r="E19" i="13"/>
  <c r="E24" i="13"/>
  <c r="G22" i="13"/>
  <c r="J13" i="13"/>
  <c r="J22" i="13"/>
  <c r="F13" i="13"/>
  <c r="F22" i="13"/>
  <c r="D31" i="13"/>
  <c r="E13" i="13"/>
  <c r="I31" i="13"/>
  <c r="H31" i="13"/>
  <c r="H19" i="13"/>
  <c r="H24" i="13"/>
  <c r="D19" i="13"/>
  <c r="D24" i="13"/>
  <c r="I13" i="13"/>
  <c r="F31" i="13"/>
  <c r="E31" i="13"/>
  <c r="G28" i="13"/>
  <c r="G29" i="13" s="1"/>
  <c r="G30" i="13" s="1"/>
  <c r="G24" i="13"/>
  <c r="I22" i="13"/>
  <c r="E22" i="13"/>
  <c r="J18" i="13"/>
  <c r="F18" i="13"/>
  <c r="J28" i="13"/>
  <c r="J29" i="13" s="1"/>
  <c r="J30" i="13" s="1"/>
  <c r="J31" i="13" s="1"/>
  <c r="F28" i="13"/>
  <c r="F29" i="13" s="1"/>
  <c r="F30" i="13" s="1"/>
  <c r="G25" i="13"/>
  <c r="G31" i="13" s="1"/>
  <c r="C13" i="13"/>
  <c r="C19" i="13"/>
  <c r="C24" i="13"/>
  <c r="C25" i="13"/>
  <c r="C31" i="13" s="1"/>
  <c r="C22" i="13"/>
  <c r="B13" i="13"/>
  <c r="E41" i="12"/>
  <c r="E44" i="12" s="1"/>
  <c r="J41" i="12"/>
  <c r="J44" i="12" s="1"/>
  <c r="F41" i="12"/>
  <c r="F44" i="12" s="1"/>
  <c r="L41" i="12"/>
  <c r="G22" i="12"/>
  <c r="C22" i="12"/>
  <c r="H22" i="12"/>
  <c r="D22" i="12"/>
  <c r="I22" i="12"/>
  <c r="E22" i="12"/>
  <c r="J16" i="12"/>
  <c r="F16" i="12"/>
  <c r="B16" i="12"/>
  <c r="B37" i="11"/>
  <c r="B22" i="11"/>
  <c r="B26" i="11"/>
  <c r="B27" i="11"/>
  <c r="C13" i="11"/>
  <c r="D13" i="11"/>
  <c r="E13" i="11"/>
  <c r="F13" i="11"/>
  <c r="F27" i="11" s="1"/>
  <c r="G13" i="11"/>
  <c r="H13" i="11"/>
  <c r="I13" i="11"/>
  <c r="J13" i="11"/>
  <c r="J27" i="11" s="1"/>
  <c r="B13" i="11"/>
  <c r="B38" i="11"/>
  <c r="B39" i="11"/>
  <c r="B12" i="11"/>
  <c r="B11" i="11"/>
  <c r="E39" i="11"/>
  <c r="I39" i="11"/>
  <c r="K38" i="11"/>
  <c r="C38" i="11"/>
  <c r="C39" i="11" s="1"/>
  <c r="D38" i="11"/>
  <c r="D39" i="11" s="1"/>
  <c r="E38" i="11"/>
  <c r="G38" i="11"/>
  <c r="G39" i="11" s="1"/>
  <c r="H38" i="11"/>
  <c r="H39" i="11" s="1"/>
  <c r="I38" i="11"/>
  <c r="C37" i="11"/>
  <c r="D37" i="11"/>
  <c r="E37" i="11"/>
  <c r="F37" i="11"/>
  <c r="G37" i="11"/>
  <c r="H37" i="11"/>
  <c r="I37" i="11"/>
  <c r="J37" i="11"/>
  <c r="C35" i="11"/>
  <c r="D35" i="11"/>
  <c r="E35" i="11"/>
  <c r="F35" i="11"/>
  <c r="G35" i="11"/>
  <c r="H35" i="11"/>
  <c r="I35" i="11"/>
  <c r="J35" i="11"/>
  <c r="B35" i="11"/>
  <c r="C32" i="11"/>
  <c r="D32" i="11"/>
  <c r="E32" i="11"/>
  <c r="F32" i="11"/>
  <c r="G32" i="11"/>
  <c r="H32" i="11"/>
  <c r="I32" i="11"/>
  <c r="J32" i="11"/>
  <c r="B32" i="11"/>
  <c r="C27" i="11"/>
  <c r="D27" i="11"/>
  <c r="E27" i="11"/>
  <c r="G27" i="11"/>
  <c r="H27" i="11"/>
  <c r="I27" i="11"/>
  <c r="B20" i="11"/>
  <c r="C20" i="11"/>
  <c r="D20" i="11"/>
  <c r="E20" i="11"/>
  <c r="F20" i="11"/>
  <c r="F21" i="11" s="1"/>
  <c r="F22" i="11" s="1"/>
  <c r="G20" i="11"/>
  <c r="H20" i="11"/>
  <c r="H21" i="11" s="1"/>
  <c r="I20" i="11"/>
  <c r="J20" i="11"/>
  <c r="J21" i="11" s="1"/>
  <c r="J22" i="11" s="1"/>
  <c r="C21" i="11"/>
  <c r="C22" i="11" s="1"/>
  <c r="D21" i="11"/>
  <c r="E21" i="11"/>
  <c r="E22" i="11" s="1"/>
  <c r="G21" i="11"/>
  <c r="G22" i="11" s="1"/>
  <c r="I21" i="11"/>
  <c r="D11" i="11"/>
  <c r="E11" i="11"/>
  <c r="F11" i="11"/>
  <c r="G11" i="11"/>
  <c r="H11" i="11"/>
  <c r="I11" i="11"/>
  <c r="J11" i="11"/>
  <c r="D12" i="11"/>
  <c r="E12" i="11"/>
  <c r="F12" i="11"/>
  <c r="G12" i="11"/>
  <c r="H12" i="11"/>
  <c r="I12" i="11"/>
  <c r="J12" i="11"/>
  <c r="D14" i="11"/>
  <c r="E14" i="11"/>
  <c r="E16" i="11" s="1"/>
  <c r="F14" i="11"/>
  <c r="F16" i="11" s="1"/>
  <c r="G14" i="11"/>
  <c r="G16" i="11" s="1"/>
  <c r="H14" i="11"/>
  <c r="H16" i="11" s="1"/>
  <c r="I14" i="11"/>
  <c r="J14" i="11"/>
  <c r="J16" i="11" s="1"/>
  <c r="D15" i="11"/>
  <c r="E15" i="11"/>
  <c r="F15" i="11"/>
  <c r="G15" i="11"/>
  <c r="H15" i="11"/>
  <c r="I15" i="11"/>
  <c r="J15" i="11"/>
  <c r="D16" i="11"/>
  <c r="I16" i="11"/>
  <c r="D17" i="11"/>
  <c r="E17" i="11"/>
  <c r="F17" i="11"/>
  <c r="G17" i="11"/>
  <c r="H17" i="11"/>
  <c r="I17" i="11"/>
  <c r="J17" i="11"/>
  <c r="D18" i="11"/>
  <c r="E18" i="11"/>
  <c r="F18" i="11"/>
  <c r="G18" i="11"/>
  <c r="H18" i="11"/>
  <c r="I18" i="11"/>
  <c r="J18" i="11"/>
  <c r="D19" i="11"/>
  <c r="E19" i="11"/>
  <c r="F19" i="11"/>
  <c r="G19" i="11"/>
  <c r="H19" i="11"/>
  <c r="I19" i="11"/>
  <c r="J19" i="11"/>
  <c r="I22" i="11"/>
  <c r="C11" i="11"/>
  <c r="C12" i="11"/>
  <c r="C14" i="11"/>
  <c r="C16" i="11" s="1"/>
  <c r="C15" i="11"/>
  <c r="C17" i="11"/>
  <c r="C18" i="11"/>
  <c r="C19" i="11"/>
  <c r="B30" i="11"/>
  <c r="B25" i="11"/>
  <c r="B19" i="11"/>
  <c r="B21" i="11"/>
  <c r="B18" i="11"/>
  <c r="B17" i="11"/>
  <c r="B16" i="11"/>
  <c r="B15" i="11"/>
  <c r="B14" i="11"/>
  <c r="H3" i="10"/>
  <c r="H4" i="10"/>
  <c r="H5" i="10"/>
  <c r="H6" i="10"/>
  <c r="H7" i="10"/>
  <c r="H8" i="10"/>
  <c r="H9" i="10"/>
  <c r="H10" i="10"/>
  <c r="H11" i="10"/>
  <c r="H2" i="10"/>
  <c r="F3" i="10"/>
  <c r="F4" i="10"/>
  <c r="F5" i="10"/>
  <c r="F6" i="10"/>
  <c r="F7" i="10"/>
  <c r="F8" i="10"/>
  <c r="F9" i="10"/>
  <c r="F10" i="10"/>
  <c r="F11" i="10"/>
  <c r="F2" i="10"/>
  <c r="B3" i="10"/>
  <c r="B4" i="10"/>
  <c r="B5" i="10"/>
  <c r="B6" i="10"/>
  <c r="B7" i="10"/>
  <c r="B8" i="10"/>
  <c r="B9" i="10"/>
  <c r="B10" i="10"/>
  <c r="B11" i="10"/>
  <c r="B2" i="10"/>
  <c r="K59" i="8"/>
  <c r="C13" i="8"/>
  <c r="C15" i="8"/>
  <c r="C16" i="8"/>
  <c r="C17" i="8"/>
  <c r="C18" i="8"/>
  <c r="C20" i="8"/>
  <c r="C21" i="8"/>
  <c r="B3" i="9"/>
  <c r="B4" i="9"/>
  <c r="B5" i="9"/>
  <c r="B6" i="9"/>
  <c r="B7" i="9"/>
  <c r="B8" i="9"/>
  <c r="B9" i="9"/>
  <c r="B10" i="9"/>
  <c r="B11" i="9"/>
  <c r="B2" i="9"/>
  <c r="B42" i="14" l="1"/>
  <c r="B34" i="13"/>
  <c r="B35" i="13" s="1"/>
  <c r="B37" i="13" s="1"/>
  <c r="B40" i="13" s="1"/>
  <c r="D34" i="13"/>
  <c r="D35" i="13"/>
  <c r="D37" i="13" s="1"/>
  <c r="D40" i="13" s="1"/>
  <c r="F19" i="13"/>
  <c r="F24" i="13"/>
  <c r="J19" i="13"/>
  <c r="J24" i="13"/>
  <c r="C34" i="13"/>
  <c r="C35" i="13" s="1"/>
  <c r="C37" i="13" s="1"/>
  <c r="C40" i="13" s="1"/>
  <c r="J38" i="11"/>
  <c r="J39" i="11" s="1"/>
  <c r="F38" i="11"/>
  <c r="F39" i="11" s="1"/>
  <c r="F25" i="11"/>
  <c r="J25" i="11"/>
  <c r="J26" i="11" s="1"/>
  <c r="J30" i="11" s="1"/>
  <c r="I25" i="11"/>
  <c r="I26" i="11" s="1"/>
  <c r="I30" i="11" s="1"/>
  <c r="H22" i="11"/>
  <c r="H25" i="11" s="1"/>
  <c r="H26" i="11" s="1"/>
  <c r="H30" i="11" s="1"/>
  <c r="D22" i="11"/>
  <c r="D25" i="11" s="1"/>
  <c r="E25" i="11"/>
  <c r="E26" i="11" s="1"/>
  <c r="E30" i="11" s="1"/>
  <c r="D26" i="11"/>
  <c r="D30" i="11" s="1"/>
  <c r="G25" i="11"/>
  <c r="G26" i="11" s="1"/>
  <c r="G30" i="11" s="1"/>
  <c r="F26" i="11"/>
  <c r="F30" i="11" s="1"/>
  <c r="C25" i="11"/>
  <c r="C26" i="11" s="1"/>
  <c r="C30" i="11" s="1"/>
  <c r="F59" i="8"/>
  <c r="G59" i="8"/>
  <c r="H59" i="8"/>
  <c r="I59" i="8"/>
  <c r="J59" i="8"/>
  <c r="L59" i="8"/>
  <c r="B59" i="8"/>
  <c r="B15" i="8"/>
  <c r="F42" i="8"/>
  <c r="G42" i="8"/>
  <c r="H42" i="8"/>
  <c r="I42" i="8"/>
  <c r="J42" i="8"/>
  <c r="K42" i="8"/>
  <c r="L42" i="8"/>
  <c r="B18" i="8"/>
  <c r="B42" i="8"/>
  <c r="L15" i="8"/>
  <c r="L16" i="8"/>
  <c r="L17" i="8"/>
  <c r="L25" i="8" s="1"/>
  <c r="L20" i="8"/>
  <c r="L21" i="8"/>
  <c r="L22" i="8"/>
  <c r="L23" i="8"/>
  <c r="L27" i="8"/>
  <c r="L28" i="8"/>
  <c r="L44" i="8" s="1"/>
  <c r="L30" i="8"/>
  <c r="L33" i="8"/>
  <c r="L35" i="8"/>
  <c r="L36" i="8"/>
  <c r="L37" i="8"/>
  <c r="L38" i="8"/>
  <c r="L39" i="8"/>
  <c r="D13" i="8"/>
  <c r="E13" i="8"/>
  <c r="F13" i="8"/>
  <c r="G13" i="8"/>
  <c r="H13" i="8"/>
  <c r="I13" i="8"/>
  <c r="J13" i="8"/>
  <c r="K13" i="8"/>
  <c r="L13" i="8"/>
  <c r="L18" i="8" s="1"/>
  <c r="B13" i="8"/>
  <c r="L26" i="8" l="1"/>
  <c r="L43" i="8" s="1"/>
  <c r="L41" i="8"/>
  <c r="L32" i="8"/>
  <c r="L45" i="8" s="1"/>
  <c r="L46" i="8" s="1"/>
  <c r="B16" i="8"/>
  <c r="B17" i="8"/>
  <c r="B41" i="8"/>
  <c r="B20" i="8"/>
  <c r="B21" i="8"/>
  <c r="B22" i="8"/>
  <c r="D15" i="8"/>
  <c r="E15" i="8"/>
  <c r="F15" i="8"/>
  <c r="G15" i="8"/>
  <c r="H15" i="8"/>
  <c r="I15" i="8"/>
  <c r="J15" i="8"/>
  <c r="K15" i="8"/>
  <c r="D16" i="8"/>
  <c r="D23" i="8" s="1"/>
  <c r="E16" i="8"/>
  <c r="E23" i="8" s="1"/>
  <c r="F16" i="8"/>
  <c r="G16" i="8"/>
  <c r="H16" i="8"/>
  <c r="H23" i="8" s="1"/>
  <c r="I16" i="8"/>
  <c r="I23" i="8" s="1"/>
  <c r="J16" i="8"/>
  <c r="K16" i="8"/>
  <c r="C25" i="8"/>
  <c r="D17" i="8"/>
  <c r="D25" i="8" s="1"/>
  <c r="E17" i="8"/>
  <c r="F17" i="8"/>
  <c r="G17" i="8"/>
  <c r="G25" i="8" s="1"/>
  <c r="H17" i="8"/>
  <c r="H25" i="8" s="1"/>
  <c r="I17" i="8"/>
  <c r="J17" i="8"/>
  <c r="K17" i="8"/>
  <c r="K25" i="8" s="1"/>
  <c r="D18" i="8"/>
  <c r="D41" i="8" s="1"/>
  <c r="E18" i="8"/>
  <c r="E41" i="8" s="1"/>
  <c r="F18" i="8"/>
  <c r="G18" i="8"/>
  <c r="H18" i="8"/>
  <c r="H41" i="8" s="1"/>
  <c r="I18" i="8"/>
  <c r="I41" i="8" s="1"/>
  <c r="J18" i="8"/>
  <c r="K18" i="8"/>
  <c r="D20" i="8"/>
  <c r="E20" i="8"/>
  <c r="E27" i="8" s="1"/>
  <c r="F20" i="8"/>
  <c r="F27" i="8" s="1"/>
  <c r="G20" i="8"/>
  <c r="H20" i="8"/>
  <c r="I20" i="8"/>
  <c r="I27" i="8" s="1"/>
  <c r="J20" i="8"/>
  <c r="J27" i="8" s="1"/>
  <c r="K20" i="8"/>
  <c r="C42" i="8"/>
  <c r="D21" i="8"/>
  <c r="D42" i="8" s="1"/>
  <c r="E21" i="8"/>
  <c r="E42" i="8" s="1"/>
  <c r="F21" i="8"/>
  <c r="G21" i="8"/>
  <c r="H21" i="8"/>
  <c r="I21" i="8"/>
  <c r="J21" i="8"/>
  <c r="K21" i="8"/>
  <c r="C22" i="8"/>
  <c r="D22" i="8"/>
  <c r="E22" i="8"/>
  <c r="F22" i="8"/>
  <c r="G22" i="8"/>
  <c r="H22" i="8"/>
  <c r="I22" i="8"/>
  <c r="J22" i="8"/>
  <c r="K22" i="8"/>
  <c r="C23" i="8"/>
  <c r="F23" i="8"/>
  <c r="G23" i="8"/>
  <c r="J23" i="8"/>
  <c r="K23" i="8"/>
  <c r="E25" i="8"/>
  <c r="F25" i="8"/>
  <c r="I25" i="8"/>
  <c r="J25" i="8"/>
  <c r="D26" i="8"/>
  <c r="D43" i="8" s="1"/>
  <c r="E26" i="8"/>
  <c r="E43" i="8" s="1"/>
  <c r="H26" i="8"/>
  <c r="H43" i="8" s="1"/>
  <c r="H49" i="8" s="1"/>
  <c r="C27" i="8"/>
  <c r="D27" i="8"/>
  <c r="G27" i="8"/>
  <c r="H27" i="8"/>
  <c r="K27" i="8"/>
  <c r="C28" i="8"/>
  <c r="C44" i="8" s="1"/>
  <c r="D28" i="8"/>
  <c r="D44" i="8" s="1"/>
  <c r="E28" i="8"/>
  <c r="E44" i="8" s="1"/>
  <c r="F28" i="8"/>
  <c r="F44" i="8" s="1"/>
  <c r="G28" i="8"/>
  <c r="G44" i="8" s="1"/>
  <c r="H28" i="8"/>
  <c r="H44" i="8" s="1"/>
  <c r="I28" i="8"/>
  <c r="I44" i="8" s="1"/>
  <c r="J28" i="8"/>
  <c r="J44" i="8" s="1"/>
  <c r="K28" i="8"/>
  <c r="K44" i="8" s="1"/>
  <c r="C30" i="8"/>
  <c r="D30" i="8"/>
  <c r="E30" i="8"/>
  <c r="F30" i="8"/>
  <c r="G30" i="8"/>
  <c r="H30" i="8"/>
  <c r="I30" i="8"/>
  <c r="J30" i="8"/>
  <c r="K30" i="8"/>
  <c r="C32" i="8"/>
  <c r="D32" i="8"/>
  <c r="E32" i="8"/>
  <c r="E45" i="8" s="1"/>
  <c r="E46" i="8" s="1"/>
  <c r="F32" i="8"/>
  <c r="F45" i="8" s="1"/>
  <c r="F46" i="8" s="1"/>
  <c r="G32" i="8"/>
  <c r="G45" i="8" s="1"/>
  <c r="G46" i="8" s="1"/>
  <c r="H32" i="8"/>
  <c r="H45" i="8" s="1"/>
  <c r="H46" i="8" s="1"/>
  <c r="I32" i="8"/>
  <c r="I45" i="8" s="1"/>
  <c r="I46" i="8" s="1"/>
  <c r="J32" i="8"/>
  <c r="J45" i="8" s="1"/>
  <c r="J46" i="8" s="1"/>
  <c r="K32" i="8"/>
  <c r="K45" i="8" s="1"/>
  <c r="K46" i="8" s="1"/>
  <c r="C33" i="8"/>
  <c r="D33" i="8"/>
  <c r="E33" i="8"/>
  <c r="F33" i="8"/>
  <c r="G33" i="8"/>
  <c r="H33" i="8"/>
  <c r="I33" i="8"/>
  <c r="J33" i="8"/>
  <c r="K33" i="8"/>
  <c r="C35" i="8"/>
  <c r="D35" i="8"/>
  <c r="E35" i="8"/>
  <c r="F35" i="8"/>
  <c r="G35" i="8"/>
  <c r="H35" i="8"/>
  <c r="I35" i="8"/>
  <c r="J35" i="8"/>
  <c r="K35" i="8"/>
  <c r="C36" i="8"/>
  <c r="D36" i="8"/>
  <c r="D37" i="8" s="1"/>
  <c r="D38" i="8" s="1"/>
  <c r="D39" i="8" s="1"/>
  <c r="E36" i="8"/>
  <c r="E37" i="8" s="1"/>
  <c r="E38" i="8" s="1"/>
  <c r="E39" i="8" s="1"/>
  <c r="F36" i="8"/>
  <c r="F37" i="8" s="1"/>
  <c r="F38" i="8" s="1"/>
  <c r="F39" i="8" s="1"/>
  <c r="G36" i="8"/>
  <c r="H36" i="8"/>
  <c r="I36" i="8"/>
  <c r="J36" i="8"/>
  <c r="J37" i="8" s="1"/>
  <c r="J38" i="8" s="1"/>
  <c r="J39" i="8" s="1"/>
  <c r="K36" i="8"/>
  <c r="C37" i="8"/>
  <c r="C38" i="8" s="1"/>
  <c r="C39" i="8" s="1"/>
  <c r="G37" i="8"/>
  <c r="H37" i="8"/>
  <c r="I37" i="8"/>
  <c r="I38" i="8" s="1"/>
  <c r="I39" i="8" s="1"/>
  <c r="K37" i="8"/>
  <c r="K38" i="8" s="1"/>
  <c r="K39" i="8" s="1"/>
  <c r="G38" i="8"/>
  <c r="G39" i="8" s="1"/>
  <c r="H38" i="8"/>
  <c r="H39" i="8" s="1"/>
  <c r="B37" i="8"/>
  <c r="B38" i="8" s="1"/>
  <c r="B39" i="8" s="1"/>
  <c r="B36" i="8"/>
  <c r="B35" i="8"/>
  <c r="B33" i="8"/>
  <c r="B32" i="8"/>
  <c r="B45" i="8" s="1"/>
  <c r="B46" i="8" s="1"/>
  <c r="B30" i="8"/>
  <c r="B28" i="8"/>
  <c r="B44" i="8" s="1"/>
  <c r="B27" i="8"/>
  <c r="B25" i="8"/>
  <c r="B23" i="8"/>
  <c r="D45" i="8" l="1"/>
  <c r="D46" i="8" s="1"/>
  <c r="C45" i="8"/>
  <c r="C46" i="8" s="1"/>
  <c r="J26" i="8"/>
  <c r="J43" i="8" s="1"/>
  <c r="J49" i="8" s="1"/>
  <c r="J41" i="8"/>
  <c r="E49" i="8"/>
  <c r="I53" i="8"/>
  <c r="I48" i="8"/>
  <c r="E48" i="8"/>
  <c r="E53" i="8"/>
  <c r="F26" i="8"/>
  <c r="F43" i="8" s="1"/>
  <c r="F49" i="8" s="1"/>
  <c r="F41" i="8"/>
  <c r="D49" i="8"/>
  <c r="H53" i="8"/>
  <c r="H48" i="8"/>
  <c r="H50" i="8" s="1"/>
  <c r="H52" i="8" s="1"/>
  <c r="H57" i="8" s="1"/>
  <c r="D48" i="8"/>
  <c r="D53" i="8"/>
  <c r="L53" i="8"/>
  <c r="L48" i="8"/>
  <c r="L50" i="8" s="1"/>
  <c r="L52" i="8" s="1"/>
  <c r="L57" i="8" s="1"/>
  <c r="I26" i="8"/>
  <c r="I43" i="8" s="1"/>
  <c r="I49" i="8" s="1"/>
  <c r="K26" i="8"/>
  <c r="K43" i="8" s="1"/>
  <c r="K49" i="8" s="1"/>
  <c r="K41" i="8"/>
  <c r="G26" i="8"/>
  <c r="G43" i="8" s="1"/>
  <c r="G49" i="8" s="1"/>
  <c r="G41" i="8"/>
  <c r="L49" i="8"/>
  <c r="C26" i="8"/>
  <c r="C43" i="8" s="1"/>
  <c r="C41" i="8"/>
  <c r="B48" i="8"/>
  <c r="B26" i="8"/>
  <c r="B43" i="8" s="1"/>
  <c r="B49" i="8" s="1"/>
  <c r="D16" i="7"/>
  <c r="D15" i="7"/>
  <c r="D14" i="7"/>
  <c r="D13" i="7"/>
  <c r="D12" i="7"/>
  <c r="D11" i="7"/>
  <c r="D10" i="7"/>
  <c r="D9" i="7"/>
  <c r="D8" i="7"/>
  <c r="D7" i="7"/>
  <c r="D3" i="7"/>
  <c r="F3" i="7" s="1"/>
  <c r="D2" i="7"/>
  <c r="F2" i="7" s="1"/>
  <c r="C49" i="8" l="1"/>
  <c r="D50" i="8"/>
  <c r="D52" i="8" s="1"/>
  <c r="D57" i="8" s="1"/>
  <c r="D59" i="8" s="1"/>
  <c r="K48" i="8"/>
  <c r="K50" i="8" s="1"/>
  <c r="K52" i="8" s="1"/>
  <c r="K57" i="8" s="1"/>
  <c r="K53" i="8"/>
  <c r="E50" i="8"/>
  <c r="E52" i="8" s="1"/>
  <c r="E57" i="8" s="1"/>
  <c r="E59" i="8" s="1"/>
  <c r="J53" i="8"/>
  <c r="J48" i="8"/>
  <c r="J50" i="8" s="1"/>
  <c r="J52" i="8" s="1"/>
  <c r="J57" i="8" s="1"/>
  <c r="G48" i="8"/>
  <c r="G50" i="8" s="1"/>
  <c r="G52" i="8" s="1"/>
  <c r="G57" i="8" s="1"/>
  <c r="G53" i="8"/>
  <c r="F53" i="8"/>
  <c r="F48" i="8"/>
  <c r="F50" i="8" s="1"/>
  <c r="F52" i="8" s="1"/>
  <c r="F57" i="8" s="1"/>
  <c r="I50" i="8"/>
  <c r="I52" i="8" s="1"/>
  <c r="I57" i="8" s="1"/>
  <c r="C48" i="8"/>
  <c r="C50" i="8" s="1"/>
  <c r="C52" i="8" s="1"/>
  <c r="C57" i="8" s="1"/>
  <c r="C59" i="8" s="1"/>
  <c r="C53" i="8"/>
  <c r="B53" i="8"/>
  <c r="B50" i="8"/>
  <c r="B52" i="8" s="1"/>
  <c r="B57" i="8" s="1"/>
  <c r="L12" i="4"/>
  <c r="J12" i="4"/>
  <c r="I12" i="4"/>
  <c r="H12" i="4"/>
  <c r="G12" i="4"/>
  <c r="F12" i="4"/>
  <c r="D12" i="4"/>
  <c r="D2" i="6" l="1"/>
  <c r="D3" i="6"/>
  <c r="D4" i="6"/>
  <c r="D5" i="6"/>
  <c r="D6" i="6"/>
  <c r="D7" i="6"/>
  <c r="D8" i="6"/>
  <c r="D9" i="6"/>
  <c r="D10" i="6"/>
  <c r="D1" i="6"/>
  <c r="Y3" i="4" l="1"/>
  <c r="Y4" i="4"/>
  <c r="Y5" i="4"/>
  <c r="Y6" i="4"/>
  <c r="Y7" i="4"/>
  <c r="Y8" i="4"/>
  <c r="Y9" i="4"/>
  <c r="Y10" i="4"/>
  <c r="Y11" i="4"/>
  <c r="X3" i="4"/>
  <c r="X4" i="4"/>
  <c r="X5" i="4"/>
  <c r="X6" i="4"/>
  <c r="X7" i="4"/>
  <c r="X8" i="4"/>
  <c r="X9" i="4"/>
  <c r="X10" i="4"/>
  <c r="X11" i="4"/>
  <c r="W3" i="4"/>
  <c r="W4" i="4"/>
  <c r="W5" i="4"/>
  <c r="W6" i="4"/>
  <c r="W7" i="4"/>
  <c r="W8" i="4"/>
  <c r="W9" i="4"/>
  <c r="W10" i="4"/>
  <c r="W11" i="4"/>
  <c r="V3" i="4"/>
  <c r="V4" i="4"/>
  <c r="V5" i="4"/>
  <c r="V6" i="4"/>
  <c r="V7" i="4"/>
  <c r="V8" i="4"/>
  <c r="V9" i="4"/>
  <c r="V10" i="4"/>
  <c r="V11" i="4"/>
  <c r="U3" i="4"/>
  <c r="U4" i="4"/>
  <c r="U5" i="4"/>
  <c r="U6" i="4"/>
  <c r="U7" i="4"/>
  <c r="U8" i="4"/>
  <c r="U9" i="4"/>
  <c r="U10" i="4"/>
  <c r="U11" i="4"/>
  <c r="T3" i="4"/>
  <c r="T4" i="4"/>
  <c r="T5" i="4"/>
  <c r="T6" i="4"/>
  <c r="T7" i="4"/>
  <c r="T8" i="4"/>
  <c r="T9" i="4"/>
  <c r="T10" i="4"/>
  <c r="T11" i="4"/>
  <c r="U2" i="4"/>
  <c r="V2" i="4"/>
  <c r="W2" i="4"/>
  <c r="X2" i="4"/>
  <c r="Y2" i="4"/>
  <c r="T2" i="4"/>
  <c r="L3" i="4"/>
  <c r="L4" i="4"/>
  <c r="L5" i="4"/>
  <c r="L6" i="4"/>
  <c r="L7" i="4"/>
  <c r="L8" i="4"/>
  <c r="L9" i="4"/>
  <c r="L10" i="4"/>
  <c r="L11" i="4"/>
  <c r="L2" i="4"/>
  <c r="J3" i="4"/>
  <c r="J4" i="4"/>
  <c r="J5" i="4"/>
  <c r="J6" i="4"/>
  <c r="J7" i="4"/>
  <c r="J8" i="4"/>
  <c r="J9" i="4"/>
  <c r="J10" i="4"/>
  <c r="J11" i="4"/>
  <c r="J2" i="4"/>
  <c r="I3" i="4"/>
  <c r="I4" i="4"/>
  <c r="I5" i="4"/>
  <c r="I6" i="4"/>
  <c r="I7" i="4"/>
  <c r="I8" i="4"/>
  <c r="I9" i="4"/>
  <c r="I10" i="4"/>
  <c r="I11" i="4"/>
  <c r="I2" i="4"/>
  <c r="H2" i="4"/>
  <c r="G2" i="4"/>
  <c r="G3" i="4"/>
  <c r="G6" i="4"/>
  <c r="G7" i="4"/>
  <c r="G10" i="4"/>
  <c r="G11" i="4"/>
  <c r="D2" i="4"/>
  <c r="D3" i="4"/>
  <c r="H3" i="4" s="1"/>
  <c r="D6" i="4"/>
  <c r="D7" i="4"/>
  <c r="D10" i="4"/>
  <c r="H10" i="4" s="1"/>
  <c r="D11" i="4"/>
  <c r="H11" i="4" s="1"/>
  <c r="B2" i="4"/>
  <c r="F2" i="4" s="1"/>
  <c r="B3" i="4"/>
  <c r="F3" i="4" s="1"/>
  <c r="B4" i="4"/>
  <c r="G4" i="4" s="1"/>
  <c r="B5" i="4"/>
  <c r="G5" i="4" s="1"/>
  <c r="B6" i="4"/>
  <c r="F6" i="4" s="1"/>
  <c r="B7" i="4"/>
  <c r="F7" i="4" s="1"/>
  <c r="B8" i="4"/>
  <c r="G8" i="4" s="1"/>
  <c r="B9" i="4"/>
  <c r="F9" i="4" s="1"/>
  <c r="B10" i="4"/>
  <c r="F10" i="4" s="1"/>
  <c r="B11" i="4"/>
  <c r="F11" i="4" s="1"/>
  <c r="H7" i="4" l="1"/>
  <c r="H6" i="4"/>
  <c r="F5" i="4"/>
  <c r="F8" i="4"/>
  <c r="F4" i="4"/>
  <c r="D9" i="4"/>
  <c r="D5" i="4"/>
  <c r="H5" i="4" s="1"/>
  <c r="G9" i="4"/>
  <c r="D8" i="4"/>
  <c r="D4" i="4"/>
  <c r="H4" i="4" s="1"/>
  <c r="B11" i="3"/>
  <c r="B6" i="3"/>
  <c r="B4" i="3"/>
  <c r="H9" i="4" l="1"/>
  <c r="H8" i="4"/>
</calcChain>
</file>

<file path=xl/sharedStrings.xml><?xml version="1.0" encoding="utf-8"?>
<sst xmlns="http://schemas.openxmlformats.org/spreadsheetml/2006/main" count="333" uniqueCount="160">
  <si>
    <t>parameters</t>
  </si>
  <si>
    <t>unit</t>
  </si>
  <si>
    <t>values</t>
  </si>
  <si>
    <t>Arch Span</t>
  </si>
  <si>
    <t>Arch Rise</t>
  </si>
  <si>
    <t>Deadload At Crown Wc</t>
  </si>
  <si>
    <t>plf</t>
  </si>
  <si>
    <t>deadload At Springing,Ws</t>
  </si>
  <si>
    <t>depth at crown dc</t>
  </si>
  <si>
    <t>depth at springing ds</t>
  </si>
  <si>
    <t>inch</t>
  </si>
  <si>
    <t>E</t>
  </si>
  <si>
    <t>psi</t>
  </si>
  <si>
    <t>Ic</t>
  </si>
  <si>
    <t>Is</t>
  </si>
  <si>
    <t>inch^4</t>
  </si>
  <si>
    <t>cos_phi_s</t>
  </si>
  <si>
    <t>m</t>
  </si>
  <si>
    <t>m_req</t>
  </si>
  <si>
    <t>Is_req</t>
  </si>
  <si>
    <t>Is in Paper</t>
  </si>
  <si>
    <t>wc_paper</t>
  </si>
  <si>
    <t>Ws_paper</t>
  </si>
  <si>
    <t>req_g</t>
  </si>
  <si>
    <t>req_Ws</t>
  </si>
  <si>
    <t>N</t>
  </si>
  <si>
    <t>g</t>
  </si>
  <si>
    <t>r</t>
  </si>
  <si>
    <t>k</t>
  </si>
  <si>
    <t>l1</t>
  </si>
  <si>
    <t>g-1</t>
  </si>
  <si>
    <t>sqrt(g^2-1)</t>
  </si>
  <si>
    <t>tan_phi_s</t>
  </si>
  <si>
    <t>sqrt(1+(tan_phi_s)^2)</t>
  </si>
  <si>
    <t>wc</t>
  </si>
  <si>
    <t>ws</t>
  </si>
  <si>
    <t>Ws</t>
  </si>
  <si>
    <t>H</t>
  </si>
  <si>
    <t>delta_sub_Ha</t>
  </si>
  <si>
    <t>saclaing factor in Delta_Ha_Table</t>
  </si>
  <si>
    <t>Point</t>
  </si>
  <si>
    <t>Value in Table</t>
  </si>
  <si>
    <t>scale_factor</t>
  </si>
  <si>
    <t>actual_value</t>
  </si>
  <si>
    <t>l</t>
  </si>
  <si>
    <t>yc</t>
  </si>
  <si>
    <t>y0</t>
  </si>
  <si>
    <t>z</t>
  </si>
  <si>
    <t>g=4.695049504950495 k=2.22811667349684 m=0.3385735052467585 yc=37.85349047668578 z=1.0 y0=179.99999999999994</t>
  </si>
  <si>
    <t>T1</t>
  </si>
  <si>
    <t>x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</si>
  <si>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</si>
  <si>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</si>
  <si>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</si>
  <si>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</si>
  <si>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</si>
  <si>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</si>
  <si>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</si>
  <si>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</si>
  <si>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</si>
  <si>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</si>
  <si>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</si>
  <si>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</si>
  <si>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</si>
  <si>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</si>
  <si>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</si>
  <si>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</t>
  </si>
  <si>
    <t>t2</t>
  </si>
  <si>
    <t>t3</t>
  </si>
  <si>
    <t>t4</t>
  </si>
  <si>
    <t>T17</t>
  </si>
  <si>
    <t>T_com1</t>
  </si>
  <si>
    <t>T_com2</t>
  </si>
  <si>
    <t>T_com3</t>
  </si>
  <si>
    <t>T_com4</t>
  </si>
  <si>
    <t>T_com5</t>
  </si>
  <si>
    <t>delta_sub_HA</t>
  </si>
  <si>
    <t>T_com6</t>
  </si>
  <si>
    <t>T_sum_1</t>
  </si>
  <si>
    <t>T_sum_2</t>
  </si>
  <si>
    <t>T_sum_3</t>
  </si>
  <si>
    <t>delta_sub_HL</t>
  </si>
  <si>
    <t>H_coef</t>
  </si>
  <si>
    <t>y0 (feet)</t>
  </si>
  <si>
    <t>Whiteney H</t>
  </si>
  <si>
    <t>Z</t>
  </si>
  <si>
    <t>whiteney_y0</t>
  </si>
  <si>
    <t>del_sub_HL</t>
  </si>
  <si>
    <t>del_sub_Ha</t>
  </si>
  <si>
    <t>Tbr3</t>
  </si>
  <si>
    <t>Tbr2</t>
  </si>
  <si>
    <t>T2-T3</t>
  </si>
  <si>
    <t>Happ</t>
  </si>
  <si>
    <t>T2-T3-(1-m)*Tbr3</t>
  </si>
  <si>
    <t>Happ2</t>
  </si>
  <si>
    <t>t1=(1/k)*sqrt((y0/r*(g-1))^2-1)</t>
  </si>
  <si>
    <t>t2=sqrt(t1^2-1)</t>
  </si>
  <si>
    <t>t5</t>
  </si>
  <si>
    <t>t3=(1/k)*term_in_br</t>
  </si>
  <si>
    <t>t4=sqrt(g^2-1)/k</t>
  </si>
  <si>
    <t>1-z^2</t>
  </si>
  <si>
    <t>(1-Z^2)/2</t>
  </si>
  <si>
    <t>yc/r</t>
  </si>
  <si>
    <t>1/(g-1)</t>
  </si>
  <si>
    <t>y0/r</t>
  </si>
  <si>
    <t>k^2</t>
  </si>
  <si>
    <t>1/k^2</t>
  </si>
  <si>
    <t>1-m</t>
  </si>
  <si>
    <t>z*(y0/r)</t>
  </si>
  <si>
    <t>2/(k^2)*(g-1)</t>
  </si>
  <si>
    <t>sqrt(g^2-1)/k</t>
  </si>
  <si>
    <t>(y0/r)*(g-1)</t>
  </si>
  <si>
    <t>sqrt(1+(y0/r*(g-1))^2-1</t>
  </si>
  <si>
    <t>(1/k)*()</t>
  </si>
  <si>
    <t>I</t>
  </si>
  <si>
    <t>TC5</t>
  </si>
  <si>
    <t>TC1</t>
  </si>
  <si>
    <t>TC2</t>
  </si>
  <si>
    <t>TC3</t>
  </si>
  <si>
    <t>TC4</t>
  </si>
  <si>
    <t>TC6</t>
  </si>
  <si>
    <t>Variblae Terms</t>
  </si>
  <si>
    <t>TV1=1-Z^2</t>
  </si>
  <si>
    <t>TV2=y0/r</t>
  </si>
  <si>
    <t>TV3=Z*(y0/r)</t>
  </si>
  <si>
    <t>TS=sqrt({1+(y0/r)*(g-1)}^2-1</t>
  </si>
  <si>
    <t>sum_in_bracket</t>
  </si>
  <si>
    <t>TV2=1-Z^3</t>
  </si>
  <si>
    <t>Value given by whiteney</t>
  </si>
  <si>
    <t>t1=(g-1)</t>
  </si>
  <si>
    <t>t2=(1+m)</t>
  </si>
  <si>
    <t>t3=1/k</t>
  </si>
  <si>
    <t>t4=1/k^2</t>
  </si>
  <si>
    <t>T1=</t>
  </si>
  <si>
    <t>TC=r/(g-1)</t>
  </si>
  <si>
    <t>zk</t>
  </si>
  <si>
    <t>cosh zk</t>
  </si>
  <si>
    <t>cosh zk-1</t>
  </si>
  <si>
    <t xml:space="preserve">Aswani </t>
  </si>
  <si>
    <t>Aswani coef</t>
  </si>
  <si>
    <t>y</t>
  </si>
  <si>
    <t>y(m)</t>
  </si>
  <si>
    <t>TV3=y0/r</t>
  </si>
  <si>
    <t>TV4=Z*(y0/r)</t>
  </si>
  <si>
    <t>T1=TC2*TV1/2</t>
  </si>
  <si>
    <t>T2=TC3*(1-TV3)</t>
  </si>
  <si>
    <t>T3=TC2*TV2/6.0</t>
  </si>
  <si>
    <t>T5=TC5*(1-z-TC6+(TS/K))</t>
  </si>
  <si>
    <t>T4=TC3*(1-TV4)</t>
  </si>
  <si>
    <t>Tbr2=(T1-T2-TC4*(T3-T4-T5))</t>
  </si>
  <si>
    <t>del_sub_Ha=TC1*Tbr2</t>
  </si>
  <si>
    <t>g=(1/2)*(1/N-2)^2-1</t>
  </si>
  <si>
    <t>Ch</t>
  </si>
  <si>
    <t>l/r</t>
  </si>
  <si>
    <t>tan_phi_s=((r*K)/l1)*(sqrt(g^2-1)/(g-1)</t>
  </si>
  <si>
    <t>rk/l1</t>
  </si>
  <si>
    <t>1+tan_phi_s^2</t>
  </si>
  <si>
    <t>`</t>
  </si>
  <si>
    <t>M/l</t>
  </si>
  <si>
    <t>M(in-lb)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</si>
</sst>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75" zoomScaleNormal="175" workbookViewId="0">
      <selection activeCell="C2" sqref="C2"/>
    </sheetView>
  </sheetViews>
  <sheetFormatPr defaultRowHeight="14.4" x14ac:dyDescent="0.3"/>
  <cols>
    <col min="3" max="3" width="16.21875" customWidth="1"/>
    <col min="4" max="4" width="18.109375" customWidth="1"/>
    <col min="5" max="5" width="13.44140625" customWidth="1"/>
    <col min="6" max="6" width="15.44140625" customWidth="1"/>
  </cols>
  <sheetData>
    <row r="1" spans="1:10" x14ac:dyDescent="0.3">
      <c r="A1" s="8" t="s">
        <v>40</v>
      </c>
      <c r="B1" s="8" t="s">
        <v>85</v>
      </c>
      <c r="C1" s="8" t="s">
        <v>86</v>
      </c>
      <c r="D1" s="8" t="s">
        <v>84</v>
      </c>
      <c r="E1" s="8" t="s">
        <v>87</v>
      </c>
      <c r="F1" s="8" t="s">
        <v>88</v>
      </c>
    </row>
    <row r="2" spans="1:10" x14ac:dyDescent="0.3">
      <c r="A2" s="8">
        <v>1</v>
      </c>
      <c r="B2" s="8">
        <f>A2/10</f>
        <v>0.1</v>
      </c>
      <c r="C2" s="8">
        <v>11.3</v>
      </c>
      <c r="D2" s="8">
        <v>5.1999999999999998E-2</v>
      </c>
      <c r="E2" s="8">
        <v>1.2459999999999999E-4</v>
      </c>
      <c r="F2" s="8">
        <f>D2*E2</f>
        <v>6.4791999999999997E-6</v>
      </c>
      <c r="G2">
        <v>2.81338915599064E-5</v>
      </c>
      <c r="H2" s="8">
        <f>G2/F2</f>
        <v>4.3421860044305474</v>
      </c>
      <c r="I2" s="8"/>
      <c r="J2" s="8"/>
    </row>
    <row r="3" spans="1:10" x14ac:dyDescent="0.3">
      <c r="A3" s="8">
        <v>2</v>
      </c>
      <c r="B3" s="8">
        <f t="shared" ref="B3:B11" si="0">A3/10</f>
        <v>0.2</v>
      </c>
      <c r="C3" s="8">
        <v>8.35</v>
      </c>
      <c r="D3" s="8">
        <v>0.191</v>
      </c>
      <c r="E3" s="8">
        <v>1.2459999999999999E-4</v>
      </c>
      <c r="F3" s="8">
        <f t="shared" ref="F3:F11" si="1">D3*E3</f>
        <v>2.3798599999999999E-5</v>
      </c>
      <c r="G3">
        <v>5.8220775442665817E-5</v>
      </c>
      <c r="H3" s="8">
        <f t="shared" ref="H3:H11" si="2">G3/F3</f>
        <v>2.4463949746063136</v>
      </c>
      <c r="I3" s="8"/>
    </row>
    <row r="4" spans="1:10" x14ac:dyDescent="0.3">
      <c r="A4" s="8">
        <v>3</v>
      </c>
      <c r="B4" s="8">
        <f t="shared" si="0"/>
        <v>0.3</v>
      </c>
      <c r="C4" s="8">
        <v>6.03</v>
      </c>
      <c r="D4" s="8">
        <v>0.39800000000000002</v>
      </c>
      <c r="E4" s="8">
        <v>1.2459999999999999E-4</v>
      </c>
      <c r="F4" s="8">
        <f t="shared" si="1"/>
        <v>4.95908E-5</v>
      </c>
      <c r="G4">
        <v>8.9030306389610805E-5</v>
      </c>
      <c r="H4" s="8">
        <f t="shared" si="2"/>
        <v>1.7952988536101617</v>
      </c>
      <c r="I4" s="8"/>
    </row>
    <row r="5" spans="1:10" x14ac:dyDescent="0.3">
      <c r="A5" s="8">
        <v>4</v>
      </c>
      <c r="B5" s="8">
        <f t="shared" si="0"/>
        <v>0.4</v>
      </c>
      <c r="C5" s="8">
        <v>4.2</v>
      </c>
      <c r="D5" s="8">
        <v>0.64800000000000002</v>
      </c>
      <c r="E5" s="8">
        <v>1.2459999999999999E-4</v>
      </c>
      <c r="F5" s="8">
        <f t="shared" si="1"/>
        <v>8.0740800000000005E-5</v>
      </c>
      <c r="G5">
        <v>1.191333645044549E-4</v>
      </c>
      <c r="H5" s="8">
        <f t="shared" si="2"/>
        <v>1.4755038902816777</v>
      </c>
      <c r="I5" s="8"/>
    </row>
    <row r="6" spans="1:10" x14ac:dyDescent="0.3">
      <c r="A6" s="8">
        <v>5</v>
      </c>
      <c r="B6" s="8">
        <f t="shared" si="0"/>
        <v>0.5</v>
      </c>
      <c r="C6" s="8">
        <v>2.79</v>
      </c>
      <c r="D6" s="8">
        <v>0.91600000000000004</v>
      </c>
      <c r="E6" s="8">
        <v>1.2459999999999999E-4</v>
      </c>
      <c r="F6" s="8">
        <f t="shared" si="1"/>
        <v>1.141336E-4</v>
      </c>
      <c r="G6">
        <v>1.4708216722142029E-4</v>
      </c>
      <c r="H6" s="8">
        <f t="shared" si="2"/>
        <v>1.2886842018601032</v>
      </c>
      <c r="I6" s="8"/>
    </row>
    <row r="7" spans="1:10" x14ac:dyDescent="0.3">
      <c r="A7" s="8">
        <v>6</v>
      </c>
      <c r="B7" s="8">
        <f t="shared" si="0"/>
        <v>0.6</v>
      </c>
      <c r="C7" s="8">
        <v>1.72</v>
      </c>
      <c r="D7" s="8">
        <v>1.1739999999999999</v>
      </c>
      <c r="E7" s="8">
        <v>1.2459999999999999E-4</v>
      </c>
      <c r="F7" s="8">
        <f t="shared" si="1"/>
        <v>1.4628039999999999E-4</v>
      </c>
      <c r="G7">
        <v>1.7154310385249111E-4</v>
      </c>
      <c r="H7" s="8">
        <f t="shared" si="2"/>
        <v>1.1727005385033888</v>
      </c>
      <c r="I7" s="8"/>
    </row>
    <row r="8" spans="1:10" x14ac:dyDescent="0.3">
      <c r="A8" s="8">
        <v>7</v>
      </c>
      <c r="B8" s="8">
        <f t="shared" si="0"/>
        <v>0.7</v>
      </c>
      <c r="C8" s="8">
        <v>0.94</v>
      </c>
      <c r="D8" s="8">
        <v>1.4059999999999999</v>
      </c>
      <c r="E8" s="8">
        <v>1.2459999999999999E-4</v>
      </c>
      <c r="F8" s="8">
        <f t="shared" si="1"/>
        <v>1.7518759999999998E-4</v>
      </c>
      <c r="G8">
        <v>1.9139913440412111E-4</v>
      </c>
      <c r="H8" s="8">
        <f t="shared" si="2"/>
        <v>1.0925381385675763</v>
      </c>
      <c r="I8" s="8"/>
    </row>
    <row r="9" spans="1:10" x14ac:dyDescent="0.3">
      <c r="A9" s="8">
        <v>8</v>
      </c>
      <c r="B9" s="8">
        <f t="shared" si="0"/>
        <v>0.8</v>
      </c>
      <c r="C9" s="8">
        <v>0.41</v>
      </c>
      <c r="D9" s="8">
        <v>1.59</v>
      </c>
      <c r="E9" s="8">
        <v>1.2459999999999999E-4</v>
      </c>
      <c r="F9" s="8">
        <f t="shared" si="1"/>
        <v>1.9811399999999999E-4</v>
      </c>
      <c r="G9">
        <v>2.058352761364025E-4</v>
      </c>
      <c r="H9" s="8">
        <f t="shared" si="2"/>
        <v>1.0389739046024133</v>
      </c>
      <c r="I9" s="8"/>
    </row>
    <row r="10" spans="1:10" x14ac:dyDescent="0.3">
      <c r="A10" s="8">
        <v>9</v>
      </c>
      <c r="B10" s="8">
        <f t="shared" si="0"/>
        <v>0.9</v>
      </c>
      <c r="C10" s="8">
        <v>0.1</v>
      </c>
      <c r="D10" s="8">
        <v>1.71</v>
      </c>
      <c r="E10" s="8">
        <v>1.2459999999999999E-4</v>
      </c>
      <c r="F10" s="8">
        <f t="shared" si="1"/>
        <v>2.1306599999999998E-4</v>
      </c>
      <c r="G10">
        <v>2.1441847696019239E-4</v>
      </c>
      <c r="H10" s="8">
        <f t="shared" si="2"/>
        <v>1.006347690200184</v>
      </c>
      <c r="I10" s="8"/>
    </row>
    <row r="11" spans="1:10" x14ac:dyDescent="0.3">
      <c r="A11" s="8">
        <v>10</v>
      </c>
      <c r="B11" s="8">
        <f t="shared" si="0"/>
        <v>1</v>
      </c>
      <c r="C11" s="8">
        <v>0</v>
      </c>
      <c r="D11" s="8">
        <v>1.7509999999999999</v>
      </c>
      <c r="E11" s="8">
        <v>1.2459999999999999E-4</v>
      </c>
      <c r="F11" s="8">
        <f t="shared" si="1"/>
        <v>2.1817459999999998E-4</v>
      </c>
      <c r="G11">
        <v>2.1718186448472921E-4</v>
      </c>
      <c r="H11" s="8">
        <f t="shared" si="2"/>
        <v>0.995449811686279</v>
      </c>
      <c r="I11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3" zoomScale="145" zoomScaleNormal="145" workbookViewId="0">
      <selection activeCell="E29" sqref="E29"/>
    </sheetView>
  </sheetViews>
  <sheetFormatPr defaultRowHeight="14.4" x14ac:dyDescent="0.3"/>
  <cols>
    <col min="1" max="1" width="21.5546875" customWidth="1"/>
    <col min="2" max="2" width="15" customWidth="1"/>
    <col min="3" max="3" width="16.6640625" customWidth="1"/>
    <col min="4" max="4" width="12.109375" customWidth="1"/>
    <col min="5" max="5" width="15.6640625" customWidth="1"/>
    <col min="6" max="6" width="14.88671875" customWidth="1"/>
    <col min="7" max="7" width="14.21875" customWidth="1"/>
    <col min="8" max="8" width="16.21875" customWidth="1"/>
    <col min="9" max="9" width="15" customWidth="1"/>
    <col min="10" max="10" width="10.6640625" customWidth="1"/>
  </cols>
  <sheetData>
    <row r="1" spans="1:10" x14ac:dyDescent="0.3">
      <c r="A1" t="s">
        <v>27</v>
      </c>
      <c r="B1" s="8">
        <v>180</v>
      </c>
      <c r="C1" s="8">
        <v>180</v>
      </c>
      <c r="D1" s="8">
        <v>180</v>
      </c>
      <c r="E1" s="8">
        <v>180</v>
      </c>
      <c r="F1" s="8">
        <v>180</v>
      </c>
      <c r="G1" s="8">
        <v>180</v>
      </c>
      <c r="H1" s="8">
        <v>180</v>
      </c>
      <c r="I1" s="8">
        <v>180</v>
      </c>
      <c r="J1" s="8">
        <v>180</v>
      </c>
    </row>
    <row r="2" spans="1:10" x14ac:dyDescent="0.3">
      <c r="A2" t="s">
        <v>44</v>
      </c>
      <c r="B2" s="8">
        <v>1200</v>
      </c>
      <c r="C2" s="8">
        <v>1200</v>
      </c>
      <c r="D2" s="8">
        <v>1200</v>
      </c>
      <c r="E2" s="8">
        <v>1200</v>
      </c>
      <c r="F2" s="8">
        <v>1200</v>
      </c>
      <c r="G2" s="8">
        <v>1200</v>
      </c>
      <c r="H2" s="8">
        <v>1200</v>
      </c>
      <c r="I2" s="8">
        <v>1200</v>
      </c>
      <c r="J2" s="8">
        <v>1200</v>
      </c>
    </row>
    <row r="3" spans="1:10" x14ac:dyDescent="0.3">
      <c r="A3" t="s">
        <v>11</v>
      </c>
      <c r="B3" s="8">
        <v>2000000</v>
      </c>
      <c r="C3" s="8">
        <v>2000000</v>
      </c>
      <c r="D3" s="8">
        <v>2000000</v>
      </c>
      <c r="E3" s="8">
        <v>2000000</v>
      </c>
      <c r="F3" s="8">
        <v>2000000</v>
      </c>
      <c r="G3" s="8">
        <v>2000000</v>
      </c>
      <c r="H3" s="8">
        <v>2000000</v>
      </c>
      <c r="I3" s="8">
        <v>2000000</v>
      </c>
      <c r="J3" s="8">
        <v>2000000</v>
      </c>
    </row>
    <row r="4" spans="1:10" x14ac:dyDescent="0.3">
      <c r="A4" t="s">
        <v>13</v>
      </c>
      <c r="B4" s="8">
        <v>6399</v>
      </c>
      <c r="C4" s="8">
        <v>6399</v>
      </c>
      <c r="D4" s="8">
        <v>6399</v>
      </c>
      <c r="E4" s="8">
        <v>6399</v>
      </c>
      <c r="F4" s="8">
        <v>6399</v>
      </c>
      <c r="G4" s="8">
        <v>6399</v>
      </c>
      <c r="H4" s="8">
        <v>6399</v>
      </c>
      <c r="I4" s="8">
        <v>6399</v>
      </c>
      <c r="J4" s="8">
        <v>6399</v>
      </c>
    </row>
    <row r="5" spans="1:10" x14ac:dyDescent="0.3">
      <c r="A5" t="s">
        <v>45</v>
      </c>
      <c r="B5" s="8">
        <v>37.85</v>
      </c>
      <c r="C5" s="8">
        <v>37.85</v>
      </c>
      <c r="D5" s="8">
        <v>37.85</v>
      </c>
      <c r="E5" s="8">
        <v>37.85</v>
      </c>
      <c r="F5" s="8">
        <v>37.85</v>
      </c>
      <c r="G5" s="8">
        <v>37.85</v>
      </c>
      <c r="H5" s="8">
        <v>37.85</v>
      </c>
      <c r="I5" s="8">
        <v>37.85</v>
      </c>
      <c r="J5" s="8">
        <v>37.85</v>
      </c>
    </row>
    <row r="6" spans="1:10" x14ac:dyDescent="0.3">
      <c r="A6" t="s">
        <v>26</v>
      </c>
      <c r="B6" s="8">
        <v>4.6950000000000003</v>
      </c>
      <c r="C6" s="8">
        <v>4.6950000000000003</v>
      </c>
      <c r="D6" s="8">
        <v>4.6950000000000003</v>
      </c>
      <c r="E6" s="8">
        <v>4.6950000000000003</v>
      </c>
      <c r="F6" s="8">
        <v>4.6950000000000003</v>
      </c>
      <c r="G6" s="8">
        <v>4.6950000000000003</v>
      </c>
      <c r="H6" s="8">
        <v>4.6950000000000003</v>
      </c>
      <c r="I6" s="8">
        <v>4.6950000000000003</v>
      </c>
      <c r="J6" s="8">
        <v>4.6950000000000003</v>
      </c>
    </row>
    <row r="7" spans="1:10" x14ac:dyDescent="0.3">
      <c r="A7" t="s">
        <v>47</v>
      </c>
      <c r="B7" s="8">
        <v>0.9</v>
      </c>
      <c r="C7" s="8">
        <v>0.8</v>
      </c>
      <c r="D7" s="8">
        <v>0.7</v>
      </c>
      <c r="E7" s="8">
        <v>0.6</v>
      </c>
      <c r="F7" s="8">
        <v>0.5</v>
      </c>
      <c r="G7" s="8">
        <v>0.4</v>
      </c>
      <c r="H7" s="8">
        <v>0.3</v>
      </c>
      <c r="I7" s="8">
        <v>0.2</v>
      </c>
      <c r="J7" s="8">
        <v>0.1</v>
      </c>
    </row>
    <row r="8" spans="1:10" x14ac:dyDescent="0.3">
      <c r="A8" t="s">
        <v>28</v>
      </c>
      <c r="B8" s="8">
        <v>2.2282000000000002</v>
      </c>
      <c r="C8" s="8">
        <v>2.2282000000000002</v>
      </c>
      <c r="D8" s="8">
        <v>2.2282000000000002</v>
      </c>
      <c r="E8" s="8">
        <v>2.2282000000000002</v>
      </c>
      <c r="F8" s="8">
        <v>2.2282000000000002</v>
      </c>
      <c r="G8" s="8">
        <v>2.2282000000000002</v>
      </c>
      <c r="H8" s="8">
        <v>2.2282000000000002</v>
      </c>
      <c r="I8" s="8">
        <v>2.2282000000000002</v>
      </c>
      <c r="J8" s="8">
        <v>2.2282000000000002</v>
      </c>
    </row>
    <row r="9" spans="1:10" x14ac:dyDescent="0.3">
      <c r="A9" t="s">
        <v>46</v>
      </c>
      <c r="B9" s="8">
        <v>135.5</v>
      </c>
      <c r="C9" s="8">
        <v>100.17700000000001</v>
      </c>
      <c r="D9" s="8">
        <v>72.28</v>
      </c>
      <c r="E9" s="8">
        <v>50.41</v>
      </c>
      <c r="F9" s="8">
        <v>33.49</v>
      </c>
      <c r="G9" s="8">
        <v>20.67</v>
      </c>
      <c r="H9" s="8">
        <v>11.3</v>
      </c>
      <c r="I9" s="8">
        <v>4.91</v>
      </c>
      <c r="J9" s="8">
        <v>1.21</v>
      </c>
    </row>
    <row r="10" spans="1:10" x14ac:dyDescent="0.3">
      <c r="A10" t="s">
        <v>17</v>
      </c>
      <c r="B10" s="8">
        <v>0.33860000000000001</v>
      </c>
      <c r="C10" s="8">
        <v>0.33860000000000001</v>
      </c>
      <c r="D10" s="8">
        <v>0.33860000000000001</v>
      </c>
      <c r="E10" s="8">
        <v>0.33860000000000001</v>
      </c>
      <c r="F10" s="8">
        <v>0.33860000000000001</v>
      </c>
      <c r="G10" s="8">
        <v>0.33860000000000001</v>
      </c>
      <c r="H10" s="8">
        <v>0.33860000000000001</v>
      </c>
      <c r="I10" s="8">
        <v>0.33860000000000001</v>
      </c>
      <c r="J10" s="8">
        <v>0.33860000000000001</v>
      </c>
    </row>
    <row r="11" spans="1:10" x14ac:dyDescent="0.3">
      <c r="A11" t="s">
        <v>66</v>
      </c>
      <c r="B11" s="8">
        <f>B2*B1*B1</f>
        <v>38880000</v>
      </c>
      <c r="C11" s="8">
        <f>C2*C1*C1</f>
        <v>38880000</v>
      </c>
      <c r="D11" s="8">
        <f t="shared" ref="D11:J11" si="0">D2*D1*D1</f>
        <v>38880000</v>
      </c>
      <c r="E11" s="8">
        <f t="shared" si="0"/>
        <v>38880000</v>
      </c>
      <c r="F11" s="8">
        <f t="shared" si="0"/>
        <v>38880000</v>
      </c>
      <c r="G11" s="8">
        <f t="shared" si="0"/>
        <v>38880000</v>
      </c>
      <c r="H11" s="8">
        <f t="shared" si="0"/>
        <v>38880000</v>
      </c>
      <c r="I11" s="8">
        <f t="shared" si="0"/>
        <v>38880000</v>
      </c>
      <c r="J11" s="8">
        <f t="shared" si="0"/>
        <v>38880000</v>
      </c>
    </row>
    <row r="12" spans="1:10" x14ac:dyDescent="0.3">
      <c r="A12" t="s">
        <v>67</v>
      </c>
      <c r="B12" s="8">
        <f>4*B3*B4</f>
        <v>51192000000</v>
      </c>
      <c r="C12" s="8">
        <f>4*C3*C4</f>
        <v>51192000000</v>
      </c>
      <c r="D12" s="8">
        <f t="shared" ref="D12:J12" si="1">4*D3*D4</f>
        <v>51192000000</v>
      </c>
      <c r="E12" s="8">
        <f t="shared" si="1"/>
        <v>51192000000</v>
      </c>
      <c r="F12" s="8">
        <f t="shared" si="1"/>
        <v>51192000000</v>
      </c>
      <c r="G12" s="8">
        <f t="shared" si="1"/>
        <v>51192000000</v>
      </c>
      <c r="H12" s="8">
        <f t="shared" si="1"/>
        <v>51192000000</v>
      </c>
      <c r="I12" s="8">
        <f t="shared" si="1"/>
        <v>51192000000</v>
      </c>
      <c r="J12" s="8">
        <f t="shared" si="1"/>
        <v>51192000000</v>
      </c>
    </row>
    <row r="13" spans="1:10" x14ac:dyDescent="0.3">
      <c r="A13" s="10" t="s">
        <v>49</v>
      </c>
      <c r="B13" s="11">
        <f>(B2*B2*B1)/(4*B3*B4)</f>
        <v>5.0632911392405064E-3</v>
      </c>
      <c r="C13" s="11">
        <f t="shared" ref="C13:J13" si="2">(C2*C2*C1)/(4*C3*C4)</f>
        <v>5.0632911392405064E-3</v>
      </c>
      <c r="D13" s="11">
        <f t="shared" si="2"/>
        <v>5.0632911392405064E-3</v>
      </c>
      <c r="E13" s="11">
        <f t="shared" si="2"/>
        <v>5.0632911392405064E-3</v>
      </c>
      <c r="F13" s="11">
        <f t="shared" si="2"/>
        <v>5.0632911392405064E-3</v>
      </c>
      <c r="G13" s="11">
        <f t="shared" si="2"/>
        <v>5.0632911392405064E-3</v>
      </c>
      <c r="H13" s="11">
        <f t="shared" si="2"/>
        <v>5.0632911392405064E-3</v>
      </c>
      <c r="I13" s="11">
        <f t="shared" si="2"/>
        <v>5.0632911392405064E-3</v>
      </c>
      <c r="J13" s="11">
        <f t="shared" si="2"/>
        <v>5.0632911392405064E-3</v>
      </c>
    </row>
    <row r="14" spans="1:10" x14ac:dyDescent="0.3">
      <c r="A14" t="s">
        <v>51</v>
      </c>
      <c r="B14" s="11">
        <f>((B5/B1)+(1/(B6-1)))*((1-B7^2)/2)</f>
        <v>4.5686808374680483E-2</v>
      </c>
      <c r="C14" s="11">
        <f>((C5/C1)+(1/(C6-1)))*((1-C7^2)/2)</f>
        <v>8.6564479025710392E-2</v>
      </c>
      <c r="D14" s="11">
        <f t="shared" ref="D14:J14" si="3">((D5/D1)+(1/(D6-1)))*((1-D7^2)/2)</f>
        <v>0.12263301195308976</v>
      </c>
      <c r="E14" s="11">
        <f t="shared" si="3"/>
        <v>0.15389240715681854</v>
      </c>
      <c r="F14" s="11">
        <f t="shared" si="3"/>
        <v>0.18034266463689672</v>
      </c>
      <c r="G14" s="11">
        <f t="shared" si="3"/>
        <v>0.20198378439332432</v>
      </c>
      <c r="H14" s="11">
        <f t="shared" si="3"/>
        <v>0.21881576642610134</v>
      </c>
      <c r="I14" s="11">
        <f t="shared" si="3"/>
        <v>0.23083861073522777</v>
      </c>
      <c r="J14" s="11">
        <f t="shared" si="3"/>
        <v>0.23805231732070364</v>
      </c>
    </row>
    <row r="15" spans="1:10" x14ac:dyDescent="0.3">
      <c r="A15" t="s">
        <v>52</v>
      </c>
      <c r="B15" s="8">
        <f>(1/(B8^2))*(1-(B9/B1))</f>
        <v>4.9794246636945143E-2</v>
      </c>
      <c r="C15" s="8">
        <f>(1/(C8^2))*(1-(C9/C1))</f>
        <v>8.9319688748334194E-2</v>
      </c>
      <c r="D15" s="8">
        <f t="shared" ref="D15:J15" si="4">(1/(D8^2))*(1-(D9/D1))</f>
        <v>0.12053564601644338</v>
      </c>
      <c r="E15" s="8">
        <f t="shared" si="4"/>
        <v>0.1450075600377915</v>
      </c>
      <c r="F15" s="8">
        <f t="shared" si="4"/>
        <v>0.16394056347817601</v>
      </c>
      <c r="G15" s="8">
        <f t="shared" si="4"/>
        <v>0.17828578239695436</v>
      </c>
      <c r="H15" s="8">
        <f t="shared" si="4"/>
        <v>0.18877054848657629</v>
      </c>
      <c r="I15" s="8">
        <f t="shared" si="4"/>
        <v>0.19592077850927472</v>
      </c>
      <c r="J15" s="8">
        <f t="shared" si="4"/>
        <v>0.20006097429706565</v>
      </c>
    </row>
    <row r="16" spans="1:10" x14ac:dyDescent="0.3">
      <c r="A16" t="s">
        <v>53</v>
      </c>
      <c r="B16" s="8">
        <f>B14/3</f>
        <v>1.5228936124893495E-2</v>
      </c>
      <c r="C16" s="8">
        <f>C14/3</f>
        <v>2.8854826341903464E-2</v>
      </c>
      <c r="D16" s="8">
        <f t="shared" ref="D16:J16" si="5">D14/3</f>
        <v>4.0877670651029922E-2</v>
      </c>
      <c r="E16" s="8">
        <f t="shared" si="5"/>
        <v>5.1297469052272844E-2</v>
      </c>
      <c r="F16" s="8">
        <f t="shared" si="5"/>
        <v>6.0114221545632236E-2</v>
      </c>
      <c r="G16" s="8">
        <f t="shared" si="5"/>
        <v>6.7327928131108106E-2</v>
      </c>
      <c r="H16" s="8">
        <f t="shared" si="5"/>
        <v>7.2938588808700452E-2</v>
      </c>
      <c r="I16" s="8">
        <f t="shared" si="5"/>
        <v>7.6946203578409256E-2</v>
      </c>
      <c r="J16" s="8">
        <f t="shared" si="5"/>
        <v>7.9350772440234543E-2</v>
      </c>
    </row>
    <row r="17" spans="1:10" x14ac:dyDescent="0.3">
      <c r="A17" t="s">
        <v>54</v>
      </c>
      <c r="B17" s="8">
        <f>(1/(B8^2))*(1-B7*(B9/B1))</f>
        <v>6.4956314994936301E-2</v>
      </c>
      <c r="C17" s="8">
        <f>(1/(C8^2))*(1-C7*(C9/C1))</f>
        <v>0.11173873704203871</v>
      </c>
      <c r="D17" s="8">
        <f t="shared" ref="D17:J17" si="6">(1/(D8^2))*(1-D7*(D9/D1))</f>
        <v>0.14479943127656739</v>
      </c>
      <c r="E17" s="8">
        <f t="shared" si="6"/>
        <v>0.16757050810941757</v>
      </c>
      <c r="F17" s="8">
        <f t="shared" si="6"/>
        <v>0.18267774684751636</v>
      </c>
      <c r="G17" s="8">
        <f t="shared" si="6"/>
        <v>0.19216327108889578</v>
      </c>
      <c r="H17" s="8">
        <f t="shared" si="6"/>
        <v>0.19762161569777262</v>
      </c>
      <c r="I17" s="8">
        <f t="shared" si="6"/>
        <v>0.20031609987534035</v>
      </c>
      <c r="J17" s="8">
        <f t="shared" si="6"/>
        <v>0.20127953462487763</v>
      </c>
    </row>
    <row r="18" spans="1:10" x14ac:dyDescent="0.3">
      <c r="A18" t="s">
        <v>55</v>
      </c>
      <c r="B18" s="8">
        <f>2/(B8^2*(B6-1))</f>
        <v>0.10902025992793328</v>
      </c>
      <c r="C18" s="8">
        <f>2/(C8^2*(C6-1))</f>
        <v>0.10902025992793328</v>
      </c>
      <c r="D18" s="8">
        <f t="shared" ref="D18:J18" si="7">2/(D8^2*(D6-1))</f>
        <v>0.10902025992793328</v>
      </c>
      <c r="E18" s="8">
        <f t="shared" si="7"/>
        <v>0.10902025992793328</v>
      </c>
      <c r="F18" s="8">
        <f t="shared" si="7"/>
        <v>0.10902025992793328</v>
      </c>
      <c r="G18" s="8">
        <f t="shared" si="7"/>
        <v>0.10902025992793328</v>
      </c>
      <c r="H18" s="8">
        <f t="shared" si="7"/>
        <v>0.10902025992793328</v>
      </c>
      <c r="I18" s="8">
        <f t="shared" si="7"/>
        <v>0.10902025992793328</v>
      </c>
      <c r="J18" s="8">
        <f t="shared" si="7"/>
        <v>0.10902025992793328</v>
      </c>
    </row>
    <row r="19" spans="1:10" x14ac:dyDescent="0.3">
      <c r="A19" t="s">
        <v>66</v>
      </c>
      <c r="B19" s="8">
        <f>SQRT(B6^2-1)/B8</f>
        <v>2.0587324770174904</v>
      </c>
      <c r="C19" s="8">
        <f>SQRT(C6^2-1)/C8</f>
        <v>2.0587324770174904</v>
      </c>
      <c r="D19" s="8">
        <f t="shared" ref="D19:J19" si="8">SQRT(D6^2-1)/D8</f>
        <v>2.0587324770174904</v>
      </c>
      <c r="E19" s="8">
        <f t="shared" si="8"/>
        <v>2.0587324770174904</v>
      </c>
      <c r="F19" s="8">
        <f t="shared" si="8"/>
        <v>2.0587324770174904</v>
      </c>
      <c r="G19" s="8">
        <f t="shared" si="8"/>
        <v>2.0587324770174904</v>
      </c>
      <c r="H19" s="8">
        <f t="shared" si="8"/>
        <v>2.0587324770174904</v>
      </c>
      <c r="I19" s="8">
        <f t="shared" si="8"/>
        <v>2.0587324770174904</v>
      </c>
      <c r="J19" s="8">
        <f t="shared" si="8"/>
        <v>2.0587324770174904</v>
      </c>
    </row>
    <row r="20" spans="1:10" x14ac:dyDescent="0.3">
      <c r="A20" t="s">
        <v>67</v>
      </c>
      <c r="B20" s="8">
        <f>(1+(B9/B1)*(B6-1))^2-1</f>
        <v>13.299847291859569</v>
      </c>
      <c r="C20" s="8">
        <f t="shared" ref="C20:J20" si="9">(1+(C9/C1)*(C6-1))^2-1</f>
        <v>8.3416493895253172</v>
      </c>
      <c r="D20" s="8">
        <f t="shared" si="9"/>
        <v>5.1690030236160496</v>
      </c>
      <c r="E20" s="8">
        <f t="shared" si="9"/>
        <v>3.1404325184723003</v>
      </c>
      <c r="F20" s="8">
        <f t="shared" si="9"/>
        <v>1.8475728131111882</v>
      </c>
      <c r="G20" s="8">
        <f t="shared" si="9"/>
        <v>1.0286566022506944</v>
      </c>
      <c r="H20" s="8">
        <f t="shared" si="9"/>
        <v>0.51773502352623457</v>
      </c>
      <c r="I20" s="8">
        <f t="shared" si="9"/>
        <v>0.2117416818519291</v>
      </c>
      <c r="J20" s="8">
        <f t="shared" si="9"/>
        <v>5.0294178824151325E-2</v>
      </c>
    </row>
    <row r="21" spans="1:10" x14ac:dyDescent="0.3">
      <c r="A21" t="s">
        <v>68</v>
      </c>
      <c r="B21" s="8">
        <f>(1/B8)*SQRT(B20)</f>
        <v>1.6367002823317243</v>
      </c>
      <c r="C21" s="8">
        <f t="shared" ref="C21:J21" si="10">(1/C8)*SQRT(C20)</f>
        <v>1.2961993402577889</v>
      </c>
      <c r="D21" s="8">
        <f t="shared" si="10"/>
        <v>1.0203501277955269</v>
      </c>
      <c r="E21" s="8">
        <f t="shared" si="10"/>
        <v>0.79531754448072256</v>
      </c>
      <c r="F21" s="8">
        <f t="shared" si="10"/>
        <v>0.610023564482022</v>
      </c>
      <c r="G21" s="8">
        <f t="shared" si="10"/>
        <v>0.45517776500992729</v>
      </c>
      <c r="H21" s="8">
        <f t="shared" si="10"/>
        <v>0.32292346405047623</v>
      </c>
      <c r="I21" s="8">
        <f t="shared" si="10"/>
        <v>0.20651376727522594</v>
      </c>
      <c r="J21" s="8">
        <f t="shared" si="10"/>
        <v>0.10064789375928615</v>
      </c>
    </row>
    <row r="22" spans="1:10" x14ac:dyDescent="0.3">
      <c r="A22" t="s">
        <v>56</v>
      </c>
      <c r="B22" s="8">
        <f>1-B7-B19+B21</f>
        <v>-0.32203219468576605</v>
      </c>
      <c r="C22" s="8">
        <f>1-C7-C19+C21</f>
        <v>-0.56253313675970151</v>
      </c>
      <c r="D22" s="8">
        <f t="shared" ref="D22:J22" si="11">1-D7-D19+D21</f>
        <v>-0.73838234922196344</v>
      </c>
      <c r="E22" s="8">
        <f t="shared" si="11"/>
        <v>-0.86341493253676793</v>
      </c>
      <c r="F22" s="8">
        <f t="shared" si="11"/>
        <v>-0.94870891253546841</v>
      </c>
      <c r="G22" s="8">
        <f t="shared" si="11"/>
        <v>-1.003554712007563</v>
      </c>
      <c r="H22" s="8">
        <f t="shared" si="11"/>
        <v>-1.0358090129670141</v>
      </c>
      <c r="I22" s="8">
        <f t="shared" si="11"/>
        <v>-1.0522187097422644</v>
      </c>
      <c r="J22" s="8">
        <f t="shared" si="11"/>
        <v>-1.0580845832582044</v>
      </c>
    </row>
    <row r="23" spans="1:10" x14ac:dyDescent="0.3"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3"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3">
      <c r="A25" t="s">
        <v>89</v>
      </c>
      <c r="B25" s="8">
        <f>(B16-B17-B18*B22)</f>
        <v>-1.4619345300237778E-2</v>
      </c>
      <c r="C25" s="8">
        <f>(C16-C17-C18*C22)</f>
        <v>-2.1556401912516947E-2</v>
      </c>
      <c r="D25" s="8">
        <f t="shared" ref="D25:J25" si="12">(D16-D17-D18*D22)</f>
        <v>-2.3423124987160995E-2</v>
      </c>
      <c r="E25" s="8">
        <f t="shared" si="12"/>
        <v>-2.214331868632731E-2</v>
      </c>
      <c r="F25" s="8">
        <f t="shared" si="12"/>
        <v>-1.9135033061320444E-2</v>
      </c>
      <c r="G25" s="8">
        <f t="shared" si="12"/>
        <v>-1.5427547402820929E-2</v>
      </c>
      <c r="H25" s="8">
        <f t="shared" si="12"/>
        <v>-1.1758859059712273E-2</v>
      </c>
      <c r="I25" s="8">
        <f t="shared" si="12"/>
        <v>-8.6567390597948463E-3</v>
      </c>
      <c r="J25" s="8">
        <f t="shared" si="12"/>
        <v>-6.5761058920946747E-3</v>
      </c>
    </row>
    <row r="26" spans="1:10" x14ac:dyDescent="0.3">
      <c r="A26" t="s">
        <v>90</v>
      </c>
      <c r="B26" s="8">
        <f>(B14-B15-(1-B10)*B25)</f>
        <v>5.5617967193126068E-3</v>
      </c>
      <c r="C26" s="8">
        <f>(C14-C15-(1-C10)*C25)</f>
        <v>1.1502194502314905E-2</v>
      </c>
      <c r="D26" s="8">
        <f t="shared" ref="D26:J26" si="13">(D14-D15-(1-D10)*D25)</f>
        <v>1.7589420803154655E-2</v>
      </c>
      <c r="E26" s="8">
        <f t="shared" si="13"/>
        <v>2.3530438098163922E-2</v>
      </c>
      <c r="F26" s="8">
        <f t="shared" si="13"/>
        <v>2.9058012025478048E-2</v>
      </c>
      <c r="G26" s="8">
        <f t="shared" si="13"/>
        <v>3.3901781848595713E-2</v>
      </c>
      <c r="H26" s="8">
        <f t="shared" si="13"/>
        <v>3.7822527321618754E-2</v>
      </c>
      <c r="I26" s="8">
        <f t="shared" si="13"/>
        <v>4.0643399440101355E-2</v>
      </c>
      <c r="J26" s="8">
        <f t="shared" si="13"/>
        <v>4.2340779460669407E-2</v>
      </c>
    </row>
    <row r="27" spans="1:10" x14ac:dyDescent="0.3">
      <c r="A27" s="10" t="s">
        <v>88</v>
      </c>
      <c r="B27" s="11">
        <f>B13*B26</f>
        <v>2.816099604715244E-5</v>
      </c>
      <c r="C27" s="11">
        <f t="shared" ref="C27:J27" si="14">C13*C26</f>
        <v>5.8238959505391929E-5</v>
      </c>
      <c r="D27" s="11">
        <f t="shared" si="14"/>
        <v>8.9060358496985601E-5</v>
      </c>
      <c r="E27" s="11">
        <f t="shared" si="14"/>
        <v>1.1914145872488062E-4</v>
      </c>
      <c r="F27" s="11">
        <f t="shared" si="14"/>
        <v>1.4712917481254708E-4</v>
      </c>
      <c r="G27" s="11">
        <f t="shared" si="14"/>
        <v>1.7165459163845931E-4</v>
      </c>
      <c r="H27" s="11">
        <f t="shared" si="14"/>
        <v>1.9150646745123419E-4</v>
      </c>
      <c r="I27" s="11">
        <f t="shared" si="14"/>
        <v>2.0578936425367776E-4</v>
      </c>
      <c r="J27" s="11">
        <f t="shared" si="14"/>
        <v>2.1438369347174383E-4</v>
      </c>
    </row>
    <row r="28" spans="1:10" x14ac:dyDescent="0.3">
      <c r="A28" t="s">
        <v>87</v>
      </c>
      <c r="B28" s="8">
        <v>1.2459999999999999E-4</v>
      </c>
      <c r="C28" s="8">
        <v>1.2459999999999999E-4</v>
      </c>
      <c r="D28" s="8">
        <v>1.2459999999999999E-4</v>
      </c>
      <c r="E28" s="8">
        <v>1.2459999999999999E-4</v>
      </c>
      <c r="F28" s="8">
        <v>1.2459999999999999E-4</v>
      </c>
      <c r="G28" s="8">
        <v>1.2459999999999999E-4</v>
      </c>
      <c r="H28" s="8">
        <v>1.2459999999999999E-4</v>
      </c>
      <c r="I28" s="8">
        <v>1.2459999999999999E-4</v>
      </c>
      <c r="J28" s="8">
        <v>1.2459999999999999E-4</v>
      </c>
    </row>
    <row r="29" spans="1:10" x14ac:dyDescent="0.3"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3">
      <c r="A30" t="s">
        <v>37</v>
      </c>
      <c r="B30" s="8">
        <f>B27/B28</f>
        <v>0.22601120423075796</v>
      </c>
      <c r="C30" s="8">
        <f>C27/C28</f>
        <v>0.46740737965804119</v>
      </c>
      <c r="D30" s="8">
        <f t="shared" ref="D30:J30" si="15">D27/D28</f>
        <v>0.71477013239956344</v>
      </c>
      <c r="E30" s="8">
        <f t="shared" si="15"/>
        <v>0.9561914825431832</v>
      </c>
      <c r="F30" s="8">
        <f t="shared" si="15"/>
        <v>1.180811996890426</v>
      </c>
      <c r="G30" s="8">
        <f t="shared" si="15"/>
        <v>1.377645197740444</v>
      </c>
      <c r="H30" s="8">
        <f t="shared" si="15"/>
        <v>1.5369700437498732</v>
      </c>
      <c r="I30" s="8">
        <f t="shared" si="15"/>
        <v>1.6516000341386659</v>
      </c>
      <c r="J30" s="8">
        <f t="shared" si="15"/>
        <v>1.7205753890188109</v>
      </c>
    </row>
    <row r="32" spans="1:10" x14ac:dyDescent="0.3">
      <c r="A32" t="s">
        <v>91</v>
      </c>
      <c r="B32">
        <f>B14-B15</f>
        <v>-4.1074382622646594E-3</v>
      </c>
      <c r="C32">
        <f t="shared" ref="C32:J32" si="16">C14-C15</f>
        <v>-2.7552097226238026E-3</v>
      </c>
      <c r="D32">
        <f t="shared" si="16"/>
        <v>2.0973659366463754E-3</v>
      </c>
      <c r="E32">
        <f t="shared" si="16"/>
        <v>8.8848471190270395E-3</v>
      </c>
      <c r="F32">
        <f t="shared" si="16"/>
        <v>1.6402101158720706E-2</v>
      </c>
      <c r="G32">
        <f t="shared" si="16"/>
        <v>2.3698001996369955E-2</v>
      </c>
      <c r="H32">
        <f t="shared" si="16"/>
        <v>3.0045217939525054E-2</v>
      </c>
      <c r="I32">
        <f t="shared" si="16"/>
        <v>3.4917832225953044E-2</v>
      </c>
      <c r="J32">
        <f t="shared" si="16"/>
        <v>3.7991343023637991E-2</v>
      </c>
    </row>
    <row r="35" spans="1:11" x14ac:dyDescent="0.3">
      <c r="A35" t="s">
        <v>92</v>
      </c>
      <c r="B35">
        <f>B32/B28</f>
        <v>-32.964994079170623</v>
      </c>
      <c r="C35">
        <f t="shared" ref="C35:J35" si="17">C32/C28</f>
        <v>-22.112437581250422</v>
      </c>
      <c r="D35">
        <f t="shared" si="17"/>
        <v>16.832792428943623</v>
      </c>
      <c r="E35">
        <f t="shared" si="17"/>
        <v>71.306959221725847</v>
      </c>
      <c r="F35">
        <f t="shared" si="17"/>
        <v>131.63805103307149</v>
      </c>
      <c r="G35">
        <f t="shared" si="17"/>
        <v>190.19263239462245</v>
      </c>
      <c r="H35">
        <f t="shared" si="17"/>
        <v>241.13337030116418</v>
      </c>
      <c r="I35">
        <f t="shared" si="17"/>
        <v>280.23942396431016</v>
      </c>
      <c r="J35">
        <f t="shared" si="17"/>
        <v>304.90644481250393</v>
      </c>
    </row>
    <row r="37" spans="1:11" x14ac:dyDescent="0.3">
      <c r="A37" t="s">
        <v>93</v>
      </c>
      <c r="B37">
        <f>B32-(1-B10)*B25</f>
        <v>5.5617967193126068E-3</v>
      </c>
      <c r="C37">
        <f t="shared" ref="C37:J37" si="18">C32-(1-C10)*C25</f>
        <v>1.1502194502314905E-2</v>
      </c>
      <c r="D37">
        <f t="shared" si="18"/>
        <v>1.7589420803154655E-2</v>
      </c>
      <c r="E37">
        <f t="shared" si="18"/>
        <v>2.3530438098163922E-2</v>
      </c>
      <c r="F37">
        <f t="shared" si="18"/>
        <v>2.9058012025478048E-2</v>
      </c>
      <c r="G37">
        <f t="shared" si="18"/>
        <v>3.3901781848595713E-2</v>
      </c>
      <c r="H37">
        <f t="shared" si="18"/>
        <v>3.7822527321618754E-2</v>
      </c>
      <c r="I37">
        <f t="shared" si="18"/>
        <v>4.0643399440101355E-2</v>
      </c>
      <c r="J37">
        <f t="shared" si="18"/>
        <v>4.2340779460669407E-2</v>
      </c>
    </row>
    <row r="38" spans="1:11" x14ac:dyDescent="0.3">
      <c r="A38" t="s">
        <v>94</v>
      </c>
      <c r="B38">
        <f>(B37/B28)*B13</f>
        <v>0.22601120423075793</v>
      </c>
      <c r="C38">
        <f t="shared" ref="C38:J38" si="19">(C37/C28)*C13</f>
        <v>0.46740737965804119</v>
      </c>
      <c r="D38">
        <f t="shared" si="19"/>
        <v>0.71477013239956344</v>
      </c>
      <c r="E38">
        <f t="shared" si="19"/>
        <v>0.9561914825431832</v>
      </c>
      <c r="F38">
        <f t="shared" si="19"/>
        <v>1.180811996890426</v>
      </c>
      <c r="G38">
        <f t="shared" si="19"/>
        <v>1.3776451977404438</v>
      </c>
      <c r="H38">
        <f t="shared" si="19"/>
        <v>1.5369700437498732</v>
      </c>
      <c r="I38">
        <f t="shared" si="19"/>
        <v>1.6516000341386659</v>
      </c>
      <c r="J38">
        <f t="shared" si="19"/>
        <v>1.7205753890188109</v>
      </c>
      <c r="K38">
        <f>1.751</f>
        <v>1.7509999999999999</v>
      </c>
    </row>
    <row r="39" spans="1:11" x14ac:dyDescent="0.3">
      <c r="B39">
        <f>B38*6.785</f>
        <v>1.5334860207056926</v>
      </c>
      <c r="C39">
        <f t="shared" ref="C39:J39" si="20">C38*6.785</f>
        <v>3.1713590709798094</v>
      </c>
      <c r="D39">
        <f t="shared" si="20"/>
        <v>4.8497153483310385</v>
      </c>
      <c r="E39">
        <f t="shared" si="20"/>
        <v>6.4877592090554979</v>
      </c>
      <c r="F39">
        <f t="shared" si="20"/>
        <v>8.0118093989015406</v>
      </c>
      <c r="G39">
        <f t="shared" si="20"/>
        <v>9.3473226666689122</v>
      </c>
      <c r="H39">
        <f t="shared" si="20"/>
        <v>10.428341746842889</v>
      </c>
      <c r="I39">
        <f t="shared" si="20"/>
        <v>11.206106231630848</v>
      </c>
      <c r="J39">
        <f t="shared" si="20"/>
        <v>11.674104014492633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0" zoomScale="145" zoomScaleNormal="145" workbookViewId="0">
      <selection activeCell="F9" sqref="F9"/>
    </sheetView>
  </sheetViews>
  <sheetFormatPr defaultRowHeight="14.4" x14ac:dyDescent="0.3"/>
  <cols>
    <col min="1" max="1" width="30.44140625" customWidth="1"/>
    <col min="2" max="2" width="15" style="9" customWidth="1"/>
    <col min="3" max="3" width="16.6640625" customWidth="1"/>
    <col min="4" max="4" width="12.109375" customWidth="1"/>
    <col min="5" max="5" width="15.6640625" customWidth="1"/>
    <col min="6" max="6" width="14.88671875" customWidth="1"/>
    <col min="7" max="7" width="14.21875" customWidth="1"/>
    <col min="8" max="8" width="16.21875" customWidth="1"/>
    <col min="9" max="9" width="15" customWidth="1"/>
    <col min="10" max="10" width="10.6640625" customWidth="1"/>
    <col min="11" max="11" width="18.109375" customWidth="1"/>
  </cols>
  <sheetData>
    <row r="1" spans="1:11" x14ac:dyDescent="0.3">
      <c r="A1" t="s">
        <v>27</v>
      </c>
      <c r="B1" s="9">
        <v>180</v>
      </c>
      <c r="C1" s="9">
        <v>180</v>
      </c>
      <c r="D1" s="9">
        <v>180</v>
      </c>
      <c r="E1" s="9">
        <v>180</v>
      </c>
      <c r="F1" s="9">
        <v>180</v>
      </c>
      <c r="G1" s="9">
        <v>180</v>
      </c>
      <c r="H1" s="9">
        <v>180</v>
      </c>
      <c r="I1" s="9">
        <v>180</v>
      </c>
      <c r="J1" s="9">
        <v>180</v>
      </c>
      <c r="K1" s="9">
        <v>180</v>
      </c>
    </row>
    <row r="2" spans="1:11" x14ac:dyDescent="0.3">
      <c r="A2" t="s">
        <v>44</v>
      </c>
      <c r="B2" s="9">
        <v>1200</v>
      </c>
      <c r="C2" s="9">
        <v>1200</v>
      </c>
      <c r="D2" s="9">
        <v>1200</v>
      </c>
      <c r="E2" s="9">
        <v>1200</v>
      </c>
      <c r="F2" s="9">
        <v>1200</v>
      </c>
      <c r="G2" s="9">
        <v>1200</v>
      </c>
      <c r="H2" s="9">
        <v>1200</v>
      </c>
      <c r="I2" s="9">
        <v>1200</v>
      </c>
      <c r="J2" s="9">
        <v>1200</v>
      </c>
      <c r="K2" s="9">
        <v>1200</v>
      </c>
    </row>
    <row r="3" spans="1:11" x14ac:dyDescent="0.3">
      <c r="A3" t="s">
        <v>11</v>
      </c>
      <c r="B3" s="9">
        <v>2000000</v>
      </c>
      <c r="C3" s="9">
        <v>2000000</v>
      </c>
      <c r="D3" s="9">
        <v>2000000</v>
      </c>
      <c r="E3" s="9">
        <v>2000000</v>
      </c>
      <c r="F3" s="9">
        <v>2000000</v>
      </c>
      <c r="G3" s="9">
        <v>2000000</v>
      </c>
      <c r="H3" s="9">
        <v>2000000</v>
      </c>
      <c r="I3" s="9">
        <v>2000000</v>
      </c>
      <c r="J3" s="9">
        <v>2000000</v>
      </c>
      <c r="K3" s="9">
        <v>2000000</v>
      </c>
    </row>
    <row r="4" spans="1:11" x14ac:dyDescent="0.3">
      <c r="A4" t="s">
        <v>13</v>
      </c>
      <c r="B4" s="9">
        <v>6399</v>
      </c>
      <c r="C4" s="9">
        <v>6399</v>
      </c>
      <c r="D4" s="9">
        <v>6399</v>
      </c>
      <c r="E4" s="9">
        <v>6399</v>
      </c>
      <c r="F4" s="9">
        <v>6399</v>
      </c>
      <c r="G4" s="9">
        <v>6399</v>
      </c>
      <c r="H4" s="9">
        <v>6399</v>
      </c>
      <c r="I4" s="9">
        <v>6399</v>
      </c>
      <c r="J4" s="9">
        <v>6399</v>
      </c>
      <c r="K4" s="9">
        <v>6399</v>
      </c>
    </row>
    <row r="5" spans="1:11" x14ac:dyDescent="0.3">
      <c r="A5" t="s">
        <v>45</v>
      </c>
      <c r="B5" s="9">
        <v>37.85</v>
      </c>
      <c r="C5" s="9">
        <v>37.85</v>
      </c>
      <c r="D5" s="9">
        <v>37.85</v>
      </c>
      <c r="E5" s="9">
        <v>37.85</v>
      </c>
      <c r="F5" s="9">
        <v>37.85</v>
      </c>
      <c r="G5" s="9">
        <v>37.85</v>
      </c>
      <c r="H5" s="9">
        <v>37.85</v>
      </c>
      <c r="I5" s="9">
        <v>37.85</v>
      </c>
      <c r="J5" s="9">
        <v>37.85</v>
      </c>
      <c r="K5" s="9">
        <v>37.85</v>
      </c>
    </row>
    <row r="6" spans="1:11" x14ac:dyDescent="0.3">
      <c r="A6" t="s">
        <v>26</v>
      </c>
      <c r="B6" s="9">
        <v>4.6950000000000003</v>
      </c>
      <c r="C6" s="9">
        <v>4.6950000000000003</v>
      </c>
      <c r="D6" s="9">
        <v>4.6950000000000003</v>
      </c>
      <c r="E6" s="9">
        <v>4.6950000000000003</v>
      </c>
      <c r="F6" s="9">
        <v>4.6950000000000003</v>
      </c>
      <c r="G6" s="9">
        <v>4.6950000000000003</v>
      </c>
      <c r="H6" s="9">
        <v>4.6950000000000003</v>
      </c>
      <c r="I6" s="9">
        <v>4.6950000000000003</v>
      </c>
      <c r="J6" s="9">
        <v>4.6950000000000003</v>
      </c>
      <c r="K6" s="9">
        <v>4.6950000000000003</v>
      </c>
    </row>
    <row r="7" spans="1:11" x14ac:dyDescent="0.3">
      <c r="A7" t="s">
        <v>47</v>
      </c>
      <c r="B7" s="9">
        <v>0.9</v>
      </c>
      <c r="C7" s="9">
        <v>0.8</v>
      </c>
      <c r="D7" s="9">
        <v>0.7</v>
      </c>
      <c r="E7" s="9">
        <v>0.6</v>
      </c>
      <c r="F7" s="9">
        <v>0.5</v>
      </c>
      <c r="G7" s="9">
        <v>0.4</v>
      </c>
      <c r="H7" s="9">
        <v>0.3</v>
      </c>
      <c r="I7" s="9">
        <v>0.2</v>
      </c>
      <c r="J7" s="9">
        <v>0.1</v>
      </c>
      <c r="K7" s="9">
        <v>0</v>
      </c>
    </row>
    <row r="8" spans="1:11" x14ac:dyDescent="0.3">
      <c r="A8" t="s">
        <v>28</v>
      </c>
      <c r="B8" s="9">
        <v>2.2282000000000002</v>
      </c>
      <c r="C8" s="9">
        <v>2.2282000000000002</v>
      </c>
      <c r="D8" s="9">
        <v>2.2282000000000002</v>
      </c>
      <c r="E8" s="9">
        <v>2.2282000000000002</v>
      </c>
      <c r="F8" s="9">
        <v>2.2282000000000002</v>
      </c>
      <c r="G8" s="9">
        <v>2.2282000000000002</v>
      </c>
      <c r="H8" s="9">
        <v>2.2282000000000002</v>
      </c>
      <c r="I8" s="9">
        <v>2.2282000000000002</v>
      </c>
      <c r="J8" s="9">
        <v>2.2282000000000002</v>
      </c>
      <c r="K8" s="9">
        <v>2.2282000000000002</v>
      </c>
    </row>
    <row r="9" spans="1:11" x14ac:dyDescent="0.3">
      <c r="A9" t="s">
        <v>46</v>
      </c>
      <c r="B9" s="9">
        <v>135.5</v>
      </c>
      <c r="C9" s="9">
        <v>100.17700000000001</v>
      </c>
      <c r="D9" s="9">
        <v>72.28</v>
      </c>
      <c r="E9" s="9">
        <v>50.41</v>
      </c>
      <c r="F9" s="9">
        <v>33.49</v>
      </c>
      <c r="G9" s="9">
        <v>20.67</v>
      </c>
      <c r="H9" s="9">
        <v>11.3</v>
      </c>
      <c r="I9" s="9">
        <v>4.91</v>
      </c>
      <c r="J9" s="9">
        <v>1.21</v>
      </c>
      <c r="K9" s="9">
        <v>0</v>
      </c>
    </row>
    <row r="10" spans="1:11" x14ac:dyDescent="0.3">
      <c r="A10" t="s">
        <v>17</v>
      </c>
      <c r="B10" s="9">
        <v>0.33900000000000002</v>
      </c>
      <c r="C10" s="9">
        <v>0.33900000000000002</v>
      </c>
      <c r="D10" s="9">
        <v>0.33900000000000002</v>
      </c>
      <c r="E10" s="9">
        <v>0.33900000000000002</v>
      </c>
      <c r="F10" s="9">
        <v>0.33900000000000002</v>
      </c>
      <c r="G10" s="9">
        <v>0.33900000000000002</v>
      </c>
      <c r="H10" s="9">
        <v>0.33900000000000002</v>
      </c>
      <c r="I10" s="9">
        <v>0.33900000000000002</v>
      </c>
      <c r="J10" s="9">
        <v>0.33900000000000002</v>
      </c>
      <c r="K10" s="9">
        <v>0.33900000000000002</v>
      </c>
    </row>
    <row r="11" spans="1:11" x14ac:dyDescent="0.3">
      <c r="A11" t="s">
        <v>66</v>
      </c>
      <c r="B11" s="9">
        <f>B2*B1*B1</f>
        <v>38880000</v>
      </c>
      <c r="C11" s="9">
        <f>C2*C1*C1</f>
        <v>38880000</v>
      </c>
      <c r="D11" s="9">
        <f t="shared" ref="D11:J11" si="0">D2*D1*D1</f>
        <v>38880000</v>
      </c>
      <c r="E11" s="9">
        <f t="shared" si="0"/>
        <v>38880000</v>
      </c>
      <c r="F11" s="9">
        <f t="shared" si="0"/>
        <v>38880000</v>
      </c>
      <c r="G11" s="9">
        <f t="shared" si="0"/>
        <v>38880000</v>
      </c>
      <c r="H11" s="9">
        <f t="shared" si="0"/>
        <v>38880000</v>
      </c>
      <c r="I11" s="9">
        <f t="shared" si="0"/>
        <v>38880000</v>
      </c>
      <c r="J11" s="9">
        <f t="shared" si="0"/>
        <v>38880000</v>
      </c>
      <c r="K11" s="9">
        <f>K2*K1*K1</f>
        <v>38880000</v>
      </c>
    </row>
    <row r="12" spans="1:11" x14ac:dyDescent="0.3">
      <c r="A12" t="s">
        <v>67</v>
      </c>
      <c r="B12" s="9">
        <f>4*B3*B4</f>
        <v>51192000000</v>
      </c>
      <c r="C12" s="9">
        <f>4*C3*C4</f>
        <v>51192000000</v>
      </c>
      <c r="D12" s="9">
        <f t="shared" ref="D12:J12" si="1">4*D3*D4</f>
        <v>51192000000</v>
      </c>
      <c r="E12" s="9">
        <f t="shared" si="1"/>
        <v>51192000000</v>
      </c>
      <c r="F12" s="9">
        <f t="shared" si="1"/>
        <v>51192000000</v>
      </c>
      <c r="G12" s="9">
        <f t="shared" si="1"/>
        <v>51192000000</v>
      </c>
      <c r="H12" s="9">
        <f t="shared" si="1"/>
        <v>51192000000</v>
      </c>
      <c r="I12" s="9">
        <f t="shared" si="1"/>
        <v>51192000000</v>
      </c>
      <c r="J12" s="9">
        <f t="shared" si="1"/>
        <v>51192000000</v>
      </c>
      <c r="K12" s="9">
        <f>4*K3*K4</f>
        <v>51192000000</v>
      </c>
    </row>
    <row r="13" spans="1:11" x14ac:dyDescent="0.3">
      <c r="A13" s="10" t="s">
        <v>49</v>
      </c>
      <c r="B13" s="11">
        <f>(B2*B2*B1)/(4*B3*B4)</f>
        <v>5.0632911392405064E-3</v>
      </c>
      <c r="C13" s="11">
        <f t="shared" ref="C13:J13" si="2">(C2*C2*C1)/(4*C3*C4)</f>
        <v>5.0632911392405064E-3</v>
      </c>
      <c r="D13" s="11">
        <f t="shared" si="2"/>
        <v>5.0632911392405064E-3</v>
      </c>
      <c r="E13" s="11">
        <f t="shared" si="2"/>
        <v>5.0632911392405064E-3</v>
      </c>
      <c r="F13" s="11">
        <f t="shared" si="2"/>
        <v>5.0632911392405064E-3</v>
      </c>
      <c r="G13" s="11">
        <f t="shared" si="2"/>
        <v>5.0632911392405064E-3</v>
      </c>
      <c r="H13" s="11">
        <f t="shared" si="2"/>
        <v>5.0632911392405064E-3</v>
      </c>
      <c r="I13" s="11">
        <f t="shared" si="2"/>
        <v>5.0632911392405064E-3</v>
      </c>
      <c r="J13" s="11">
        <f t="shared" si="2"/>
        <v>5.0632911392405064E-3</v>
      </c>
      <c r="K13" s="11">
        <f>(K2*K2*K1)/(4*K3*K4)</f>
        <v>5.0632911392405064E-3</v>
      </c>
    </row>
    <row r="14" spans="1:11" x14ac:dyDescent="0.3">
      <c r="A14" t="s">
        <v>51</v>
      </c>
      <c r="B14" s="11">
        <v>4.5502000000000001E-2</v>
      </c>
      <c r="C14" s="11">
        <f>((C5/C1)+(1/(C6-1)))*((1-C7^2)/2)</f>
        <v>8.6564479025710392E-2</v>
      </c>
      <c r="D14" s="11">
        <f t="shared" ref="D14:J14" si="3">((D5/D1)+(1/(D6-1)))*((1-D7^2)/2)</f>
        <v>0.12263301195308976</v>
      </c>
      <c r="E14" s="11">
        <f t="shared" si="3"/>
        <v>0.15389240715681854</v>
      </c>
      <c r="F14" s="11">
        <f t="shared" si="3"/>
        <v>0.18034266463689672</v>
      </c>
      <c r="G14" s="11">
        <f t="shared" si="3"/>
        <v>0.20198378439332432</v>
      </c>
      <c r="H14" s="11">
        <f t="shared" si="3"/>
        <v>0.21881576642610134</v>
      </c>
      <c r="I14" s="11">
        <f t="shared" si="3"/>
        <v>0.23083861073522777</v>
      </c>
      <c r="J14" s="11">
        <f t="shared" si="3"/>
        <v>0.23805231732070364</v>
      </c>
      <c r="K14" s="11">
        <f>((K5/K1)+(1/(K6-1)))*((1-K7^2)/2)</f>
        <v>0.24045688618252894</v>
      </c>
    </row>
    <row r="15" spans="1:11" x14ac:dyDescent="0.3">
      <c r="A15" t="s">
        <v>52</v>
      </c>
      <c r="B15" s="9">
        <f>(1/(B8^2))*(1-(B9/B1))</f>
        <v>4.9794246636945143E-2</v>
      </c>
      <c r="C15" s="9">
        <f>(1/(C8^2))*(1-(C9/C1))</f>
        <v>8.9319688748334194E-2</v>
      </c>
      <c r="D15" s="9">
        <f t="shared" ref="D15:J15" si="4">(1/(D8^2))*(1-(D9/D1))</f>
        <v>0.12053564601644338</v>
      </c>
      <c r="E15" s="9">
        <f t="shared" si="4"/>
        <v>0.1450075600377915</v>
      </c>
      <c r="F15" s="9">
        <f t="shared" si="4"/>
        <v>0.16394056347817601</v>
      </c>
      <c r="G15" s="9">
        <f t="shared" si="4"/>
        <v>0.17828578239695436</v>
      </c>
      <c r="H15" s="9">
        <f t="shared" si="4"/>
        <v>0.18877054848657629</v>
      </c>
      <c r="I15" s="9">
        <f t="shared" si="4"/>
        <v>0.19592077850927472</v>
      </c>
      <c r="J15" s="9">
        <f t="shared" si="4"/>
        <v>0.20006097429706565</v>
      </c>
      <c r="K15" s="9">
        <f>(1/(K8^2))*(1-(K9/K1))</f>
        <v>0.20141493021685675</v>
      </c>
    </row>
    <row r="16" spans="1:11" x14ac:dyDescent="0.3">
      <c r="A16" t="s">
        <v>53</v>
      </c>
      <c r="B16" s="9">
        <f>B14/3</f>
        <v>1.5167333333333333E-2</v>
      </c>
      <c r="C16" s="9">
        <f>C14/3</f>
        <v>2.8854826341903464E-2</v>
      </c>
      <c r="D16" s="9">
        <f t="shared" ref="D16:J16" si="5">D14/3</f>
        <v>4.0877670651029922E-2</v>
      </c>
      <c r="E16" s="9">
        <f t="shared" si="5"/>
        <v>5.1297469052272844E-2</v>
      </c>
      <c r="F16" s="9">
        <f t="shared" si="5"/>
        <v>6.0114221545632236E-2</v>
      </c>
      <c r="G16" s="9">
        <f t="shared" si="5"/>
        <v>6.7327928131108106E-2</v>
      </c>
      <c r="H16" s="9">
        <f t="shared" si="5"/>
        <v>7.2938588808700452E-2</v>
      </c>
      <c r="I16" s="9">
        <f t="shared" si="5"/>
        <v>7.6946203578409256E-2</v>
      </c>
      <c r="J16" s="9">
        <f t="shared" si="5"/>
        <v>7.9350772440234543E-2</v>
      </c>
      <c r="K16" s="9">
        <f>K14/3</f>
        <v>8.0152295394176315E-2</v>
      </c>
    </row>
    <row r="17" spans="1:11" x14ac:dyDescent="0.3">
      <c r="A17" t="s">
        <v>54</v>
      </c>
      <c r="B17" s="9">
        <f>(1/(B8^2))*(1-B7*(B9/B1))</f>
        <v>6.4956314994936301E-2</v>
      </c>
      <c r="C17" s="9">
        <f>(1/(C8^2))*(1-C7*(C9/C1))</f>
        <v>0.11173873704203871</v>
      </c>
      <c r="D17" s="9">
        <f t="shared" ref="D17:J17" si="6">(1/(D8^2))*(1-D7*(D9/D1))</f>
        <v>0.14479943127656739</v>
      </c>
      <c r="E17" s="9">
        <f t="shared" si="6"/>
        <v>0.16757050810941757</v>
      </c>
      <c r="F17" s="9">
        <f t="shared" si="6"/>
        <v>0.18267774684751636</v>
      </c>
      <c r="G17" s="9">
        <f t="shared" si="6"/>
        <v>0.19216327108889578</v>
      </c>
      <c r="H17" s="9">
        <f t="shared" si="6"/>
        <v>0.19762161569777262</v>
      </c>
      <c r="I17" s="9">
        <f t="shared" si="6"/>
        <v>0.20031609987534035</v>
      </c>
      <c r="J17" s="9">
        <f t="shared" si="6"/>
        <v>0.20127953462487763</v>
      </c>
      <c r="K17" s="9">
        <f>(1/(K8^2))*(1-K7*(K9/K1))</f>
        <v>0.20141493021685675</v>
      </c>
    </row>
    <row r="18" spans="1:11" x14ac:dyDescent="0.3">
      <c r="A18" t="s">
        <v>55</v>
      </c>
      <c r="B18" s="9">
        <f>2/(B8^2*(B6-1))</f>
        <v>0.10902025992793328</v>
      </c>
      <c r="C18" s="9">
        <f>2/(C8^2*(C6-1))</f>
        <v>0.10902025992793328</v>
      </c>
      <c r="D18" s="9">
        <f t="shared" ref="D18:J18" si="7">2/(D8^2*(D6-1))</f>
        <v>0.10902025992793328</v>
      </c>
      <c r="E18" s="9">
        <f t="shared" si="7"/>
        <v>0.10902025992793328</v>
      </c>
      <c r="F18" s="9">
        <f t="shared" si="7"/>
        <v>0.10902025992793328</v>
      </c>
      <c r="G18" s="9">
        <f t="shared" si="7"/>
        <v>0.10902025992793328</v>
      </c>
      <c r="H18" s="9">
        <f t="shared" si="7"/>
        <v>0.10902025992793328</v>
      </c>
      <c r="I18" s="9">
        <f t="shared" si="7"/>
        <v>0.10902025992793328</v>
      </c>
      <c r="J18" s="9">
        <f t="shared" si="7"/>
        <v>0.10902025992793328</v>
      </c>
      <c r="K18" s="9">
        <f>2/(K8^2*(K6-1))</f>
        <v>0.10902025992793328</v>
      </c>
    </row>
    <row r="19" spans="1:11" x14ac:dyDescent="0.3">
      <c r="A19" t="s">
        <v>66</v>
      </c>
      <c r="B19" s="9">
        <f>SQRT(B6^2-1)/B8</f>
        <v>2.0587324770174904</v>
      </c>
      <c r="C19" s="9">
        <f>SQRT(C6^2-1)/C8</f>
        <v>2.0587324770174904</v>
      </c>
      <c r="D19" s="9">
        <f t="shared" ref="D19:J19" si="8">SQRT(D6^2-1)/D8</f>
        <v>2.0587324770174904</v>
      </c>
      <c r="E19" s="9">
        <f t="shared" si="8"/>
        <v>2.0587324770174904</v>
      </c>
      <c r="F19" s="9">
        <f t="shared" si="8"/>
        <v>2.0587324770174904</v>
      </c>
      <c r="G19" s="9">
        <f t="shared" si="8"/>
        <v>2.0587324770174904</v>
      </c>
      <c r="H19" s="9">
        <f t="shared" si="8"/>
        <v>2.0587324770174904</v>
      </c>
      <c r="I19" s="9">
        <f t="shared" si="8"/>
        <v>2.0587324770174904</v>
      </c>
      <c r="J19" s="9">
        <f t="shared" si="8"/>
        <v>2.0587324770174904</v>
      </c>
      <c r="K19" s="9">
        <f>SQRT(K6^2-1)/K8</f>
        <v>2.0587324770174904</v>
      </c>
    </row>
    <row r="20" spans="1:11" x14ac:dyDescent="0.3">
      <c r="A20" t="s">
        <v>67</v>
      </c>
      <c r="B20" s="9">
        <f>(1+(B9/B1)*(B6-1))^2-1</f>
        <v>13.299847291859569</v>
      </c>
      <c r="C20" s="9">
        <f t="shared" ref="C20:J20" si="9">(1+(C9/C1)*(C6-1))^2-1</f>
        <v>8.3416493895253172</v>
      </c>
      <c r="D20" s="9">
        <f t="shared" si="9"/>
        <v>5.1690030236160496</v>
      </c>
      <c r="E20" s="9">
        <f t="shared" si="9"/>
        <v>3.1404325184723003</v>
      </c>
      <c r="F20" s="9">
        <f t="shared" si="9"/>
        <v>1.8475728131111882</v>
      </c>
      <c r="G20" s="9">
        <f t="shared" si="9"/>
        <v>1.0286566022506944</v>
      </c>
      <c r="H20" s="9">
        <f t="shared" si="9"/>
        <v>0.51773502352623457</v>
      </c>
      <c r="I20" s="9">
        <f t="shared" si="9"/>
        <v>0.2117416818519291</v>
      </c>
      <c r="J20" s="9">
        <f t="shared" si="9"/>
        <v>5.0294178824151325E-2</v>
      </c>
      <c r="K20" s="9">
        <f>(1+(K9/K1)*(K6-1))^2-1</f>
        <v>0</v>
      </c>
    </row>
    <row r="21" spans="1:11" x14ac:dyDescent="0.3">
      <c r="A21" t="s">
        <v>68</v>
      </c>
      <c r="B21" s="9">
        <f>(1/B8)*SQRT(B20)</f>
        <v>1.6367002823317243</v>
      </c>
      <c r="C21" s="9">
        <f t="shared" ref="C21:J21" si="10">(1/C8)*SQRT(C20)</f>
        <v>1.2961993402577889</v>
      </c>
      <c r="D21" s="9">
        <f t="shared" si="10"/>
        <v>1.0203501277955269</v>
      </c>
      <c r="E21" s="9">
        <f t="shared" si="10"/>
        <v>0.79531754448072256</v>
      </c>
      <c r="F21" s="9">
        <f t="shared" si="10"/>
        <v>0.610023564482022</v>
      </c>
      <c r="G21" s="9">
        <f t="shared" si="10"/>
        <v>0.45517776500992729</v>
      </c>
      <c r="H21" s="9">
        <f t="shared" si="10"/>
        <v>0.32292346405047623</v>
      </c>
      <c r="I21" s="9">
        <f t="shared" si="10"/>
        <v>0.20651376727522594</v>
      </c>
      <c r="J21" s="9">
        <f t="shared" si="10"/>
        <v>0.10064789375928615</v>
      </c>
      <c r="K21" s="9">
        <f>(1/K8)*SQRT(K20)</f>
        <v>0</v>
      </c>
    </row>
    <row r="22" spans="1:11" x14ac:dyDescent="0.3">
      <c r="A22" t="s">
        <v>56</v>
      </c>
      <c r="B22" s="9">
        <f>1-B7-B19+B21</f>
        <v>-0.32203219468576605</v>
      </c>
      <c r="C22" s="9">
        <f>1-C7-C19+C21</f>
        <v>-0.56253313675970151</v>
      </c>
      <c r="D22" s="9">
        <f t="shared" ref="D22:J22" si="11">1-D7-D19+D21</f>
        <v>-0.73838234922196344</v>
      </c>
      <c r="E22" s="9">
        <f t="shared" si="11"/>
        <v>-0.86341493253676793</v>
      </c>
      <c r="F22" s="9">
        <f t="shared" si="11"/>
        <v>-0.94870891253546841</v>
      </c>
      <c r="G22" s="9">
        <f t="shared" si="11"/>
        <v>-1.003554712007563</v>
      </c>
      <c r="H22" s="9">
        <f t="shared" si="11"/>
        <v>-1.0358090129670141</v>
      </c>
      <c r="I22" s="9">
        <f t="shared" si="11"/>
        <v>-1.0522187097422644</v>
      </c>
      <c r="J22" s="9">
        <f t="shared" si="11"/>
        <v>-1.0580845832582044</v>
      </c>
      <c r="K22" s="9">
        <f>1-K7-K19+K21</f>
        <v>-1.0587324770174904</v>
      </c>
    </row>
    <row r="23" spans="1:11" x14ac:dyDescent="0.3">
      <c r="C23" s="9"/>
      <c r="D23" s="9"/>
      <c r="E23" s="9"/>
      <c r="F23" s="9"/>
      <c r="G23" s="9"/>
      <c r="H23" s="9"/>
      <c r="I23" s="9"/>
      <c r="J23" s="9"/>
    </row>
    <row r="24" spans="1:11" x14ac:dyDescent="0.3">
      <c r="C24" s="9"/>
      <c r="D24" s="9"/>
      <c r="E24" s="9"/>
      <c r="F24" s="9"/>
      <c r="G24" s="9"/>
      <c r="H24" s="9"/>
      <c r="I24" s="9"/>
      <c r="J24" s="9"/>
    </row>
    <row r="25" spans="1:11" x14ac:dyDescent="0.3">
      <c r="A25" t="s">
        <v>95</v>
      </c>
      <c r="B25" s="9">
        <f>1+(B9/B1)*(B6-1)</f>
        <v>3.7815138888888891</v>
      </c>
      <c r="C25">
        <f t="shared" ref="C25:K25" si="12">1+(C9/C1)*(C6-1)</f>
        <v>3.0564111944444448</v>
      </c>
      <c r="D25">
        <f t="shared" si="12"/>
        <v>2.4837477777777779</v>
      </c>
      <c r="E25">
        <f t="shared" si="12"/>
        <v>2.0348052777777781</v>
      </c>
      <c r="F25">
        <f t="shared" si="12"/>
        <v>1.6874752777777777</v>
      </c>
      <c r="G25">
        <f t="shared" si="12"/>
        <v>1.4243091666666667</v>
      </c>
      <c r="H25">
        <f t="shared" si="12"/>
        <v>1.2319638888888889</v>
      </c>
      <c r="I25">
        <f t="shared" si="12"/>
        <v>1.1007913888888889</v>
      </c>
      <c r="J25">
        <f t="shared" si="12"/>
        <v>1.0248386111111112</v>
      </c>
      <c r="K25">
        <f t="shared" si="12"/>
        <v>1</v>
      </c>
    </row>
    <row r="26" spans="1:11" x14ac:dyDescent="0.3">
      <c r="A26" t="s">
        <v>96</v>
      </c>
      <c r="B26" s="9">
        <f>SQRT(B25^2-1)</f>
        <v>3.6468955690915483</v>
      </c>
      <c r="C26">
        <f t="shared" ref="C26:K26" si="13">SQRT(C25^2-1)</f>
        <v>2.8881913699624056</v>
      </c>
      <c r="D26">
        <f t="shared" si="13"/>
        <v>2.2735441547539934</v>
      </c>
      <c r="E26">
        <f t="shared" si="13"/>
        <v>1.7721265526119461</v>
      </c>
      <c r="F26">
        <f t="shared" si="13"/>
        <v>1.3592545063788415</v>
      </c>
      <c r="G26">
        <f t="shared" si="13"/>
        <v>1.0142270959951201</v>
      </c>
      <c r="H26">
        <f t="shared" si="13"/>
        <v>0.71953806259727116</v>
      </c>
      <c r="I26">
        <f t="shared" si="13"/>
        <v>0.46015397624265847</v>
      </c>
      <c r="J26">
        <f t="shared" si="13"/>
        <v>0.22426363687444142</v>
      </c>
      <c r="K26">
        <f t="shared" si="13"/>
        <v>0</v>
      </c>
    </row>
    <row r="27" spans="1:11" x14ac:dyDescent="0.3">
      <c r="A27" t="s">
        <v>98</v>
      </c>
      <c r="B27" s="9">
        <f>(1/B8)*B26</f>
        <v>1.6367002823317243</v>
      </c>
      <c r="C27">
        <f t="shared" ref="C27:K27" si="14">(1/C8)*C26</f>
        <v>1.2961993402577889</v>
      </c>
      <c r="D27">
        <f t="shared" si="14"/>
        <v>1.0203501277955269</v>
      </c>
      <c r="E27">
        <f t="shared" si="14"/>
        <v>0.79531754448072256</v>
      </c>
      <c r="F27">
        <f t="shared" si="14"/>
        <v>0.610023564482022</v>
      </c>
      <c r="G27">
        <f t="shared" si="14"/>
        <v>0.45517776500992729</v>
      </c>
      <c r="H27">
        <f t="shared" si="14"/>
        <v>0.32292346405047623</v>
      </c>
      <c r="I27">
        <f t="shared" si="14"/>
        <v>0.20651376727522594</v>
      </c>
      <c r="J27">
        <f t="shared" si="14"/>
        <v>0.10064789375928615</v>
      </c>
      <c r="K27">
        <f t="shared" si="14"/>
        <v>0</v>
      </c>
    </row>
    <row r="28" spans="1:11" x14ac:dyDescent="0.3">
      <c r="A28" t="s">
        <v>99</v>
      </c>
      <c r="B28" s="9">
        <f>SQRT(B6^2-1)/B8</f>
        <v>2.0587324770174904</v>
      </c>
      <c r="C28">
        <f t="shared" ref="C28:K28" si="15">SQRT(C6^2-1)/C8</f>
        <v>2.0587324770174904</v>
      </c>
      <c r="D28">
        <f t="shared" si="15"/>
        <v>2.0587324770174904</v>
      </c>
      <c r="E28">
        <f t="shared" si="15"/>
        <v>2.0587324770174904</v>
      </c>
      <c r="F28">
        <f t="shared" si="15"/>
        <v>2.0587324770174904</v>
      </c>
      <c r="G28">
        <f t="shared" si="15"/>
        <v>2.0587324770174904</v>
      </c>
      <c r="H28">
        <f t="shared" si="15"/>
        <v>2.0587324770174904</v>
      </c>
      <c r="I28">
        <f t="shared" si="15"/>
        <v>2.0587324770174904</v>
      </c>
      <c r="J28">
        <f t="shared" si="15"/>
        <v>2.0587324770174904</v>
      </c>
      <c r="K28">
        <f t="shared" si="15"/>
        <v>2.0587324770174904</v>
      </c>
    </row>
    <row r="29" spans="1:11" x14ac:dyDescent="0.3">
      <c r="A29" t="s">
        <v>97</v>
      </c>
      <c r="B29" s="9">
        <f>2/(B8^2*(B6-1))</f>
        <v>0.10902025992793328</v>
      </c>
      <c r="C29">
        <f t="shared" ref="C29:J29" si="16">2/(C8^2*(C6-1))</f>
        <v>0.10902025992793328</v>
      </c>
      <c r="D29">
        <f t="shared" si="16"/>
        <v>0.10902025992793328</v>
      </c>
      <c r="E29">
        <f t="shared" si="16"/>
        <v>0.10902025992793328</v>
      </c>
      <c r="F29">
        <f t="shared" si="16"/>
        <v>0.10902025992793328</v>
      </c>
      <c r="G29">
        <f t="shared" si="16"/>
        <v>0.10902025992793328</v>
      </c>
      <c r="H29">
        <f t="shared" si="16"/>
        <v>0.10902025992793328</v>
      </c>
      <c r="I29">
        <f t="shared" si="16"/>
        <v>0.10902025992793328</v>
      </c>
      <c r="J29">
        <f t="shared" si="16"/>
        <v>0.10902025992793328</v>
      </c>
      <c r="K29">
        <f>2/(K8^2*(K6-1))</f>
        <v>0.10902025992793328</v>
      </c>
    </row>
    <row r="31" spans="1:11" x14ac:dyDescent="0.3">
      <c r="A31" t="s">
        <v>55</v>
      </c>
      <c r="B31" s="9">
        <f>B29*(1-B7-B28+B27)</f>
        <v>-3.5108033569805026E-2</v>
      </c>
      <c r="C31">
        <f t="shared" ref="C31:K31" si="17">C29*(1-C7-C28+C27)</f>
        <v>-6.13275087876183E-2</v>
      </c>
      <c r="D31">
        <f t="shared" si="17"/>
        <v>-8.0498635638376462E-2</v>
      </c>
      <c r="E31">
        <f t="shared" si="17"/>
        <v>-9.4129720370817418E-2</v>
      </c>
      <c r="F31">
        <f t="shared" si="17"/>
        <v>-0.10342849224056369</v>
      </c>
      <c r="G31">
        <f t="shared" si="17"/>
        <v>-0.10940779555496674</v>
      </c>
      <c r="H31">
        <f t="shared" si="17"/>
        <v>-0.11292416782935989</v>
      </c>
      <c r="I31">
        <f t="shared" si="17"/>
        <v>-0.11471315723713625</v>
      </c>
      <c r="J31">
        <f t="shared" si="17"/>
        <v>-0.11535265629254841</v>
      </c>
      <c r="K31">
        <f t="shared" si="17"/>
        <v>-0.11542328983859144</v>
      </c>
    </row>
    <row r="32" spans="1:11" x14ac:dyDescent="0.3">
      <c r="A32" t="s">
        <v>54</v>
      </c>
      <c r="B32" s="9">
        <f>(1/B8^2)*(1-B7*(B9/B1))</f>
        <v>6.4956314994936301E-2</v>
      </c>
      <c r="C32">
        <f t="shared" ref="C32:K32" si="18">(1/C8^2)*(1-C7*(C9/C1))</f>
        <v>0.11173873704203871</v>
      </c>
      <c r="D32">
        <f t="shared" si="18"/>
        <v>0.14479943127656739</v>
      </c>
      <c r="E32">
        <f t="shared" si="18"/>
        <v>0.16757050810941757</v>
      </c>
      <c r="F32">
        <f t="shared" si="18"/>
        <v>0.18267774684751636</v>
      </c>
      <c r="G32">
        <f t="shared" si="18"/>
        <v>0.19216327108889578</v>
      </c>
      <c r="H32">
        <f t="shared" si="18"/>
        <v>0.19762161569777262</v>
      </c>
      <c r="I32">
        <f t="shared" si="18"/>
        <v>0.20031609987534035</v>
      </c>
      <c r="J32">
        <f t="shared" si="18"/>
        <v>0.20127953462487763</v>
      </c>
      <c r="K32">
        <f t="shared" si="18"/>
        <v>0.20141493021685675</v>
      </c>
    </row>
    <row r="33" spans="1:12" x14ac:dyDescent="0.3">
      <c r="A33" t="s">
        <v>53</v>
      </c>
      <c r="B33" s="9">
        <f>((B5/B1)+(1/(B6-1)))*((1-B7^2)/6)</f>
        <v>1.5228936124893495E-2</v>
      </c>
      <c r="C33">
        <f t="shared" ref="C33:K33" si="19">((C5/C1)+(1/(C6-1)))*((1-C7^2)/6)</f>
        <v>2.8854826341903464E-2</v>
      </c>
      <c r="D33">
        <f t="shared" si="19"/>
        <v>4.0877670651029922E-2</v>
      </c>
      <c r="E33">
        <f t="shared" si="19"/>
        <v>5.1297469052272844E-2</v>
      </c>
      <c r="F33">
        <f t="shared" si="19"/>
        <v>6.0114221545632236E-2</v>
      </c>
      <c r="G33">
        <f t="shared" si="19"/>
        <v>6.7327928131108092E-2</v>
      </c>
      <c r="H33">
        <f t="shared" si="19"/>
        <v>7.2938588808700452E-2</v>
      </c>
      <c r="I33">
        <f t="shared" si="19"/>
        <v>7.694620357840927E-2</v>
      </c>
      <c r="J33">
        <f t="shared" si="19"/>
        <v>7.9350772440234557E-2</v>
      </c>
      <c r="K33">
        <f t="shared" si="19"/>
        <v>8.0152295394176315E-2</v>
      </c>
    </row>
    <row r="34" spans="1:12" x14ac:dyDescent="0.3">
      <c r="A34" t="s">
        <v>52</v>
      </c>
      <c r="B34" s="9">
        <f>(1/B8^2)*(1-(B9/B1))</f>
        <v>4.9794246636945143E-2</v>
      </c>
      <c r="C34">
        <f t="shared" ref="C34:K34" si="20">(1/C8^2)*(1-(C9/C1))</f>
        <v>8.9319688748334194E-2</v>
      </c>
      <c r="D34">
        <f t="shared" si="20"/>
        <v>0.12053564601644338</v>
      </c>
      <c r="E34">
        <f t="shared" si="20"/>
        <v>0.1450075600377915</v>
      </c>
      <c r="F34">
        <f t="shared" si="20"/>
        <v>0.16394056347817601</v>
      </c>
      <c r="G34">
        <f t="shared" si="20"/>
        <v>0.17828578239695436</v>
      </c>
      <c r="H34">
        <f t="shared" si="20"/>
        <v>0.18877054848657629</v>
      </c>
      <c r="I34">
        <f t="shared" si="20"/>
        <v>0.19592077850927472</v>
      </c>
      <c r="J34">
        <f t="shared" si="20"/>
        <v>0.20006097429706565</v>
      </c>
      <c r="K34">
        <f t="shared" si="20"/>
        <v>0.20141493021685675</v>
      </c>
    </row>
    <row r="35" spans="1:12" x14ac:dyDescent="0.3">
      <c r="A35" t="s">
        <v>51</v>
      </c>
      <c r="B35" s="9">
        <f>3*B33</f>
        <v>4.5686808374680483E-2</v>
      </c>
      <c r="C35">
        <f t="shared" ref="C35:K35" si="21">3*C33</f>
        <v>8.6564479025710392E-2</v>
      </c>
      <c r="D35">
        <f t="shared" si="21"/>
        <v>0.12263301195308976</v>
      </c>
      <c r="E35">
        <f t="shared" si="21"/>
        <v>0.15389240715681854</v>
      </c>
      <c r="F35">
        <f t="shared" si="21"/>
        <v>0.18034266463689672</v>
      </c>
      <c r="G35">
        <f t="shared" si="21"/>
        <v>0.20198378439332426</v>
      </c>
      <c r="H35">
        <f t="shared" si="21"/>
        <v>0.21881576642610134</v>
      </c>
      <c r="I35">
        <f t="shared" si="21"/>
        <v>0.23083861073522782</v>
      </c>
      <c r="J35">
        <f t="shared" si="21"/>
        <v>0.23805231732070367</v>
      </c>
      <c r="K35">
        <f t="shared" si="21"/>
        <v>0.24045688618252894</v>
      </c>
    </row>
    <row r="36" spans="1:12" x14ac:dyDescent="0.3">
      <c r="A36" t="s">
        <v>49</v>
      </c>
      <c r="B36" s="9">
        <f>(B1*B2*B2)/(4*B3*B4)</f>
        <v>5.0632911392405064E-3</v>
      </c>
      <c r="C36">
        <f t="shared" ref="C36:K36" si="22">(C1*C2*C2)/(4*C3*C4)</f>
        <v>5.0632911392405064E-3</v>
      </c>
      <c r="D36">
        <f t="shared" si="22"/>
        <v>5.0632911392405064E-3</v>
      </c>
      <c r="E36">
        <f t="shared" si="22"/>
        <v>5.0632911392405064E-3</v>
      </c>
      <c r="F36">
        <f t="shared" si="22"/>
        <v>5.0632911392405064E-3</v>
      </c>
      <c r="G36">
        <f t="shared" si="22"/>
        <v>5.0632911392405064E-3</v>
      </c>
      <c r="H36">
        <f t="shared" si="22"/>
        <v>5.0632911392405064E-3</v>
      </c>
      <c r="I36">
        <f t="shared" si="22"/>
        <v>5.0632911392405064E-3</v>
      </c>
      <c r="J36">
        <f t="shared" si="22"/>
        <v>5.0632911392405064E-3</v>
      </c>
      <c r="K36">
        <f t="shared" si="22"/>
        <v>5.0632911392405064E-3</v>
      </c>
    </row>
    <row r="38" spans="1:12" x14ac:dyDescent="0.3">
      <c r="A38" t="s">
        <v>89</v>
      </c>
      <c r="B38" s="9">
        <f>(1-B10)*(B33-B32-B31)</f>
        <v>-9.6633872434571718E-3</v>
      </c>
      <c r="C38">
        <f t="shared" ref="C38:K38" si="23">(1-C10)*(C33-C32-C31)</f>
        <v>-1.4248781664173702E-2</v>
      </c>
      <c r="D38">
        <f t="shared" si="23"/>
        <v>-1.5482685616513418E-2</v>
      </c>
      <c r="E38">
        <f t="shared" si="23"/>
        <v>-1.4636733651662352E-2</v>
      </c>
      <c r="F38">
        <f t="shared" si="23"/>
        <v>-1.2648256853532814E-2</v>
      </c>
      <c r="G38">
        <f t="shared" si="23"/>
        <v>-1.0197608833264643E-2</v>
      </c>
      <c r="H38">
        <f t="shared" si="23"/>
        <v>-7.7726058384698128E-3</v>
      </c>
      <c r="I38">
        <f t="shared" si="23"/>
        <v>-5.7221045185243844E-3</v>
      </c>
      <c r="J38">
        <f t="shared" si="23"/>
        <v>-4.3468059946745706E-3</v>
      </c>
      <c r="K38">
        <f t="shared" si="23"/>
        <v>-3.8598070344828205E-3</v>
      </c>
    </row>
    <row r="39" spans="1:12" x14ac:dyDescent="0.3">
      <c r="A39" t="s">
        <v>90</v>
      </c>
      <c r="B39" s="9">
        <f>(B35-B34-B38)</f>
        <v>5.5559489811925124E-3</v>
      </c>
      <c r="C39">
        <f t="shared" ref="C39:K39" si="24">(C35-C34-C38)</f>
        <v>1.14935719415499E-2</v>
      </c>
      <c r="D39">
        <f t="shared" si="24"/>
        <v>1.7580051553159795E-2</v>
      </c>
      <c r="E39">
        <f t="shared" si="24"/>
        <v>2.3521580770689391E-2</v>
      </c>
      <c r="F39">
        <f t="shared" si="24"/>
        <v>2.9050358012253519E-2</v>
      </c>
      <c r="G39">
        <f t="shared" si="24"/>
        <v>3.3895610829634541E-2</v>
      </c>
      <c r="H39">
        <f t="shared" si="24"/>
        <v>3.7817823777994863E-2</v>
      </c>
      <c r="I39">
        <f t="shared" si="24"/>
        <v>4.0639936744477481E-2</v>
      </c>
      <c r="J39">
        <f t="shared" si="24"/>
        <v>4.2338149018312593E-2</v>
      </c>
      <c r="K39">
        <f t="shared" si="24"/>
        <v>4.2901763000155017E-2</v>
      </c>
    </row>
    <row r="41" spans="1:12" x14ac:dyDescent="0.3">
      <c r="A41" t="s">
        <v>88</v>
      </c>
      <c r="B41" s="9">
        <f>B36*B39</f>
        <v>2.8131387246544366E-5</v>
      </c>
      <c r="C41" s="9">
        <f t="shared" ref="C41:K41" si="25">C36*C39</f>
        <v>5.8195300969872913E-5</v>
      </c>
      <c r="D41" s="9">
        <f t="shared" si="25"/>
        <v>8.9012919256505288E-5</v>
      </c>
      <c r="E41" s="9">
        <f t="shared" si="25"/>
        <v>1.1909661149716147E-4</v>
      </c>
      <c r="F41" s="9">
        <f t="shared" si="25"/>
        <v>1.4709042031520769E-4</v>
      </c>
      <c r="G41" s="9">
        <f t="shared" si="25"/>
        <v>1.7162334597283313E-4</v>
      </c>
      <c r="H41" s="9">
        <f t="shared" si="25"/>
        <v>1.9148265204048032E-4</v>
      </c>
      <c r="I41" s="9">
        <f t="shared" si="25"/>
        <v>2.0577183161760751E-4</v>
      </c>
      <c r="J41" s="9">
        <f t="shared" si="25"/>
        <v>2.143703747762663E-4</v>
      </c>
      <c r="K41" s="9">
        <f t="shared" si="25"/>
        <v>2.1722411645648112E-4</v>
      </c>
      <c r="L41" s="9">
        <f>K41/B41</f>
        <v>7.7217705103812371</v>
      </c>
    </row>
    <row r="42" spans="1:12" x14ac:dyDescent="0.3">
      <c r="A42" t="s">
        <v>87</v>
      </c>
      <c r="B42" s="9">
        <f>0.0001246</f>
        <v>1.2459999999999999E-4</v>
      </c>
      <c r="C42" s="9">
        <f t="shared" ref="C42:K42" si="26">0.0001246</f>
        <v>1.2459999999999999E-4</v>
      </c>
      <c r="D42" s="9">
        <f t="shared" si="26"/>
        <v>1.2459999999999999E-4</v>
      </c>
      <c r="E42" s="9">
        <f t="shared" si="26"/>
        <v>1.2459999999999999E-4</v>
      </c>
      <c r="F42" s="9">
        <f t="shared" si="26"/>
        <v>1.2459999999999999E-4</v>
      </c>
      <c r="G42" s="9">
        <f t="shared" si="26"/>
        <v>1.2459999999999999E-4</v>
      </c>
      <c r="H42" s="9">
        <f t="shared" si="26"/>
        <v>1.2459999999999999E-4</v>
      </c>
      <c r="I42" s="9">
        <f t="shared" si="26"/>
        <v>1.2459999999999999E-4</v>
      </c>
      <c r="J42" s="9">
        <f t="shared" si="26"/>
        <v>1.2459999999999999E-4</v>
      </c>
      <c r="K42" s="9">
        <f t="shared" si="26"/>
        <v>1.2459999999999999E-4</v>
      </c>
    </row>
    <row r="43" spans="1:12" x14ac:dyDescent="0.3">
      <c r="C43" s="9"/>
      <c r="D43" s="9"/>
      <c r="E43" s="9"/>
      <c r="F43" s="9"/>
      <c r="G43" s="9"/>
      <c r="H43" s="9"/>
      <c r="I43" s="9"/>
      <c r="J43" s="9"/>
      <c r="K43" s="9"/>
    </row>
    <row r="44" spans="1:12" x14ac:dyDescent="0.3">
      <c r="A44" t="s">
        <v>37</v>
      </c>
      <c r="B44" s="9">
        <f>B41/B42</f>
        <v>0.22577357340725818</v>
      </c>
      <c r="C44" s="9">
        <f t="shared" ref="C44:K44" si="27">C41/C42</f>
        <v>0.46705699012739099</v>
      </c>
      <c r="D44" s="9">
        <f t="shared" si="27"/>
        <v>0.71438940013246621</v>
      </c>
      <c r="E44" s="9">
        <f t="shared" si="27"/>
        <v>0.9558315529467214</v>
      </c>
      <c r="F44" s="9">
        <f t="shared" si="27"/>
        <v>1.1805009656116188</v>
      </c>
      <c r="G44" s="9">
        <f t="shared" si="27"/>
        <v>1.3773944299585323</v>
      </c>
      <c r="H44" s="9">
        <f t="shared" si="27"/>
        <v>1.5367789088321053</v>
      </c>
      <c r="I44" s="9">
        <f t="shared" si="27"/>
        <v>1.6514593227737362</v>
      </c>
      <c r="J44" s="9">
        <f t="shared" si="27"/>
        <v>1.7204684974018163</v>
      </c>
      <c r="K44" s="9">
        <f t="shared" si="27"/>
        <v>1.7433717211595596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31" zoomScale="190" zoomScaleNormal="190" workbookViewId="0">
      <selection activeCell="B16" sqref="B16"/>
    </sheetView>
  </sheetViews>
  <sheetFormatPr defaultRowHeight="14.4" x14ac:dyDescent="0.3"/>
  <cols>
    <col min="1" max="1" width="26.33203125" customWidth="1"/>
    <col min="2" max="2" width="12" bestFit="1" customWidth="1"/>
  </cols>
  <sheetData>
    <row r="1" spans="1:11" x14ac:dyDescent="0.3">
      <c r="A1" t="s">
        <v>45</v>
      </c>
      <c r="B1" s="13">
        <v>37.5</v>
      </c>
      <c r="C1" s="13">
        <v>37.5</v>
      </c>
      <c r="D1" s="13">
        <v>37.5</v>
      </c>
      <c r="E1" s="13">
        <v>37.5</v>
      </c>
      <c r="F1" s="13">
        <v>37.5</v>
      </c>
      <c r="G1" s="13">
        <v>37.5</v>
      </c>
      <c r="H1" s="13">
        <v>37.5</v>
      </c>
      <c r="I1" s="13">
        <v>37.5</v>
      </c>
      <c r="J1" s="13">
        <v>37.5</v>
      </c>
      <c r="K1" s="13">
        <v>37.5</v>
      </c>
    </row>
    <row r="2" spans="1:11" x14ac:dyDescent="0.3">
      <c r="A2" t="s">
        <v>27</v>
      </c>
      <c r="B2" s="13">
        <v>180</v>
      </c>
      <c r="C2" s="13">
        <v>180</v>
      </c>
      <c r="D2" s="13">
        <v>180</v>
      </c>
      <c r="E2" s="13">
        <v>180</v>
      </c>
      <c r="F2" s="13">
        <v>180</v>
      </c>
      <c r="G2" s="13">
        <v>180</v>
      </c>
      <c r="H2" s="13">
        <v>180</v>
      </c>
      <c r="I2" s="13">
        <v>180</v>
      </c>
      <c r="J2" s="13">
        <v>180</v>
      </c>
      <c r="K2" s="13">
        <v>180</v>
      </c>
    </row>
    <row r="3" spans="1:11" x14ac:dyDescent="0.3">
      <c r="A3" t="s">
        <v>26</v>
      </c>
      <c r="B3" s="13">
        <v>4.6950000000000003</v>
      </c>
      <c r="C3" s="13">
        <v>4.6950000000000003</v>
      </c>
      <c r="D3" s="13">
        <v>4.6950000000000003</v>
      </c>
      <c r="E3" s="13">
        <v>4.6950000000000003</v>
      </c>
      <c r="F3" s="13">
        <v>4.6950000000000003</v>
      </c>
      <c r="G3" s="13">
        <v>4.6950000000000003</v>
      </c>
      <c r="H3" s="13">
        <v>4.6950000000000003</v>
      </c>
      <c r="I3" s="13">
        <v>4.6950000000000003</v>
      </c>
      <c r="J3" s="13">
        <v>4.6950000000000003</v>
      </c>
      <c r="K3" s="13">
        <v>4.6950000000000003</v>
      </c>
    </row>
    <row r="4" spans="1:11" x14ac:dyDescent="0.3">
      <c r="A4" t="s">
        <v>44</v>
      </c>
      <c r="B4" s="13">
        <v>1200</v>
      </c>
      <c r="C4" s="13">
        <v>1200</v>
      </c>
      <c r="D4" s="13">
        <v>1200</v>
      </c>
      <c r="E4" s="13">
        <v>1200</v>
      </c>
      <c r="F4" s="13">
        <v>1200</v>
      </c>
      <c r="G4" s="13">
        <v>1200</v>
      </c>
      <c r="H4" s="13">
        <v>1200</v>
      </c>
      <c r="I4" s="13">
        <v>1200</v>
      </c>
      <c r="J4" s="13">
        <v>1200</v>
      </c>
      <c r="K4" s="13">
        <v>1200</v>
      </c>
    </row>
    <row r="5" spans="1:11" x14ac:dyDescent="0.3">
      <c r="A5" t="s">
        <v>11</v>
      </c>
      <c r="B5" s="13">
        <v>2000000</v>
      </c>
      <c r="C5" s="13">
        <v>2000000</v>
      </c>
      <c r="D5" s="13">
        <v>2000000</v>
      </c>
      <c r="E5" s="13">
        <v>2000000</v>
      </c>
      <c r="F5" s="13">
        <v>2000000</v>
      </c>
      <c r="G5" s="13">
        <v>2000000</v>
      </c>
      <c r="H5" s="13">
        <v>2000000</v>
      </c>
      <c r="I5" s="13">
        <v>2000000</v>
      </c>
      <c r="J5" s="13">
        <v>2000000</v>
      </c>
      <c r="K5" s="13">
        <v>2000000</v>
      </c>
    </row>
    <row r="6" spans="1:11" x14ac:dyDescent="0.3">
      <c r="A6" t="s">
        <v>13</v>
      </c>
      <c r="B6" s="13">
        <v>6399</v>
      </c>
      <c r="C6" s="13">
        <v>6399</v>
      </c>
      <c r="D6" s="13">
        <v>6399</v>
      </c>
      <c r="E6" s="13">
        <v>6399</v>
      </c>
      <c r="F6" s="13">
        <v>6399</v>
      </c>
      <c r="G6" s="13">
        <v>6399</v>
      </c>
      <c r="H6" s="13">
        <v>6399</v>
      </c>
      <c r="I6" s="13">
        <v>6399</v>
      </c>
      <c r="J6" s="13">
        <v>6399</v>
      </c>
      <c r="K6" s="13">
        <v>6399</v>
      </c>
    </row>
    <row r="7" spans="1:11" x14ac:dyDescent="0.3">
      <c r="A7" t="s">
        <v>30</v>
      </c>
      <c r="B7">
        <f>B3-1</f>
        <v>3.6950000000000003</v>
      </c>
      <c r="C7">
        <f>C3-1</f>
        <v>3.6950000000000003</v>
      </c>
      <c r="D7">
        <f t="shared" ref="D7:J7" si="0">D3-1</f>
        <v>3.6950000000000003</v>
      </c>
      <c r="E7">
        <f t="shared" si="0"/>
        <v>3.6950000000000003</v>
      </c>
      <c r="F7">
        <f t="shared" si="0"/>
        <v>3.6950000000000003</v>
      </c>
      <c r="G7">
        <f t="shared" si="0"/>
        <v>3.6950000000000003</v>
      </c>
      <c r="H7">
        <f t="shared" si="0"/>
        <v>3.6950000000000003</v>
      </c>
      <c r="I7">
        <f t="shared" si="0"/>
        <v>3.6950000000000003</v>
      </c>
      <c r="J7">
        <f t="shared" si="0"/>
        <v>3.6950000000000003</v>
      </c>
      <c r="K7">
        <f>K3-1</f>
        <v>3.6950000000000003</v>
      </c>
    </row>
    <row r="8" spans="1:11" x14ac:dyDescent="0.3">
      <c r="A8" t="s">
        <v>102</v>
      </c>
      <c r="B8">
        <f>B1/B2</f>
        <v>0.20833333333333334</v>
      </c>
      <c r="C8">
        <f>C1/C2</f>
        <v>0.20833333333333334</v>
      </c>
      <c r="D8">
        <f t="shared" ref="D8:J8" si="1">D1/D2</f>
        <v>0.20833333333333334</v>
      </c>
      <c r="E8">
        <f t="shared" si="1"/>
        <v>0.20833333333333334</v>
      </c>
      <c r="F8">
        <f t="shared" si="1"/>
        <v>0.20833333333333334</v>
      </c>
      <c r="G8">
        <f t="shared" si="1"/>
        <v>0.20833333333333334</v>
      </c>
      <c r="H8">
        <f t="shared" si="1"/>
        <v>0.20833333333333334</v>
      </c>
      <c r="I8">
        <f t="shared" si="1"/>
        <v>0.20833333333333334</v>
      </c>
      <c r="J8">
        <f t="shared" si="1"/>
        <v>0.20833333333333334</v>
      </c>
      <c r="K8">
        <f>K1/K2</f>
        <v>0.20833333333333334</v>
      </c>
    </row>
    <row r="9" spans="1:11" x14ac:dyDescent="0.3">
      <c r="A9" t="s">
        <v>103</v>
      </c>
      <c r="B9">
        <f>1/(B7)</f>
        <v>0.2706359945872801</v>
      </c>
      <c r="C9">
        <f>1/(C7)</f>
        <v>0.2706359945872801</v>
      </c>
      <c r="D9">
        <f t="shared" ref="D9:J9" si="2">1/(D7)</f>
        <v>0.2706359945872801</v>
      </c>
      <c r="E9">
        <f t="shared" si="2"/>
        <v>0.2706359945872801</v>
      </c>
      <c r="F9">
        <f t="shared" si="2"/>
        <v>0.2706359945872801</v>
      </c>
      <c r="G9">
        <f t="shared" si="2"/>
        <v>0.2706359945872801</v>
      </c>
      <c r="H9">
        <f t="shared" si="2"/>
        <v>0.2706359945872801</v>
      </c>
      <c r="I9">
        <f t="shared" si="2"/>
        <v>0.2706359945872801</v>
      </c>
      <c r="J9">
        <f t="shared" si="2"/>
        <v>0.2706359945872801</v>
      </c>
      <c r="K9">
        <f>1/(K7)</f>
        <v>0.2706359945872801</v>
      </c>
    </row>
    <row r="10" spans="1:11" x14ac:dyDescent="0.3">
      <c r="A10" t="s">
        <v>47</v>
      </c>
      <c r="B10">
        <v>1</v>
      </c>
      <c r="C10">
        <v>0.8</v>
      </c>
      <c r="D10">
        <v>0.7</v>
      </c>
      <c r="E10">
        <v>0.6</v>
      </c>
      <c r="F10">
        <v>0.5</v>
      </c>
      <c r="G10">
        <v>0.4</v>
      </c>
      <c r="H10">
        <v>0.3</v>
      </c>
      <c r="I10">
        <v>0.2</v>
      </c>
      <c r="J10">
        <v>0.1</v>
      </c>
      <c r="K10">
        <v>0</v>
      </c>
    </row>
    <row r="11" spans="1:11" x14ac:dyDescent="0.3">
      <c r="A11" t="s">
        <v>100</v>
      </c>
      <c r="B11">
        <f>1-B10^2</f>
        <v>0</v>
      </c>
      <c r="C11">
        <f>1-C10^2</f>
        <v>0.35999999999999988</v>
      </c>
      <c r="D11">
        <f t="shared" ref="D11:K11" si="3">1-D10^2</f>
        <v>0.51</v>
      </c>
      <c r="E11">
        <f t="shared" si="3"/>
        <v>0.64</v>
      </c>
      <c r="F11">
        <f t="shared" si="3"/>
        <v>0.75</v>
      </c>
      <c r="G11">
        <f t="shared" si="3"/>
        <v>0.84</v>
      </c>
      <c r="H11">
        <f t="shared" si="3"/>
        <v>0.91</v>
      </c>
      <c r="I11">
        <f t="shared" si="3"/>
        <v>0.96</v>
      </c>
      <c r="J11">
        <f t="shared" si="3"/>
        <v>0.99</v>
      </c>
      <c r="K11">
        <f t="shared" si="3"/>
        <v>1</v>
      </c>
    </row>
    <row r="12" spans="1:11" x14ac:dyDescent="0.3">
      <c r="A12" t="s">
        <v>101</v>
      </c>
      <c r="B12">
        <f>B11/2</f>
        <v>0</v>
      </c>
      <c r="C12">
        <f>C11/2</f>
        <v>0.17999999999999994</v>
      </c>
      <c r="D12">
        <f t="shared" ref="D12:K12" si="4">D11/2</f>
        <v>0.255</v>
      </c>
      <c r="E12">
        <f t="shared" si="4"/>
        <v>0.32</v>
      </c>
      <c r="F12">
        <f t="shared" si="4"/>
        <v>0.375</v>
      </c>
      <c r="G12">
        <f t="shared" si="4"/>
        <v>0.42</v>
      </c>
      <c r="H12">
        <f t="shared" si="4"/>
        <v>0.45500000000000002</v>
      </c>
      <c r="I12">
        <f t="shared" si="4"/>
        <v>0.48</v>
      </c>
      <c r="J12">
        <f t="shared" si="4"/>
        <v>0.495</v>
      </c>
      <c r="K12">
        <f t="shared" si="4"/>
        <v>0.5</v>
      </c>
    </row>
    <row r="13" spans="1:11" x14ac:dyDescent="0.3">
      <c r="A13" t="s">
        <v>51</v>
      </c>
      <c r="B13">
        <f>(B8+B9)*B12</f>
        <v>0</v>
      </c>
      <c r="C13">
        <f>(C8+C9)*C12</f>
        <v>8.6214479025710389E-2</v>
      </c>
      <c r="D13">
        <f t="shared" ref="D13:K13" si="5">(D8+D9)*D12</f>
        <v>0.12213717861975643</v>
      </c>
      <c r="E13">
        <f t="shared" si="5"/>
        <v>0.15327018493459629</v>
      </c>
      <c r="F13">
        <f t="shared" si="5"/>
        <v>0.17961349797023002</v>
      </c>
      <c r="G13">
        <f t="shared" si="5"/>
        <v>0.20116711772665763</v>
      </c>
      <c r="H13">
        <f t="shared" si="5"/>
        <v>0.21793104420387913</v>
      </c>
      <c r="I13">
        <f t="shared" si="5"/>
        <v>0.22990527740189443</v>
      </c>
      <c r="J13">
        <f t="shared" si="5"/>
        <v>0.23708981732070364</v>
      </c>
      <c r="K13">
        <f t="shared" si="5"/>
        <v>0.23948466396030671</v>
      </c>
    </row>
    <row r="14" spans="1:11" x14ac:dyDescent="0.3">
      <c r="A14" t="s">
        <v>46</v>
      </c>
      <c r="B14">
        <v>150</v>
      </c>
      <c r="C14">
        <v>100.2</v>
      </c>
      <c r="D14">
        <v>72.36</v>
      </c>
      <c r="E14">
        <v>29.4</v>
      </c>
      <c r="F14">
        <v>-6</v>
      </c>
      <c r="G14">
        <v>-41.4</v>
      </c>
      <c r="H14">
        <v>-76.8</v>
      </c>
      <c r="I14">
        <v>-112.2</v>
      </c>
      <c r="J14">
        <v>-147.6</v>
      </c>
      <c r="K14">
        <v>-146.6</v>
      </c>
    </row>
    <row r="15" spans="1:11" x14ac:dyDescent="0.3">
      <c r="A15" t="s">
        <v>104</v>
      </c>
      <c r="B15">
        <f>B14/B2</f>
        <v>0.83333333333333337</v>
      </c>
      <c r="C15">
        <f>C14/C2</f>
        <v>0.55666666666666664</v>
      </c>
      <c r="D15">
        <f t="shared" ref="D15:K15" si="6">D14/D2</f>
        <v>0.40200000000000002</v>
      </c>
      <c r="E15">
        <f t="shared" si="6"/>
        <v>0.16333333333333333</v>
      </c>
      <c r="F15">
        <f t="shared" si="6"/>
        <v>-3.3333333333333333E-2</v>
      </c>
      <c r="G15">
        <f t="shared" si="6"/>
        <v>-0.22999999999999998</v>
      </c>
      <c r="H15">
        <f t="shared" si="6"/>
        <v>-0.42666666666666664</v>
      </c>
      <c r="I15">
        <f t="shared" si="6"/>
        <v>-0.62333333333333329</v>
      </c>
      <c r="J15">
        <f t="shared" si="6"/>
        <v>-0.82</v>
      </c>
      <c r="K15">
        <f t="shared" si="6"/>
        <v>-0.81444444444444442</v>
      </c>
    </row>
    <row r="16" spans="1:11" x14ac:dyDescent="0.3">
      <c r="A16" t="s">
        <v>28</v>
      </c>
      <c r="B16">
        <v>2.2290000000000001</v>
      </c>
      <c r="C16">
        <v>2.2290000000000001</v>
      </c>
      <c r="D16">
        <v>2.2290000000000001</v>
      </c>
      <c r="E16">
        <v>2.2290000000000001</v>
      </c>
      <c r="F16">
        <v>2.2290000000000001</v>
      </c>
      <c r="G16">
        <v>2.2290000000000001</v>
      </c>
      <c r="H16">
        <v>2.2290000000000001</v>
      </c>
      <c r="I16">
        <v>2.2290000000000001</v>
      </c>
      <c r="J16">
        <v>2.2290000000000001</v>
      </c>
      <c r="K16">
        <v>3.2290000000000001</v>
      </c>
    </row>
    <row r="17" spans="1:11" x14ac:dyDescent="0.3">
      <c r="A17" t="s">
        <v>105</v>
      </c>
      <c r="B17">
        <f>B16^2</f>
        <v>4.9684410000000003</v>
      </c>
      <c r="C17">
        <f>C16^2</f>
        <v>4.9684410000000003</v>
      </c>
      <c r="D17">
        <f t="shared" ref="D17:K17" si="7">D16^2</f>
        <v>4.9684410000000003</v>
      </c>
      <c r="E17">
        <f t="shared" si="7"/>
        <v>4.9684410000000003</v>
      </c>
      <c r="F17">
        <f t="shared" si="7"/>
        <v>4.9684410000000003</v>
      </c>
      <c r="G17">
        <f t="shared" si="7"/>
        <v>4.9684410000000003</v>
      </c>
      <c r="H17">
        <f t="shared" si="7"/>
        <v>4.9684410000000003</v>
      </c>
      <c r="I17">
        <f t="shared" si="7"/>
        <v>4.9684410000000003</v>
      </c>
      <c r="J17">
        <f t="shared" si="7"/>
        <v>4.9684410000000003</v>
      </c>
      <c r="K17">
        <f t="shared" si="7"/>
        <v>10.426441000000001</v>
      </c>
    </row>
    <row r="18" spans="1:11" x14ac:dyDescent="0.3">
      <c r="A18" t="s">
        <v>106</v>
      </c>
      <c r="B18">
        <f>1/B17</f>
        <v>0.2012703783742224</v>
      </c>
      <c r="C18">
        <f>1/C17</f>
        <v>0.2012703783742224</v>
      </c>
      <c r="D18">
        <f t="shared" ref="D18:K18" si="8">1/D17</f>
        <v>0.2012703783742224</v>
      </c>
      <c r="E18">
        <f t="shared" si="8"/>
        <v>0.2012703783742224</v>
      </c>
      <c r="F18">
        <f t="shared" si="8"/>
        <v>0.2012703783742224</v>
      </c>
      <c r="G18">
        <f t="shared" si="8"/>
        <v>0.2012703783742224</v>
      </c>
      <c r="H18">
        <f t="shared" si="8"/>
        <v>0.2012703783742224</v>
      </c>
      <c r="I18">
        <f t="shared" si="8"/>
        <v>0.2012703783742224</v>
      </c>
      <c r="J18">
        <f t="shared" si="8"/>
        <v>0.2012703783742224</v>
      </c>
      <c r="K18">
        <f t="shared" si="8"/>
        <v>9.5910004190308082E-2</v>
      </c>
    </row>
    <row r="19" spans="1:11" x14ac:dyDescent="0.3">
      <c r="A19" t="s">
        <v>52</v>
      </c>
      <c r="B19">
        <f>B18*(1-B15)</f>
        <v>3.3545063062370394E-2</v>
      </c>
      <c r="C19">
        <f>C18*(1-C15)</f>
        <v>8.9229867745905272E-2</v>
      </c>
      <c r="D19">
        <f t="shared" ref="D19:K19" si="9">D18*(1-D15)</f>
        <v>0.120359686267785</v>
      </c>
      <c r="E19">
        <f t="shared" si="9"/>
        <v>0.16839621657309942</v>
      </c>
      <c r="F19">
        <f t="shared" si="9"/>
        <v>0.20797939098669652</v>
      </c>
      <c r="G19">
        <f t="shared" si="9"/>
        <v>0.24756256540029356</v>
      </c>
      <c r="H19">
        <f t="shared" si="9"/>
        <v>0.28714573981389063</v>
      </c>
      <c r="I19">
        <f t="shared" si="9"/>
        <v>0.32672891422748768</v>
      </c>
      <c r="J19">
        <f t="shared" si="9"/>
        <v>0.36631208864108472</v>
      </c>
      <c r="K19">
        <f t="shared" si="9"/>
        <v>0.17402337426974787</v>
      </c>
    </row>
    <row r="20" spans="1:11" x14ac:dyDescent="0.3">
      <c r="A20" t="s">
        <v>17</v>
      </c>
      <c r="B20">
        <v>0.33900000000000002</v>
      </c>
      <c r="C20">
        <v>0.33900000000000002</v>
      </c>
      <c r="D20">
        <v>0.33900000000000002</v>
      </c>
      <c r="E20">
        <v>0.33900000000000002</v>
      </c>
      <c r="F20">
        <v>0.33900000000000002</v>
      </c>
      <c r="G20">
        <v>0.33900000000000002</v>
      </c>
      <c r="H20">
        <v>0.33900000000000002</v>
      </c>
      <c r="I20">
        <v>0.33900000000000002</v>
      </c>
      <c r="J20">
        <v>0.33900000000000002</v>
      </c>
      <c r="K20">
        <v>1.339</v>
      </c>
    </row>
    <row r="21" spans="1:11" x14ac:dyDescent="0.3">
      <c r="A21" t="s">
        <v>107</v>
      </c>
      <c r="B21">
        <f>1-B20</f>
        <v>0.66100000000000003</v>
      </c>
      <c r="C21">
        <f>1-C20</f>
        <v>0.66100000000000003</v>
      </c>
      <c r="D21">
        <f t="shared" ref="D21:K21" si="10">1-D20</f>
        <v>0.66100000000000003</v>
      </c>
      <c r="E21">
        <f t="shared" si="10"/>
        <v>0.66100000000000003</v>
      </c>
      <c r="F21">
        <f t="shared" si="10"/>
        <v>0.66100000000000003</v>
      </c>
      <c r="G21">
        <f t="shared" si="10"/>
        <v>0.66100000000000003</v>
      </c>
      <c r="H21">
        <f t="shared" si="10"/>
        <v>0.66100000000000003</v>
      </c>
      <c r="I21">
        <f t="shared" si="10"/>
        <v>0.66100000000000003</v>
      </c>
      <c r="J21">
        <f t="shared" si="10"/>
        <v>0.66100000000000003</v>
      </c>
      <c r="K21">
        <f t="shared" si="10"/>
        <v>-0.33899999999999997</v>
      </c>
    </row>
    <row r="22" spans="1:11" x14ac:dyDescent="0.3">
      <c r="A22" t="s">
        <v>53</v>
      </c>
      <c r="B22">
        <f>(B8+B9)*(B11/6)</f>
        <v>0</v>
      </c>
      <c r="C22">
        <f>(C8+C9)*(C11/6)</f>
        <v>2.8738159675236793E-2</v>
      </c>
      <c r="D22">
        <f t="shared" ref="D22:J22" si="11">(D8+D9)*(D11/6)</f>
        <v>4.0712392873252144E-2</v>
      </c>
      <c r="E22">
        <f t="shared" si="11"/>
        <v>5.1090061644865438E-2</v>
      </c>
      <c r="F22">
        <f t="shared" si="11"/>
        <v>5.9871165990076677E-2</v>
      </c>
      <c r="G22">
        <f t="shared" si="11"/>
        <v>6.7055705908885876E-2</v>
      </c>
      <c r="H22">
        <f t="shared" si="11"/>
        <v>7.2643681401293042E-2</v>
      </c>
      <c r="I22">
        <f t="shared" si="11"/>
        <v>7.6635092467298147E-2</v>
      </c>
      <c r="J22">
        <f t="shared" si="11"/>
        <v>7.9029939106901217E-2</v>
      </c>
      <c r="K22">
        <f>(K8+K9)*(K11/6)</f>
        <v>7.9828221320102227E-2</v>
      </c>
    </row>
    <row r="23" spans="1:11" x14ac:dyDescent="0.3">
      <c r="A23" t="s">
        <v>108</v>
      </c>
      <c r="B23">
        <f>B10*(B14/B2)</f>
        <v>0.83333333333333337</v>
      </c>
      <c r="C23">
        <f>C10*(C14/C2)</f>
        <v>0.44533333333333336</v>
      </c>
      <c r="D23">
        <f t="shared" ref="D23:J23" si="12">D10*(D14/D2)</f>
        <v>0.28139999999999998</v>
      </c>
      <c r="E23">
        <f t="shared" si="12"/>
        <v>9.799999999999999E-2</v>
      </c>
      <c r="F23">
        <f t="shared" si="12"/>
        <v>-1.6666666666666666E-2</v>
      </c>
      <c r="G23">
        <f t="shared" si="12"/>
        <v>-9.1999999999999998E-2</v>
      </c>
      <c r="H23">
        <f t="shared" si="12"/>
        <v>-0.12799999999999997</v>
      </c>
      <c r="I23">
        <f t="shared" si="12"/>
        <v>-0.12466666666666666</v>
      </c>
      <c r="J23">
        <f t="shared" si="12"/>
        <v>-8.2000000000000003E-2</v>
      </c>
      <c r="K23">
        <f>K10*(K14/K2)</f>
        <v>0</v>
      </c>
    </row>
    <row r="24" spans="1:11" x14ac:dyDescent="0.3">
      <c r="A24" t="s">
        <v>54</v>
      </c>
      <c r="B24">
        <f>B18*(1-B23)</f>
        <v>3.3545063062370394E-2</v>
      </c>
      <c r="C24">
        <f>C18*(1-C23)</f>
        <v>0.11163796987156868</v>
      </c>
      <c r="D24">
        <f t="shared" ref="D24:K24" si="13">D18*(1-D23)</f>
        <v>0.14463289389971623</v>
      </c>
      <c r="E24">
        <f t="shared" si="13"/>
        <v>0.18154588129354862</v>
      </c>
      <c r="F24">
        <f t="shared" si="13"/>
        <v>0.20462488468045942</v>
      </c>
      <c r="G24">
        <f t="shared" si="13"/>
        <v>0.21978725318465089</v>
      </c>
      <c r="H24">
        <f t="shared" si="13"/>
        <v>0.22703298680612286</v>
      </c>
      <c r="I24">
        <f t="shared" si="13"/>
        <v>0.22636208554487547</v>
      </c>
      <c r="J24">
        <f t="shared" si="13"/>
        <v>0.21777454940090865</v>
      </c>
      <c r="K24">
        <f t="shared" si="13"/>
        <v>9.5910004190308082E-2</v>
      </c>
    </row>
    <row r="25" spans="1:11" x14ac:dyDescent="0.3">
      <c r="A25" t="s">
        <v>109</v>
      </c>
      <c r="B25">
        <f>2/(B17*B7)</f>
        <v>0.10894201806453173</v>
      </c>
      <c r="C25">
        <f>2/(C17*C7)</f>
        <v>0.10894201806453173</v>
      </c>
      <c r="D25">
        <f t="shared" ref="D25:J25" si="14">2/(D17*D7)</f>
        <v>0.10894201806453173</v>
      </c>
      <c r="E25">
        <f t="shared" si="14"/>
        <v>0.10894201806453173</v>
      </c>
      <c r="F25">
        <f t="shared" si="14"/>
        <v>0.10894201806453173</v>
      </c>
      <c r="G25">
        <f t="shared" si="14"/>
        <v>0.10894201806453173</v>
      </c>
      <c r="H25">
        <f t="shared" si="14"/>
        <v>0.10894201806453173</v>
      </c>
      <c r="I25">
        <f t="shared" si="14"/>
        <v>0.10894201806453173</v>
      </c>
      <c r="J25">
        <f t="shared" si="14"/>
        <v>0.10894201806453173</v>
      </c>
      <c r="K25">
        <f>2/(K17*K7)</f>
        <v>5.1913398749828456E-2</v>
      </c>
    </row>
    <row r="26" spans="1:11" x14ac:dyDescent="0.3">
      <c r="A26" t="s">
        <v>31</v>
      </c>
      <c r="B26">
        <f>SQRT(B3^2-1)</f>
        <v>4.5872677052903725</v>
      </c>
      <c r="C26">
        <f>SQRT(C3^2-1)</f>
        <v>4.5872677052903725</v>
      </c>
      <c r="D26">
        <f t="shared" ref="D26:J26" si="15">SQRT(D3^2-1)</f>
        <v>4.5872677052903725</v>
      </c>
      <c r="E26">
        <f t="shared" si="15"/>
        <v>4.5872677052903725</v>
      </c>
      <c r="F26">
        <f t="shared" si="15"/>
        <v>4.5872677052903725</v>
      </c>
      <c r="G26">
        <f t="shared" si="15"/>
        <v>4.5872677052903725</v>
      </c>
      <c r="H26">
        <f t="shared" si="15"/>
        <v>4.5872677052903725</v>
      </c>
      <c r="I26">
        <f t="shared" si="15"/>
        <v>4.5872677052903725</v>
      </c>
      <c r="J26">
        <f t="shared" si="15"/>
        <v>4.5872677052903725</v>
      </c>
      <c r="K26">
        <f>SQRT(K3^2-1)</f>
        <v>4.5872677052903725</v>
      </c>
    </row>
    <row r="27" spans="1:11" x14ac:dyDescent="0.3">
      <c r="A27" t="s">
        <v>110</v>
      </c>
      <c r="B27">
        <f>B26/B16</f>
        <v>2.0579935869404991</v>
      </c>
      <c r="C27">
        <f>C26/C16</f>
        <v>2.0579935869404991</v>
      </c>
      <c r="D27">
        <f t="shared" ref="D27:K27" si="16">D26/D16</f>
        <v>2.0579935869404991</v>
      </c>
      <c r="E27">
        <f t="shared" si="16"/>
        <v>2.0579935869404991</v>
      </c>
      <c r="F27">
        <f t="shared" si="16"/>
        <v>2.0579935869404991</v>
      </c>
      <c r="G27">
        <f t="shared" si="16"/>
        <v>2.0579935869404991</v>
      </c>
      <c r="H27">
        <f t="shared" si="16"/>
        <v>2.0579935869404991</v>
      </c>
      <c r="I27">
        <f t="shared" si="16"/>
        <v>2.0579935869404991</v>
      </c>
      <c r="J27">
        <f t="shared" si="16"/>
        <v>2.0579935869404991</v>
      </c>
      <c r="K27">
        <f t="shared" si="16"/>
        <v>1.4206465485569442</v>
      </c>
    </row>
    <row r="28" spans="1:11" x14ac:dyDescent="0.3">
      <c r="A28" t="s">
        <v>111</v>
      </c>
      <c r="B28">
        <f>B15*B7</f>
        <v>3.0791666666666671</v>
      </c>
      <c r="C28">
        <f>C15*C7</f>
        <v>2.0568833333333334</v>
      </c>
      <c r="D28">
        <f t="shared" ref="D28:J28" si="17">D15*D7</f>
        <v>1.4853900000000002</v>
      </c>
      <c r="E28">
        <f t="shared" si="17"/>
        <v>0.6035166666666667</v>
      </c>
      <c r="F28">
        <f t="shared" si="17"/>
        <v>-0.12316666666666667</v>
      </c>
      <c r="G28">
        <f t="shared" si="17"/>
        <v>-0.84984999999999999</v>
      </c>
      <c r="H28">
        <f t="shared" si="17"/>
        <v>-1.5765333333333333</v>
      </c>
      <c r="I28">
        <f t="shared" si="17"/>
        <v>-2.3032166666666667</v>
      </c>
      <c r="J28">
        <f t="shared" si="17"/>
        <v>-3.0299</v>
      </c>
      <c r="K28">
        <f>K15*K7</f>
        <v>-3.0093722222222223</v>
      </c>
    </row>
    <row r="29" spans="1:11" x14ac:dyDescent="0.3">
      <c r="A29" t="s">
        <v>112</v>
      </c>
      <c r="B29">
        <f>SQRT((1+B28)^2-1)</f>
        <v>3.9546935019599747</v>
      </c>
      <c r="C29">
        <f>SQRT((1+C28)^2-1)</f>
        <v>2.8886910034842965</v>
      </c>
      <c r="D29">
        <f t="shared" ref="D29:K29" si="18">SQRT((1+D28)^2-1)</f>
        <v>2.2753380962177907</v>
      </c>
      <c r="E29">
        <f t="shared" si="18"/>
        <v>1.2535013762568343</v>
      </c>
      <c r="F29" t="e">
        <f t="shared" si="18"/>
        <v>#NUM!</v>
      </c>
      <c r="G29" t="e">
        <f t="shared" si="18"/>
        <v>#NUM!</v>
      </c>
      <c r="H29" t="e">
        <f t="shared" si="18"/>
        <v>#NUM!</v>
      </c>
      <c r="I29">
        <f t="shared" si="18"/>
        <v>0.83568754943326629</v>
      </c>
      <c r="J29">
        <f t="shared" si="18"/>
        <v>1.7664920067750094</v>
      </c>
      <c r="K29">
        <f t="shared" si="18"/>
        <v>1.7428645178091933</v>
      </c>
    </row>
    <row r="30" spans="1:11" x14ac:dyDescent="0.3">
      <c r="A30" t="s">
        <v>113</v>
      </c>
      <c r="B30">
        <f>B29/B16</f>
        <v>1.7742007635531514</v>
      </c>
      <c r="C30">
        <f>C29/C16</f>
        <v>1.2959582788175399</v>
      </c>
      <c r="D30">
        <f t="shared" ref="D30:K30" si="19">D29/D16</f>
        <v>1.0207887376481788</v>
      </c>
      <c r="E30">
        <f t="shared" si="19"/>
        <v>0.56236042003447029</v>
      </c>
      <c r="F30" t="e">
        <f t="shared" si="19"/>
        <v>#NUM!</v>
      </c>
      <c r="G30" t="e">
        <f t="shared" si="19"/>
        <v>#NUM!</v>
      </c>
      <c r="H30" t="e">
        <f t="shared" si="19"/>
        <v>#NUM!</v>
      </c>
      <c r="I30">
        <f t="shared" si="19"/>
        <v>0.3749159037385672</v>
      </c>
      <c r="J30">
        <f t="shared" si="19"/>
        <v>0.79250426504038107</v>
      </c>
      <c r="K30">
        <f t="shared" si="19"/>
        <v>0.5397536444128811</v>
      </c>
    </row>
    <row r="31" spans="1:11" x14ac:dyDescent="0.3">
      <c r="A31" t="s">
        <v>55</v>
      </c>
      <c r="B31">
        <f>B25*(1-B10-B27+B30)</f>
        <v>-3.0916962892048892E-2</v>
      </c>
      <c r="C31">
        <f>C25*(1-C10-C27+C30)</f>
        <v>-6.1229260690436077E-2</v>
      </c>
      <c r="D31">
        <f t="shared" ref="D31:K31" si="20">D25*(1-D10-D27+D30)</f>
        <v>-8.0312584008864346E-2</v>
      </c>
      <c r="E31">
        <f t="shared" si="20"/>
        <v>-0.11936048826117671</v>
      </c>
      <c r="F31" t="e">
        <f t="shared" si="20"/>
        <v>#NUM!</v>
      </c>
      <c r="G31" t="e">
        <f t="shared" si="20"/>
        <v>#NUM!</v>
      </c>
      <c r="H31" t="e">
        <f t="shared" si="20"/>
        <v>#NUM!</v>
      </c>
      <c r="I31">
        <f t="shared" si="20"/>
        <v>-9.620426491576968E-2</v>
      </c>
      <c r="J31">
        <f t="shared" si="20"/>
        <v>-3.9817144308836115E-2</v>
      </c>
      <c r="K31">
        <f t="shared" si="20"/>
        <v>6.1832541611032939E-3</v>
      </c>
    </row>
    <row r="32" spans="1:11" x14ac:dyDescent="0.3">
      <c r="A32" t="s">
        <v>49</v>
      </c>
      <c r="B32">
        <f>(B2*B4*B4)/(4*B5*B6)</f>
        <v>5.0632911392405064E-3</v>
      </c>
      <c r="C32">
        <f>(C2*C4*C4)/(4*C5*C6)</f>
        <v>5.0632911392405064E-3</v>
      </c>
      <c r="D32">
        <f t="shared" ref="D32:J32" si="21">(D2*D4*D4)/(4*D5*D6)</f>
        <v>5.0632911392405064E-3</v>
      </c>
      <c r="E32">
        <f t="shared" si="21"/>
        <v>5.0632911392405064E-3</v>
      </c>
      <c r="F32">
        <f t="shared" si="21"/>
        <v>5.0632911392405064E-3</v>
      </c>
      <c r="G32">
        <f t="shared" si="21"/>
        <v>5.0632911392405064E-3</v>
      </c>
      <c r="H32">
        <f t="shared" si="21"/>
        <v>5.0632911392405064E-3</v>
      </c>
      <c r="I32">
        <f t="shared" si="21"/>
        <v>5.0632911392405064E-3</v>
      </c>
      <c r="J32">
        <f t="shared" si="21"/>
        <v>5.0632911392405064E-3</v>
      </c>
      <c r="K32">
        <f>(K2*K4*K4)/(4*K5*K6)</f>
        <v>5.0632911392405064E-3</v>
      </c>
    </row>
    <row r="34" spans="1:11" x14ac:dyDescent="0.3">
      <c r="A34" t="s">
        <v>89</v>
      </c>
      <c r="B34">
        <f>B21*(B22-B24-B31)</f>
        <v>-1.7371742125825123E-3</v>
      </c>
      <c r="C34">
        <f>C21*(C22-C24-C31)</f>
        <v>-1.4324233223397129E-2</v>
      </c>
      <c r="D34">
        <f t="shared" ref="D34:K34" si="22">D21*(D22-D24-D31)</f>
        <v>-1.5604833148633425E-2</v>
      </c>
      <c r="E34">
        <f t="shared" si="22"/>
        <v>-7.3340140471417868E-3</v>
      </c>
      <c r="F34" t="e">
        <f t="shared" si="22"/>
        <v>#NUM!</v>
      </c>
      <c r="G34" t="e">
        <f t="shared" si="22"/>
        <v>#NUM!</v>
      </c>
      <c r="H34" t="e">
        <f t="shared" si="22"/>
        <v>#NUM!</v>
      </c>
      <c r="I34">
        <f t="shared" si="22"/>
        <v>-3.5378523314954842E-2</v>
      </c>
      <c r="J34">
        <f t="shared" si="22"/>
        <v>-6.5391055016198227E-2</v>
      </c>
      <c r="K34">
        <f t="shared" si="22"/>
        <v>7.5478475536138005E-3</v>
      </c>
    </row>
    <row r="35" spans="1:11" x14ac:dyDescent="0.3">
      <c r="A35" t="s">
        <v>90</v>
      </c>
      <c r="B35">
        <f>(B13-B19-B34)</f>
        <v>-3.1807888849787878E-2</v>
      </c>
      <c r="C35">
        <f>(C13-C19-C34)</f>
        <v>1.1308844503202246E-2</v>
      </c>
      <c r="D35">
        <f t="shared" ref="D35:K35" si="23">(D13-D19-D34)</f>
        <v>1.7382325500604853E-2</v>
      </c>
      <c r="E35">
        <f t="shared" si="23"/>
        <v>-7.7920175913613367E-3</v>
      </c>
      <c r="F35" t="e">
        <f t="shared" si="23"/>
        <v>#NUM!</v>
      </c>
      <c r="G35" t="e">
        <f t="shared" si="23"/>
        <v>#NUM!</v>
      </c>
      <c r="H35" t="e">
        <f t="shared" si="23"/>
        <v>#NUM!</v>
      </c>
      <c r="I35">
        <f t="shared" si="23"/>
        <v>-6.1445113510638409E-2</v>
      </c>
      <c r="J35">
        <f t="shared" si="23"/>
        <v>-6.3831216304182856E-2</v>
      </c>
      <c r="K35">
        <f t="shared" si="23"/>
        <v>5.7913442136945034E-2</v>
      </c>
    </row>
    <row r="37" spans="1:11" x14ac:dyDescent="0.3">
      <c r="A37" t="s">
        <v>88</v>
      </c>
      <c r="B37">
        <f>B32*B35</f>
        <v>-1.6105260177107786E-4</v>
      </c>
      <c r="C37">
        <f>C32*C35</f>
        <v>5.7259972168112636E-5</v>
      </c>
      <c r="D37">
        <f t="shared" ref="D37:K37" si="24">D32*D35</f>
        <v>8.8011774686606851E-5</v>
      </c>
      <c r="E37">
        <f t="shared" si="24"/>
        <v>-3.9453253627146008E-5</v>
      </c>
      <c r="F37" t="e">
        <f t="shared" si="24"/>
        <v>#NUM!</v>
      </c>
      <c r="G37" t="e">
        <f t="shared" si="24"/>
        <v>#NUM!</v>
      </c>
      <c r="H37" t="e">
        <f t="shared" si="24"/>
        <v>#NUM!</v>
      </c>
      <c r="I37">
        <f t="shared" si="24"/>
        <v>-3.1111449878804258E-4</v>
      </c>
      <c r="J37">
        <f t="shared" si="24"/>
        <v>-3.2319603191991321E-4</v>
      </c>
      <c r="K37">
        <f t="shared" si="24"/>
        <v>2.9323261841491155E-4</v>
      </c>
    </row>
    <row r="39" spans="1:11" x14ac:dyDescent="0.3">
      <c r="A39" t="s">
        <v>87</v>
      </c>
      <c r="B39">
        <f>0.0001246</f>
        <v>1.2459999999999999E-4</v>
      </c>
      <c r="C39">
        <f>0.0001246</f>
        <v>1.2459999999999999E-4</v>
      </c>
      <c r="D39">
        <f t="shared" ref="D39:K39" si="25">0.0001246</f>
        <v>1.2459999999999999E-4</v>
      </c>
      <c r="E39">
        <f t="shared" si="25"/>
        <v>1.2459999999999999E-4</v>
      </c>
      <c r="F39">
        <f t="shared" si="25"/>
        <v>1.2459999999999999E-4</v>
      </c>
      <c r="G39">
        <f t="shared" si="25"/>
        <v>1.2459999999999999E-4</v>
      </c>
      <c r="H39">
        <f t="shared" si="25"/>
        <v>1.2459999999999999E-4</v>
      </c>
      <c r="I39">
        <f t="shared" si="25"/>
        <v>1.2459999999999999E-4</v>
      </c>
      <c r="J39">
        <f t="shared" si="25"/>
        <v>1.2459999999999999E-4</v>
      </c>
      <c r="K39">
        <f t="shared" si="25"/>
        <v>1.2459999999999999E-4</v>
      </c>
    </row>
    <row r="40" spans="1:11" x14ac:dyDescent="0.3">
      <c r="B40">
        <f>B37/B39</f>
        <v>-1.2925569965576074</v>
      </c>
      <c r="C40">
        <f>C37/C39</f>
        <v>0.4595503384278703</v>
      </c>
      <c r="D40">
        <f t="shared" ref="D40:K40" si="26">D37/D39</f>
        <v>0.70635453199523957</v>
      </c>
      <c r="E40">
        <f t="shared" si="26"/>
        <v>-0.3166392746961959</v>
      </c>
      <c r="F40" t="e">
        <f t="shared" si="26"/>
        <v>#NUM!</v>
      </c>
      <c r="G40" t="e">
        <f t="shared" si="26"/>
        <v>#NUM!</v>
      </c>
      <c r="H40" t="e">
        <f t="shared" si="26"/>
        <v>#NUM!</v>
      </c>
      <c r="I40">
        <f t="shared" si="26"/>
        <v>-2.4969060897916742</v>
      </c>
      <c r="J40">
        <f t="shared" si="26"/>
        <v>-2.5938686349912778</v>
      </c>
      <c r="K40">
        <f t="shared" si="26"/>
        <v>2.3533918010827573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34" zoomScale="190" zoomScaleNormal="190" workbookViewId="0">
      <selection activeCell="A36" sqref="A36"/>
    </sheetView>
  </sheetViews>
  <sheetFormatPr defaultRowHeight="14.4" x14ac:dyDescent="0.3"/>
  <cols>
    <col min="1" max="1" width="30.109375" customWidth="1"/>
    <col min="2" max="2" width="12.109375" bestFit="1" customWidth="1"/>
  </cols>
  <sheetData>
    <row r="1" spans="1:11" x14ac:dyDescent="0.3">
      <c r="A1" s="12" t="s">
        <v>27</v>
      </c>
      <c r="B1" s="12">
        <v>180</v>
      </c>
      <c r="C1" s="12">
        <v>180</v>
      </c>
      <c r="D1" s="12">
        <v>180</v>
      </c>
      <c r="E1" s="12">
        <v>180</v>
      </c>
      <c r="F1" s="12">
        <v>180</v>
      </c>
      <c r="G1" s="12">
        <v>180</v>
      </c>
      <c r="H1" s="12">
        <v>180</v>
      </c>
      <c r="I1" s="12">
        <v>180</v>
      </c>
      <c r="J1" s="12">
        <v>180</v>
      </c>
      <c r="K1" s="12">
        <v>180</v>
      </c>
    </row>
    <row r="2" spans="1:11" x14ac:dyDescent="0.3">
      <c r="A2" s="12" t="s">
        <v>44</v>
      </c>
      <c r="B2" s="12">
        <v>1200</v>
      </c>
      <c r="C2" s="12">
        <v>1200</v>
      </c>
      <c r="D2" s="12">
        <v>1200</v>
      </c>
      <c r="E2" s="12">
        <v>1200</v>
      </c>
      <c r="F2" s="12">
        <v>1200</v>
      </c>
      <c r="G2" s="12">
        <v>1200</v>
      </c>
      <c r="H2" s="12">
        <v>1200</v>
      </c>
      <c r="I2" s="12">
        <v>1200</v>
      </c>
      <c r="J2" s="12">
        <v>1200</v>
      </c>
      <c r="K2" s="12">
        <v>1200</v>
      </c>
    </row>
    <row r="3" spans="1:11" x14ac:dyDescent="0.3">
      <c r="A3" s="12" t="s">
        <v>11</v>
      </c>
      <c r="B3" s="12">
        <v>2000000</v>
      </c>
      <c r="C3" s="12">
        <v>2000000</v>
      </c>
      <c r="D3" s="12">
        <v>2000000</v>
      </c>
      <c r="E3" s="12">
        <v>2000000</v>
      </c>
      <c r="F3" s="12">
        <v>2000000</v>
      </c>
      <c r="G3" s="12">
        <v>2000000</v>
      </c>
      <c r="H3" s="12">
        <v>2000000</v>
      </c>
      <c r="I3" s="12">
        <v>2000000</v>
      </c>
      <c r="J3" s="12">
        <v>2000000</v>
      </c>
      <c r="K3" s="12">
        <v>2000000</v>
      </c>
    </row>
    <row r="4" spans="1:11" x14ac:dyDescent="0.3">
      <c r="A4" s="12" t="s">
        <v>114</v>
      </c>
      <c r="B4" s="12">
        <v>6399</v>
      </c>
      <c r="C4" s="12">
        <v>6399</v>
      </c>
      <c r="D4" s="12">
        <v>6399</v>
      </c>
      <c r="E4" s="12">
        <v>6399</v>
      </c>
      <c r="F4" s="12">
        <v>6399</v>
      </c>
      <c r="G4" s="12">
        <v>6399</v>
      </c>
      <c r="H4" s="12">
        <v>6399</v>
      </c>
      <c r="I4" s="12">
        <v>6399</v>
      </c>
      <c r="J4" s="12">
        <v>6399</v>
      </c>
      <c r="K4" s="12">
        <v>6399</v>
      </c>
    </row>
    <row r="5" spans="1:11" x14ac:dyDescent="0.3">
      <c r="A5" s="12" t="s">
        <v>17</v>
      </c>
      <c r="B5" s="12">
        <v>0.33900000000000002</v>
      </c>
      <c r="C5" s="12">
        <v>0.33900000000000002</v>
      </c>
      <c r="D5" s="12">
        <v>0.33900000000000002</v>
      </c>
      <c r="E5" s="12">
        <v>0.33900000000000002</v>
      </c>
      <c r="F5" s="12">
        <v>0.33900000000000002</v>
      </c>
      <c r="G5" s="12">
        <v>0.33900000000000002</v>
      </c>
      <c r="H5" s="12">
        <v>0.33900000000000002</v>
      </c>
      <c r="I5" s="12">
        <v>0.33900000000000002</v>
      </c>
      <c r="J5" s="12">
        <v>0.33900000000000002</v>
      </c>
      <c r="K5" s="12">
        <v>0.33900000000000002</v>
      </c>
    </row>
    <row r="6" spans="1:11" x14ac:dyDescent="0.3">
      <c r="A6" s="12" t="s">
        <v>26</v>
      </c>
      <c r="B6" s="12">
        <v>4.7</v>
      </c>
      <c r="C6" s="12">
        <v>4.7</v>
      </c>
      <c r="D6" s="12">
        <v>4.7</v>
      </c>
      <c r="E6" s="12">
        <v>4.7</v>
      </c>
      <c r="F6" s="12">
        <v>4.7</v>
      </c>
      <c r="G6" s="12">
        <v>4.7</v>
      </c>
      <c r="H6" s="12">
        <v>4.7</v>
      </c>
      <c r="I6" s="12">
        <v>4.7</v>
      </c>
      <c r="J6" s="12">
        <v>4.7</v>
      </c>
      <c r="K6" s="12">
        <v>4.7</v>
      </c>
    </row>
    <row r="7" spans="1:11" x14ac:dyDescent="0.3">
      <c r="A7" s="12" t="s">
        <v>28</v>
      </c>
      <c r="B7" s="12">
        <v>2.2292000000000001</v>
      </c>
      <c r="C7" s="12">
        <v>2.2292000000000001</v>
      </c>
      <c r="D7" s="12">
        <v>2.2292000000000001</v>
      </c>
      <c r="E7" s="12">
        <v>2.2292000000000001</v>
      </c>
      <c r="F7" s="12">
        <v>2.2292000000000001</v>
      </c>
      <c r="G7" s="12">
        <v>2.2292000000000001</v>
      </c>
      <c r="H7" s="12">
        <v>2.2292000000000001</v>
      </c>
      <c r="I7" s="12">
        <v>2.2292000000000001</v>
      </c>
      <c r="J7" s="12">
        <v>2.2292000000000001</v>
      </c>
      <c r="K7" s="12">
        <v>2.2292000000000001</v>
      </c>
    </row>
    <row r="8" spans="1:11" x14ac:dyDescent="0.3">
      <c r="A8" s="12" t="s">
        <v>45</v>
      </c>
      <c r="B8" s="12">
        <v>37.799999999999997</v>
      </c>
      <c r="C8" s="12">
        <v>37.799999999999997</v>
      </c>
      <c r="D8" s="12">
        <v>37.799999999999997</v>
      </c>
      <c r="E8" s="12">
        <v>37.799999999999997</v>
      </c>
      <c r="F8" s="12">
        <v>37.799999999999997</v>
      </c>
      <c r="G8" s="12">
        <v>37.799999999999997</v>
      </c>
      <c r="H8" s="12">
        <v>37.799999999999997</v>
      </c>
      <c r="I8" s="12">
        <v>37.799999999999997</v>
      </c>
      <c r="J8" s="12">
        <v>37.799999999999997</v>
      </c>
      <c r="K8" s="12">
        <v>37.799999999999997</v>
      </c>
    </row>
    <row r="9" spans="1:11" x14ac:dyDescent="0.3">
      <c r="A9" s="12" t="s">
        <v>30</v>
      </c>
      <c r="B9" s="12">
        <f>B6-1</f>
        <v>3.7</v>
      </c>
      <c r="C9" s="12">
        <f t="shared" ref="C9:H9" si="0">C6-1</f>
        <v>3.7</v>
      </c>
      <c r="D9" s="12">
        <f t="shared" si="0"/>
        <v>3.7</v>
      </c>
      <c r="E9" s="12">
        <f t="shared" si="0"/>
        <v>3.7</v>
      </c>
      <c r="F9" s="12">
        <f t="shared" si="0"/>
        <v>3.7</v>
      </c>
      <c r="G9" s="12">
        <f t="shared" si="0"/>
        <v>3.7</v>
      </c>
      <c r="H9" s="12">
        <f t="shared" si="0"/>
        <v>3.7</v>
      </c>
      <c r="I9" s="12">
        <f>I6-1</f>
        <v>3.7</v>
      </c>
      <c r="J9" s="12">
        <f>J6-1</f>
        <v>3.7</v>
      </c>
      <c r="K9" s="12">
        <f>K6-1</f>
        <v>3.7</v>
      </c>
    </row>
    <row r="10" spans="1:11" x14ac:dyDescent="0.3">
      <c r="A10" s="12"/>
      <c r="B10" s="12"/>
    </row>
    <row r="11" spans="1:11" x14ac:dyDescent="0.3">
      <c r="A11" s="12" t="s">
        <v>116</v>
      </c>
      <c r="B11" s="12">
        <f>(B1*B2^2)/(4*B3*B4)</f>
        <v>5.0632911392405064E-3</v>
      </c>
      <c r="C11" s="12">
        <f t="shared" ref="C11:H11" si="1">(C1*C2^2)/(4*C3*C4)</f>
        <v>5.0632911392405064E-3</v>
      </c>
      <c r="D11" s="12">
        <f t="shared" si="1"/>
        <v>5.0632911392405064E-3</v>
      </c>
      <c r="E11" s="12">
        <f t="shared" si="1"/>
        <v>5.0632911392405064E-3</v>
      </c>
      <c r="F11" s="12">
        <f t="shared" si="1"/>
        <v>5.0632911392405064E-3</v>
      </c>
      <c r="G11" s="12">
        <f t="shared" si="1"/>
        <v>5.0632911392405064E-3</v>
      </c>
      <c r="H11" s="12">
        <f t="shared" si="1"/>
        <v>5.0632911392405064E-3</v>
      </c>
      <c r="I11" s="12">
        <f>(I1*I2^2)/(4*I3*I4)</f>
        <v>5.0632911392405064E-3</v>
      </c>
      <c r="J11" s="12">
        <f>(J1*J2^2)/(4*J3*J4)</f>
        <v>5.0632911392405064E-3</v>
      </c>
      <c r="K11" s="12">
        <f>(K1*K2^2)/(4*K3*K4)</f>
        <v>5.0632911392405064E-3</v>
      </c>
    </row>
    <row r="12" spans="1:11" x14ac:dyDescent="0.3">
      <c r="A12" s="12" t="s">
        <v>117</v>
      </c>
      <c r="B12" s="12">
        <f>(B8/B1)+(1/B9)</f>
        <v>0.48027027027027025</v>
      </c>
      <c r="C12" s="12">
        <f t="shared" ref="C12:H12" si="2">(C8/C1)+(1/C9)</f>
        <v>0.48027027027027025</v>
      </c>
      <c r="D12" s="12">
        <f t="shared" si="2"/>
        <v>0.48027027027027025</v>
      </c>
      <c r="E12" s="12">
        <f t="shared" si="2"/>
        <v>0.48027027027027025</v>
      </c>
      <c r="F12" s="12">
        <f t="shared" si="2"/>
        <v>0.48027027027027025</v>
      </c>
      <c r="G12" s="12">
        <f t="shared" si="2"/>
        <v>0.48027027027027025</v>
      </c>
      <c r="H12" s="12">
        <f t="shared" si="2"/>
        <v>0.48027027027027025</v>
      </c>
      <c r="I12" s="12">
        <f>(I8/I1)+(1/I9)</f>
        <v>0.48027027027027025</v>
      </c>
      <c r="J12" s="12">
        <f>(J8/J1)+(1/J9)</f>
        <v>0.48027027027027025</v>
      </c>
      <c r="K12" s="12">
        <f>(K8/K1)+(1/K9)</f>
        <v>0.48027027027027025</v>
      </c>
    </row>
    <row r="13" spans="1:11" x14ac:dyDescent="0.3">
      <c r="A13" s="12" t="s">
        <v>118</v>
      </c>
      <c r="B13" s="12">
        <f>1/B7^2</f>
        <v>0.2012342647281507</v>
      </c>
      <c r="C13" s="12">
        <f t="shared" ref="C13:H13" si="3">1/C7^2</f>
        <v>0.2012342647281507</v>
      </c>
      <c r="D13" s="12">
        <f t="shared" si="3"/>
        <v>0.2012342647281507</v>
      </c>
      <c r="E13" s="12">
        <f t="shared" si="3"/>
        <v>0.2012342647281507</v>
      </c>
      <c r="F13" s="12">
        <f t="shared" si="3"/>
        <v>0.2012342647281507</v>
      </c>
      <c r="G13" s="12">
        <f t="shared" si="3"/>
        <v>0.2012342647281507</v>
      </c>
      <c r="H13" s="12">
        <f t="shared" si="3"/>
        <v>0.2012342647281507</v>
      </c>
      <c r="I13" s="12">
        <f>1/I7^2</f>
        <v>0.2012342647281507</v>
      </c>
      <c r="J13" s="12">
        <f>1/J7^2</f>
        <v>0.2012342647281507</v>
      </c>
      <c r="K13" s="12">
        <f>1/K7^2</f>
        <v>0.2012342647281507</v>
      </c>
    </row>
    <row r="14" spans="1:11" x14ac:dyDescent="0.3">
      <c r="A14" s="12" t="s">
        <v>119</v>
      </c>
      <c r="B14" s="12">
        <f>1-B5</f>
        <v>0.66100000000000003</v>
      </c>
      <c r="C14" s="12">
        <f t="shared" ref="C14:H14" si="4">1-C5</f>
        <v>0.66100000000000003</v>
      </c>
      <c r="D14" s="12">
        <f t="shared" si="4"/>
        <v>0.66100000000000003</v>
      </c>
      <c r="E14" s="12">
        <f t="shared" si="4"/>
        <v>0.66100000000000003</v>
      </c>
      <c r="F14" s="12">
        <f t="shared" si="4"/>
        <v>0.66100000000000003</v>
      </c>
      <c r="G14" s="12">
        <f t="shared" si="4"/>
        <v>0.66100000000000003</v>
      </c>
      <c r="H14" s="12">
        <f t="shared" si="4"/>
        <v>0.66100000000000003</v>
      </c>
      <c r="I14" s="12">
        <f>1-I5</f>
        <v>0.66100000000000003</v>
      </c>
      <c r="J14" s="12">
        <f>1-J5</f>
        <v>0.66100000000000003</v>
      </c>
      <c r="K14" s="12">
        <f>1-K5</f>
        <v>0.66100000000000003</v>
      </c>
    </row>
    <row r="15" spans="1:11" x14ac:dyDescent="0.3">
      <c r="A15" s="12" t="s">
        <v>115</v>
      </c>
      <c r="B15" s="12">
        <f>(2/(B7*B7*B9))</f>
        <v>0.10877527823143281</v>
      </c>
      <c r="C15" s="12">
        <f t="shared" ref="C15:H15" si="5">(2/(C7*C7*C9))</f>
        <v>0.10877527823143281</v>
      </c>
      <c r="D15" s="12">
        <f t="shared" si="5"/>
        <v>0.10877527823143281</v>
      </c>
      <c r="E15" s="12">
        <f t="shared" si="5"/>
        <v>0.10877527823143281</v>
      </c>
      <c r="F15" s="12">
        <f t="shared" si="5"/>
        <v>0.10877527823143281</v>
      </c>
      <c r="G15" s="12">
        <f t="shared" si="5"/>
        <v>0.10877527823143281</v>
      </c>
      <c r="H15" s="12">
        <f t="shared" si="5"/>
        <v>0.10877527823143281</v>
      </c>
      <c r="I15" s="12">
        <f>(2/(I7*I7*I9))</f>
        <v>0.10877527823143281</v>
      </c>
      <c r="J15" s="12">
        <f>(2/(J7*J7*J9))</f>
        <v>0.10877527823143281</v>
      </c>
      <c r="K15" s="12">
        <f>(2/(K7*K7*K9))</f>
        <v>0.10877527823143281</v>
      </c>
    </row>
    <row r="16" spans="1:11" x14ac:dyDescent="0.3">
      <c r="A16" s="12" t="s">
        <v>120</v>
      </c>
      <c r="B16" s="12">
        <f>SQRT(B6^2-1)/B7</f>
        <v>2.0601045223766437</v>
      </c>
      <c r="C16" s="12">
        <f t="shared" ref="C16:H16" si="6">SQRT(C6^2-1)/C7</f>
        <v>2.0601045223766437</v>
      </c>
      <c r="D16" s="12">
        <f t="shared" si="6"/>
        <v>2.0601045223766437</v>
      </c>
      <c r="E16" s="12">
        <f t="shared" si="6"/>
        <v>2.0601045223766437</v>
      </c>
      <c r="F16" s="12">
        <f t="shared" si="6"/>
        <v>2.0601045223766437</v>
      </c>
      <c r="G16" s="12">
        <f t="shared" si="6"/>
        <v>2.0601045223766437</v>
      </c>
      <c r="H16" s="12">
        <f t="shared" si="6"/>
        <v>2.0601045223766437</v>
      </c>
      <c r="I16" s="12">
        <f>SQRT(I6^2-1)/I7</f>
        <v>2.0601045223766437</v>
      </c>
      <c r="J16" s="12">
        <f>SQRT(J6^2-1)/J7</f>
        <v>2.0601045223766437</v>
      </c>
      <c r="K16" s="12">
        <f>SQRT(K6^2-1)/K7</f>
        <v>2.0601045223766437</v>
      </c>
    </row>
    <row r="18" spans="1:11" x14ac:dyDescent="0.3">
      <c r="A18" t="s">
        <v>121</v>
      </c>
    </row>
    <row r="19" spans="1:11" x14ac:dyDescent="0.3">
      <c r="A19" s="12" t="s">
        <v>47</v>
      </c>
      <c r="B19" s="12">
        <v>0.9</v>
      </c>
      <c r="C19" s="12">
        <v>0.8</v>
      </c>
      <c r="D19" s="12">
        <v>0.7</v>
      </c>
      <c r="E19" s="12">
        <v>0.6</v>
      </c>
      <c r="F19" s="12">
        <v>0.5</v>
      </c>
      <c r="G19" s="12">
        <v>0.4</v>
      </c>
      <c r="H19" s="12">
        <v>0.3</v>
      </c>
      <c r="I19" s="12">
        <v>0.2</v>
      </c>
      <c r="J19" s="12">
        <v>0.1</v>
      </c>
      <c r="K19" s="12">
        <v>0</v>
      </c>
    </row>
    <row r="20" spans="1:11" x14ac:dyDescent="0.3">
      <c r="A20" s="12" t="s">
        <v>46</v>
      </c>
      <c r="B20" s="12">
        <v>135.6</v>
      </c>
      <c r="C20" s="12">
        <v>100.2</v>
      </c>
      <c r="D20" s="12">
        <v>72.36</v>
      </c>
      <c r="E20" s="12">
        <v>50.4</v>
      </c>
      <c r="F20" s="12">
        <v>33.479999999999997</v>
      </c>
      <c r="G20" s="12">
        <v>20.64</v>
      </c>
      <c r="H20" s="12">
        <v>11.28</v>
      </c>
      <c r="I20" s="12">
        <v>4.92</v>
      </c>
      <c r="J20" s="12">
        <v>1.2</v>
      </c>
      <c r="K20" s="12">
        <v>0</v>
      </c>
    </row>
    <row r="21" spans="1:11" x14ac:dyDescent="0.3">
      <c r="A21" s="12" t="s">
        <v>122</v>
      </c>
      <c r="B21" s="12">
        <f>1-B19^2</f>
        <v>0.18999999999999995</v>
      </c>
      <c r="C21" s="14">
        <f t="shared" ref="C21:K21" si="7">1-C19^2</f>
        <v>0.35999999999999988</v>
      </c>
      <c r="D21" s="14">
        <f t="shared" si="7"/>
        <v>0.51</v>
      </c>
      <c r="E21" s="14">
        <f t="shared" si="7"/>
        <v>0.64</v>
      </c>
      <c r="F21" s="14">
        <f t="shared" si="7"/>
        <v>0.75</v>
      </c>
      <c r="G21" s="14">
        <f t="shared" si="7"/>
        <v>0.84</v>
      </c>
      <c r="H21" s="14">
        <f t="shared" si="7"/>
        <v>0.91</v>
      </c>
      <c r="I21" s="14">
        <f t="shared" si="7"/>
        <v>0.96</v>
      </c>
      <c r="J21" s="14">
        <f t="shared" si="7"/>
        <v>0.99</v>
      </c>
      <c r="K21" s="14">
        <f t="shared" si="7"/>
        <v>1</v>
      </c>
    </row>
    <row r="22" spans="1:11" x14ac:dyDescent="0.3">
      <c r="A22" s="14" t="s">
        <v>127</v>
      </c>
      <c r="B22" s="14">
        <f>1-B19^3</f>
        <v>0.27099999999999991</v>
      </c>
      <c r="C22" s="14">
        <f t="shared" ref="C22:K22" si="8">1-C19^3</f>
        <v>0.48799999999999988</v>
      </c>
      <c r="D22" s="14">
        <f t="shared" si="8"/>
        <v>0.65700000000000003</v>
      </c>
      <c r="E22" s="14">
        <f t="shared" si="8"/>
        <v>0.78400000000000003</v>
      </c>
      <c r="F22" s="14">
        <f t="shared" si="8"/>
        <v>0.875</v>
      </c>
      <c r="G22" s="14">
        <f t="shared" si="8"/>
        <v>0.93599999999999994</v>
      </c>
      <c r="H22" s="14">
        <f t="shared" si="8"/>
        <v>0.97299999999999998</v>
      </c>
      <c r="I22" s="14">
        <f t="shared" si="8"/>
        <v>0.99199999999999999</v>
      </c>
      <c r="J22" s="14">
        <f t="shared" si="8"/>
        <v>0.999</v>
      </c>
      <c r="K22" s="14">
        <f t="shared" si="8"/>
        <v>1</v>
      </c>
    </row>
    <row r="23" spans="1:11" x14ac:dyDescent="0.3">
      <c r="A23" s="12" t="s">
        <v>142</v>
      </c>
      <c r="B23" s="12">
        <f>B20/B1</f>
        <v>0.7533333333333333</v>
      </c>
      <c r="C23" s="12">
        <f t="shared" ref="C23:H23" si="9">C20/C1</f>
        <v>0.55666666666666664</v>
      </c>
      <c r="D23" s="12">
        <f t="shared" si="9"/>
        <v>0.40200000000000002</v>
      </c>
      <c r="E23" s="12">
        <f t="shared" si="9"/>
        <v>0.27999999999999997</v>
      </c>
      <c r="F23" s="12">
        <f t="shared" si="9"/>
        <v>0.18599999999999997</v>
      </c>
      <c r="G23" s="12">
        <f t="shared" si="9"/>
        <v>0.11466666666666667</v>
      </c>
      <c r="H23" s="12">
        <f t="shared" si="9"/>
        <v>6.2666666666666662E-2</v>
      </c>
      <c r="I23" s="12">
        <f>I20/I1</f>
        <v>2.7333333333333334E-2</v>
      </c>
      <c r="J23" s="12">
        <f>J20/J1</f>
        <v>6.6666666666666662E-3</v>
      </c>
      <c r="K23" s="12">
        <f>K20/K1</f>
        <v>0</v>
      </c>
    </row>
    <row r="24" spans="1:11" x14ac:dyDescent="0.3">
      <c r="A24" s="12" t="s">
        <v>143</v>
      </c>
      <c r="B24" s="12">
        <f>B23*B19</f>
        <v>0.67799999999999994</v>
      </c>
      <c r="C24" s="12">
        <f t="shared" ref="C24:H24" si="10">C23*C19</f>
        <v>0.44533333333333336</v>
      </c>
      <c r="D24" s="12">
        <f t="shared" si="10"/>
        <v>0.28139999999999998</v>
      </c>
      <c r="E24" s="12">
        <f t="shared" si="10"/>
        <v>0.16799999999999998</v>
      </c>
      <c r="F24" s="12">
        <f t="shared" si="10"/>
        <v>9.2999999999999985E-2</v>
      </c>
      <c r="G24" s="12">
        <f t="shared" si="10"/>
        <v>4.5866666666666667E-2</v>
      </c>
      <c r="H24" s="12">
        <f t="shared" si="10"/>
        <v>1.8799999999999997E-2</v>
      </c>
      <c r="I24" s="12">
        <f>I23*I19</f>
        <v>5.4666666666666674E-3</v>
      </c>
      <c r="J24" s="12">
        <f>J23*J19</f>
        <v>6.6666666666666664E-4</v>
      </c>
      <c r="K24" s="12">
        <f>K23*K19</f>
        <v>0</v>
      </c>
    </row>
    <row r="26" spans="1:11" x14ac:dyDescent="0.3">
      <c r="A26" s="12" t="s">
        <v>125</v>
      </c>
      <c r="B26">
        <f>SQRT((1+B23*B9)^2-1)</f>
        <v>3.6529294788946824</v>
      </c>
      <c r="C26">
        <f t="shared" ref="C26:H26" si="11">SQRT((1+C23*C9)^2-1)</f>
        <v>2.8916362342298716</v>
      </c>
      <c r="D26">
        <f t="shared" si="11"/>
        <v>2.2775334816419273</v>
      </c>
      <c r="E26">
        <f t="shared" si="11"/>
        <v>1.7734982379466859</v>
      </c>
      <c r="F26">
        <f t="shared" si="11"/>
        <v>1.3601541236198198</v>
      </c>
      <c r="G26">
        <f t="shared" si="11"/>
        <v>1.0141674111199677</v>
      </c>
      <c r="H26">
        <f t="shared" si="11"/>
        <v>0.71937158996199202</v>
      </c>
      <c r="I26">
        <f>SQRT((1+I23*I9)^2-1)</f>
        <v>0.46097138498802481</v>
      </c>
      <c r="J26">
        <f>SQRT((1+J23*J9)^2-1)</f>
        <v>0.22347657098178716</v>
      </c>
      <c r="K26">
        <f>SQRT((1+K23*K9)^2-1)</f>
        <v>0</v>
      </c>
    </row>
    <row r="28" spans="1:11" x14ac:dyDescent="0.3">
      <c r="A28" s="12" t="s">
        <v>144</v>
      </c>
      <c r="B28">
        <f>(B12*B21)/2</f>
        <v>4.5625675675675659E-2</v>
      </c>
      <c r="C28">
        <f t="shared" ref="C28:H28" si="12">(C12*C21)/2</f>
        <v>8.644864864864861E-2</v>
      </c>
      <c r="D28">
        <f t="shared" si="12"/>
        <v>0.12246891891891891</v>
      </c>
      <c r="E28">
        <f t="shared" si="12"/>
        <v>0.15368648648648647</v>
      </c>
      <c r="F28">
        <f t="shared" si="12"/>
        <v>0.18010135135135136</v>
      </c>
      <c r="G28">
        <f t="shared" si="12"/>
        <v>0.20171351351351349</v>
      </c>
      <c r="H28">
        <f t="shared" si="12"/>
        <v>0.21852297297297296</v>
      </c>
      <c r="I28">
        <f>(I12*I21)/2</f>
        <v>0.23052972972972971</v>
      </c>
      <c r="J28">
        <f>(J12*J21)/2</f>
        <v>0.23773378378378376</v>
      </c>
      <c r="K28">
        <f>(K12*K21)/2</f>
        <v>0.24013513513513512</v>
      </c>
    </row>
    <row r="29" spans="1:11" x14ac:dyDescent="0.3">
      <c r="A29" s="12" t="s">
        <v>145</v>
      </c>
      <c r="B29">
        <f>B13*(1-B23)</f>
        <v>4.9637785299610514E-2</v>
      </c>
      <c r="C29">
        <f t="shared" ref="C29:H29" si="13">C13*(1-C23)</f>
        <v>8.9213857362813481E-2</v>
      </c>
      <c r="D29">
        <f t="shared" si="13"/>
        <v>0.12033809030743411</v>
      </c>
      <c r="E29">
        <f t="shared" si="13"/>
        <v>0.14488867060426849</v>
      </c>
      <c r="F29">
        <f t="shared" si="13"/>
        <v>0.16380469148871468</v>
      </c>
      <c r="G29">
        <f t="shared" si="13"/>
        <v>0.17815940237265609</v>
      </c>
      <c r="H29">
        <f t="shared" si="13"/>
        <v>0.18862358413851993</v>
      </c>
      <c r="I29">
        <f>I13*(1-I23)</f>
        <v>0.19573386149224792</v>
      </c>
      <c r="J29">
        <f>J13*(1-J23)</f>
        <v>0.19989270296329636</v>
      </c>
      <c r="K29">
        <f>K13*(1-K23)</f>
        <v>0.2012342647281507</v>
      </c>
    </row>
    <row r="30" spans="1:11" x14ac:dyDescent="0.3">
      <c r="A30" s="12" t="s">
        <v>146</v>
      </c>
      <c r="B30">
        <f>(B12*B22)/6</f>
        <v>2.1692207207207201E-2</v>
      </c>
      <c r="C30">
        <f t="shared" ref="C30:K30" si="14">(C12*C22)/6</f>
        <v>3.9061981981981971E-2</v>
      </c>
      <c r="D30">
        <f t="shared" si="14"/>
        <v>5.2589594594594592E-2</v>
      </c>
      <c r="E30">
        <f t="shared" si="14"/>
        <v>6.2755315315315321E-2</v>
      </c>
      <c r="F30">
        <f t="shared" si="14"/>
        <v>7.0039414414414414E-2</v>
      </c>
      <c r="G30">
        <f t="shared" si="14"/>
        <v>7.4922162162162145E-2</v>
      </c>
      <c r="H30">
        <f t="shared" si="14"/>
        <v>7.7883828828828827E-2</v>
      </c>
      <c r="I30">
        <f t="shared" si="14"/>
        <v>7.9404684684684687E-2</v>
      </c>
      <c r="J30">
        <f t="shared" si="14"/>
        <v>7.9964999999999994E-2</v>
      </c>
      <c r="K30">
        <f t="shared" si="14"/>
        <v>8.0045045045045046E-2</v>
      </c>
    </row>
    <row r="31" spans="1:11" x14ac:dyDescent="0.3">
      <c r="A31" s="12" t="s">
        <v>148</v>
      </c>
      <c r="B31">
        <f>B13*(1-B24)</f>
        <v>6.4797433242464536E-2</v>
      </c>
      <c r="C31">
        <f t="shared" ref="C31:H31" si="15">C13*(1-C24)</f>
        <v>0.11161793883588092</v>
      </c>
      <c r="D31">
        <f t="shared" si="15"/>
        <v>0.14460694263364909</v>
      </c>
      <c r="E31">
        <f t="shared" si="15"/>
        <v>0.16742690825382139</v>
      </c>
      <c r="F31">
        <f t="shared" si="15"/>
        <v>0.18251947810843269</v>
      </c>
      <c r="G31">
        <f t="shared" si="15"/>
        <v>0.19200431978595284</v>
      </c>
      <c r="H31">
        <f t="shared" si="15"/>
        <v>0.19745106055126146</v>
      </c>
      <c r="I31">
        <f>I13*(1-I24)</f>
        <v>0.20013418408097017</v>
      </c>
      <c r="J31">
        <f>J13*(1-J24)</f>
        <v>0.20110010855166527</v>
      </c>
      <c r="K31">
        <f>K13*(1-K24)</f>
        <v>0.2012342647281507</v>
      </c>
    </row>
    <row r="32" spans="1:11" x14ac:dyDescent="0.3">
      <c r="A32" s="12" t="s">
        <v>147</v>
      </c>
      <c r="B32">
        <f>B15*(1-B19-B16+(B26/B7))</f>
        <v>-3.4963821465273208E-2</v>
      </c>
      <c r="C32">
        <f t="shared" ref="C32:H32" si="16">C15*(1-C19-C16+(C26/C7))</f>
        <v>-6.1234097564669444E-2</v>
      </c>
      <c r="D32">
        <f t="shared" si="16"/>
        <v>-8.0322116922327519E-2</v>
      </c>
      <c r="E32">
        <f t="shared" si="16"/>
        <v>-9.4039319886640688E-2</v>
      </c>
      <c r="F32">
        <f t="shared" si="16"/>
        <v>-0.10333118962371184</v>
      </c>
      <c r="G32">
        <f t="shared" si="16"/>
        <v>-0.10933631069548606</v>
      </c>
      <c r="H32">
        <f t="shared" si="16"/>
        <v>-0.11284353859992335</v>
      </c>
      <c r="I32">
        <f>I15*(1-I19-I16+(I26/I7))</f>
        <v>-0.11457481850650486</v>
      </c>
      <c r="J32">
        <f>J15*(1-J19-J16+(J26/J7))</f>
        <v>-0.11528600612928429</v>
      </c>
      <c r="K32">
        <f>K15*(1-K19-K16+(K26/K7))</f>
        <v>-0.1153131643759196</v>
      </c>
    </row>
    <row r="34" spans="1:11" x14ac:dyDescent="0.3">
      <c r="A34" s="12" t="s">
        <v>149</v>
      </c>
      <c r="B34">
        <f>(B28-B29-B14*(B30-B31-B32))</f>
        <v>1.3693587968246533E-3</v>
      </c>
      <c r="C34">
        <f t="shared" ref="C34:H34" si="17">(C28-C29-C14*(C30-C31-C32))</f>
        <v>4.7185402760158363E-3</v>
      </c>
      <c r="D34">
        <f t="shared" si="17"/>
        <v>9.8613763796413338E-3</v>
      </c>
      <c r="E34">
        <f t="shared" si="17"/>
        <v>1.5825748369501E-2</v>
      </c>
      <c r="F34">
        <f t="shared" si="17"/>
        <v>2.2344065623109234E-2</v>
      </c>
      <c r="G34">
        <f t="shared" si="17"/>
        <v>2.8674115960466758E-2</v>
      </c>
      <c r="H34">
        <f t="shared" si="17"/>
        <v>3.434374998843167E-2</v>
      </c>
      <c r="I34">
        <f>(I28-I29-I14*(I30-I31-I32))</f>
        <v>3.886411230562678E-2</v>
      </c>
      <c r="J34">
        <f>(J28-J29-J14*(J30-J31-J32))</f>
        <v>4.170733752168123E-2</v>
      </c>
      <c r="K34">
        <f>(K28-K29-K14*(K30-K31-K32))</f>
        <v>4.2784942965034406E-2</v>
      </c>
    </row>
    <row r="36" spans="1:11" x14ac:dyDescent="0.3">
      <c r="A36" s="12" t="s">
        <v>150</v>
      </c>
      <c r="B36">
        <f>B34*B11</f>
        <v>6.9334622624033083E-6</v>
      </c>
      <c r="C36">
        <f t="shared" ref="C36:H36" si="18">C34*C11</f>
        <v>2.3891343169700436E-5</v>
      </c>
      <c r="D36">
        <f t="shared" si="18"/>
        <v>4.993101964375359E-5</v>
      </c>
      <c r="E36">
        <f t="shared" si="18"/>
        <v>8.0130371491144304E-5</v>
      </c>
      <c r="F36">
        <f t="shared" si="18"/>
        <v>1.1313450948409739E-4</v>
      </c>
      <c r="G36">
        <f t="shared" si="18"/>
        <v>1.4518539726818611E-4</v>
      </c>
      <c r="H36">
        <f t="shared" si="18"/>
        <v>1.7389240500471733E-4</v>
      </c>
      <c r="I36">
        <f>I34*I11</f>
        <v>1.9678031547152799E-4</v>
      </c>
      <c r="J36">
        <f>J34*J11</f>
        <v>2.1117639251484169E-4</v>
      </c>
      <c r="K36">
        <f>K34*K11</f>
        <v>2.1663262260776916E-4</v>
      </c>
    </row>
    <row r="38" spans="1:11" x14ac:dyDescent="0.3">
      <c r="A38" s="12" t="s">
        <v>87</v>
      </c>
      <c r="B38">
        <f>0.0001246</f>
        <v>1.2459999999999999E-4</v>
      </c>
      <c r="C38">
        <f t="shared" ref="C38:K38" si="19">0.0001246</f>
        <v>1.2459999999999999E-4</v>
      </c>
      <c r="D38">
        <f t="shared" si="19"/>
        <v>1.2459999999999999E-4</v>
      </c>
      <c r="E38">
        <f t="shared" si="19"/>
        <v>1.2459999999999999E-4</v>
      </c>
      <c r="F38">
        <f t="shared" si="19"/>
        <v>1.2459999999999999E-4</v>
      </c>
      <c r="G38">
        <f t="shared" si="19"/>
        <v>1.2459999999999999E-4</v>
      </c>
      <c r="H38">
        <f t="shared" si="19"/>
        <v>1.2459999999999999E-4</v>
      </c>
      <c r="I38">
        <f t="shared" si="19"/>
        <v>1.2459999999999999E-4</v>
      </c>
      <c r="J38">
        <f t="shared" si="19"/>
        <v>1.2459999999999999E-4</v>
      </c>
      <c r="K38">
        <f t="shared" si="19"/>
        <v>1.2459999999999999E-4</v>
      </c>
    </row>
    <row r="40" spans="1:11" x14ac:dyDescent="0.3">
      <c r="A40" s="12" t="s">
        <v>37</v>
      </c>
      <c r="B40">
        <f>B36/B38</f>
        <v>5.5645764545772941E-2</v>
      </c>
      <c r="C40">
        <f t="shared" ref="C40:K40" si="20">C36/C38</f>
        <v>0.19174432720465839</v>
      </c>
      <c r="D40">
        <f t="shared" si="20"/>
        <v>0.4007304947331749</v>
      </c>
      <c r="E40">
        <f t="shared" si="20"/>
        <v>0.64310089479249044</v>
      </c>
      <c r="F40">
        <f t="shared" si="20"/>
        <v>0.9079816170473306</v>
      </c>
      <c r="G40">
        <f t="shared" si="20"/>
        <v>1.1652118560849607</v>
      </c>
      <c r="H40">
        <f t="shared" si="20"/>
        <v>1.3956051766028679</v>
      </c>
      <c r="I40">
        <f>I36/I38</f>
        <v>1.5792962718421188</v>
      </c>
      <c r="J40">
        <f t="shared" si="20"/>
        <v>1.6948346108735288</v>
      </c>
      <c r="K40">
        <f t="shared" si="20"/>
        <v>1.7386245795166064</v>
      </c>
    </row>
    <row r="42" spans="1:11" x14ac:dyDescent="0.3">
      <c r="B42">
        <f>B40/(2*(1+B19))</f>
        <v>1.4643622248887617E-2</v>
      </c>
      <c r="C42">
        <f t="shared" ref="C42:K42" si="21">C40/(2*(1+C19))</f>
        <v>5.3262313112405105E-2</v>
      </c>
      <c r="D42">
        <f t="shared" si="21"/>
        <v>0.11786191021563969</v>
      </c>
      <c r="E42">
        <f t="shared" si="21"/>
        <v>0.20096902962265326</v>
      </c>
      <c r="F42">
        <f t="shared" si="21"/>
        <v>0.30266053901577689</v>
      </c>
      <c r="G42">
        <f t="shared" si="21"/>
        <v>0.41614709145891454</v>
      </c>
      <c r="H42">
        <f t="shared" si="21"/>
        <v>0.53677122177033376</v>
      </c>
      <c r="I42">
        <f t="shared" si="21"/>
        <v>0.65804011326754952</v>
      </c>
      <c r="J42">
        <f t="shared" si="21"/>
        <v>0.77037936857887668</v>
      </c>
      <c r="K42">
        <f t="shared" si="21"/>
        <v>0.86931228975830321</v>
      </c>
    </row>
    <row r="44" spans="1:11" x14ac:dyDescent="0.3">
      <c r="A44" t="s">
        <v>128</v>
      </c>
      <c r="B44" s="14">
        <v>5.1999999999999998E-2</v>
      </c>
      <c r="C44" s="14">
        <v>0.191</v>
      </c>
      <c r="D44" s="14">
        <v>0.39800000000000002</v>
      </c>
      <c r="E44" s="14">
        <v>0.64800000000000002</v>
      </c>
      <c r="F44" s="14">
        <v>0.91600000000000004</v>
      </c>
      <c r="G44" s="14">
        <v>1.1739999999999999</v>
      </c>
      <c r="H44" s="14">
        <v>1.4059999999999999</v>
      </c>
      <c r="I44" s="14">
        <v>1.59</v>
      </c>
      <c r="J44" s="14">
        <v>1.71</v>
      </c>
      <c r="K44" s="14">
        <v>1.7509999999999999</v>
      </c>
    </row>
    <row r="45" spans="1:11" x14ac:dyDescent="0.3">
      <c r="B45" s="14">
        <f>B44/B40</f>
        <v>0.93448262279200023</v>
      </c>
      <c r="C45" s="14">
        <f t="shared" ref="C45:K45" si="22">C44/C40</f>
        <v>0.99611812659331544</v>
      </c>
      <c r="D45" s="14">
        <f t="shared" si="22"/>
        <v>0.99318620676723646</v>
      </c>
      <c r="E45" s="14">
        <f t="shared" si="22"/>
        <v>1.007617941830248</v>
      </c>
      <c r="F45" s="14">
        <f t="shared" si="22"/>
        <v>1.0088309970181384</v>
      </c>
      <c r="G45" s="14">
        <f t="shared" si="22"/>
        <v>1.0075420996354834</v>
      </c>
      <c r="H45" s="14">
        <f t="shared" si="22"/>
        <v>1.0074482551164181</v>
      </c>
      <c r="I45" s="14">
        <f t="shared" si="22"/>
        <v>1.0067775301877944</v>
      </c>
      <c r="J45" s="14">
        <f t="shared" si="22"/>
        <v>1.0089480053269946</v>
      </c>
      <c r="K45" s="14">
        <f t="shared" si="22"/>
        <v>1.0071179371493955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7" zoomScale="175" zoomScaleNormal="175" workbookViewId="0">
      <selection activeCell="B15" sqref="B15"/>
    </sheetView>
  </sheetViews>
  <sheetFormatPr defaultRowHeight="14.4" x14ac:dyDescent="0.3"/>
  <cols>
    <col min="1" max="1" width="30.109375" customWidth="1"/>
    <col min="2" max="2" width="12.109375" bestFit="1" customWidth="1"/>
  </cols>
  <sheetData>
    <row r="1" spans="1:11" x14ac:dyDescent="0.3">
      <c r="A1" s="15" t="s">
        <v>27</v>
      </c>
      <c r="B1" s="15">
        <v>236.16</v>
      </c>
      <c r="C1" s="15">
        <v>236.16</v>
      </c>
      <c r="D1" s="15">
        <v>236.16</v>
      </c>
      <c r="E1" s="15">
        <v>236.16</v>
      </c>
      <c r="F1" s="15">
        <v>236.16</v>
      </c>
      <c r="G1" s="15">
        <v>236.16</v>
      </c>
      <c r="H1" s="15">
        <v>236.16</v>
      </c>
      <c r="I1" s="15">
        <v>236.16</v>
      </c>
      <c r="J1" s="15">
        <v>236.16</v>
      </c>
      <c r="K1" s="15">
        <v>236.16</v>
      </c>
    </row>
    <row r="2" spans="1:11" x14ac:dyDescent="0.3">
      <c r="A2" s="15" t="s">
        <v>44</v>
      </c>
      <c r="B2" s="15">
        <v>1574.4</v>
      </c>
      <c r="C2" s="15">
        <v>1574.4</v>
      </c>
      <c r="D2" s="15">
        <v>1574.4</v>
      </c>
      <c r="E2" s="15">
        <v>1574.4</v>
      </c>
      <c r="F2" s="15">
        <v>1574.4</v>
      </c>
      <c r="G2" s="15">
        <v>1574.4</v>
      </c>
      <c r="H2" s="15">
        <v>1574.4</v>
      </c>
      <c r="I2" s="15">
        <v>1574.4</v>
      </c>
      <c r="J2" s="15">
        <v>1574.4</v>
      </c>
      <c r="K2" s="15">
        <v>1574.4</v>
      </c>
    </row>
    <row r="3" spans="1:11" x14ac:dyDescent="0.3">
      <c r="A3" s="15" t="s">
        <v>11</v>
      </c>
      <c r="B3" s="15">
        <v>2000000</v>
      </c>
      <c r="C3" s="15">
        <v>2000000</v>
      </c>
      <c r="D3" s="15">
        <v>2000000</v>
      </c>
      <c r="E3" s="15">
        <v>2000000</v>
      </c>
      <c r="F3" s="15">
        <v>2000000</v>
      </c>
      <c r="G3" s="15">
        <v>2000000</v>
      </c>
      <c r="H3" s="15">
        <v>2000000</v>
      </c>
      <c r="I3" s="15">
        <v>2000000</v>
      </c>
      <c r="J3" s="15">
        <v>2000000</v>
      </c>
      <c r="K3" s="15">
        <v>2000000</v>
      </c>
    </row>
    <row r="4" spans="1:11" x14ac:dyDescent="0.3">
      <c r="A4" s="15" t="s">
        <v>114</v>
      </c>
      <c r="B4" s="15">
        <v>32288.69</v>
      </c>
      <c r="C4" s="15">
        <v>32288.69</v>
      </c>
      <c r="D4" s="15">
        <v>32288.69</v>
      </c>
      <c r="E4" s="15">
        <v>32288.69</v>
      </c>
      <c r="F4" s="15">
        <v>32288.69</v>
      </c>
      <c r="G4" s="15">
        <v>32288.69</v>
      </c>
      <c r="H4" s="15">
        <v>32288.69</v>
      </c>
      <c r="I4" s="15">
        <v>32288.69</v>
      </c>
      <c r="J4" s="15">
        <v>32288.69</v>
      </c>
      <c r="K4" s="15">
        <v>32288.69</v>
      </c>
    </row>
    <row r="5" spans="1:11" x14ac:dyDescent="0.3">
      <c r="A5" s="15" t="s">
        <v>17</v>
      </c>
      <c r="B5" s="15">
        <v>0.3</v>
      </c>
      <c r="C5" s="15">
        <v>0.3</v>
      </c>
      <c r="D5" s="15">
        <v>0.3</v>
      </c>
      <c r="E5" s="15">
        <v>0.3</v>
      </c>
      <c r="F5" s="15">
        <v>0.3</v>
      </c>
      <c r="G5" s="15">
        <v>0.3</v>
      </c>
      <c r="H5" s="15">
        <v>0.3</v>
      </c>
      <c r="I5" s="15">
        <v>0.3</v>
      </c>
      <c r="J5" s="15">
        <v>0.3</v>
      </c>
      <c r="K5" s="15">
        <v>0.3</v>
      </c>
    </row>
    <row r="6" spans="1:11" x14ac:dyDescent="0.3">
      <c r="A6" s="15" t="s">
        <v>26</v>
      </c>
      <c r="B6" s="15">
        <v>5</v>
      </c>
      <c r="C6" s="15">
        <v>5</v>
      </c>
      <c r="D6" s="15">
        <v>5</v>
      </c>
      <c r="E6" s="15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</row>
    <row r="7" spans="1:11" x14ac:dyDescent="0.3">
      <c r="A7" s="15" t="s">
        <v>28</v>
      </c>
      <c r="B7" s="15">
        <v>2.2924000000000002</v>
      </c>
      <c r="C7" s="15">
        <v>2.2924000000000002</v>
      </c>
      <c r="D7" s="15">
        <v>2.2924000000000002</v>
      </c>
      <c r="E7" s="15">
        <v>2.2924000000000002</v>
      </c>
      <c r="F7" s="15">
        <v>2.2924000000000002</v>
      </c>
      <c r="G7" s="15">
        <v>2.2924000000000002</v>
      </c>
      <c r="H7" s="15">
        <v>2.2924000000000002</v>
      </c>
      <c r="I7" s="15">
        <v>2.2924000000000002</v>
      </c>
      <c r="J7" s="15">
        <v>2.2924000000000002</v>
      </c>
      <c r="K7" s="15">
        <v>2.2924000000000002</v>
      </c>
    </row>
    <row r="8" spans="1:11" x14ac:dyDescent="0.3">
      <c r="A8" s="15" t="s">
        <v>45</v>
      </c>
      <c r="B8" s="15">
        <v>47.67</v>
      </c>
      <c r="C8" s="15">
        <v>47.67</v>
      </c>
      <c r="D8" s="15">
        <v>47.67</v>
      </c>
      <c r="E8" s="15">
        <v>47.67</v>
      </c>
      <c r="F8" s="15">
        <v>47.67</v>
      </c>
      <c r="G8" s="15">
        <v>47.67</v>
      </c>
      <c r="H8" s="15">
        <v>47.67</v>
      </c>
      <c r="I8" s="15">
        <v>47.67</v>
      </c>
      <c r="J8" s="15">
        <v>47.67</v>
      </c>
      <c r="K8" s="15">
        <v>47.67</v>
      </c>
    </row>
    <row r="9" spans="1:11" x14ac:dyDescent="0.3">
      <c r="A9" s="15" t="s">
        <v>30</v>
      </c>
      <c r="B9" s="15">
        <f>B6-1</f>
        <v>4</v>
      </c>
      <c r="C9" s="15">
        <f t="shared" ref="C9:K9" si="0">C6-1</f>
        <v>4</v>
      </c>
      <c r="D9" s="15">
        <f t="shared" si="0"/>
        <v>4</v>
      </c>
      <c r="E9" s="15">
        <f t="shared" si="0"/>
        <v>4</v>
      </c>
      <c r="F9" s="15">
        <f t="shared" si="0"/>
        <v>4</v>
      </c>
      <c r="G9" s="15">
        <f t="shared" si="0"/>
        <v>4</v>
      </c>
      <c r="H9" s="15">
        <f t="shared" si="0"/>
        <v>4</v>
      </c>
      <c r="I9" s="15">
        <f t="shared" si="0"/>
        <v>4</v>
      </c>
      <c r="J9" s="15">
        <f t="shared" si="0"/>
        <v>4</v>
      </c>
      <c r="K9" s="15">
        <f t="shared" si="0"/>
        <v>4</v>
      </c>
    </row>
    <row r="10" spans="1:11" x14ac:dyDescent="0.3">
      <c r="A10" s="15"/>
      <c r="B10" s="15"/>
    </row>
    <row r="11" spans="1:11" x14ac:dyDescent="0.3">
      <c r="A11" s="15" t="s">
        <v>116</v>
      </c>
      <c r="B11" s="15">
        <f>(B1*B2^2)/(4*B3*B4)</f>
        <v>2.2661888056530015E-3</v>
      </c>
      <c r="C11" s="15">
        <f t="shared" ref="C11:H11" si="1">(C1*C2^2)/(4*C3*C4)</f>
        <v>2.2661888056530015E-3</v>
      </c>
      <c r="D11" s="15">
        <f t="shared" si="1"/>
        <v>2.2661888056530015E-3</v>
      </c>
      <c r="E11" s="15">
        <f t="shared" si="1"/>
        <v>2.2661888056530015E-3</v>
      </c>
      <c r="F11" s="15">
        <f t="shared" si="1"/>
        <v>2.2661888056530015E-3</v>
      </c>
      <c r="G11" s="15">
        <f t="shared" si="1"/>
        <v>2.2661888056530015E-3</v>
      </c>
      <c r="H11" s="15">
        <f t="shared" si="1"/>
        <v>2.2661888056530015E-3</v>
      </c>
      <c r="I11" s="15">
        <f>(I1*I2^2)/(4*I3*I4)</f>
        <v>2.2661888056530015E-3</v>
      </c>
      <c r="J11" s="15">
        <f>(J1*J2^2)/(4*J3*J4)</f>
        <v>2.2661888056530015E-3</v>
      </c>
      <c r="K11" s="15">
        <f>(K1*K2^2)/(4*K3*K4)</f>
        <v>2.2661888056530015E-3</v>
      </c>
    </row>
    <row r="12" spans="1:11" x14ac:dyDescent="0.3">
      <c r="A12" s="15" t="s">
        <v>117</v>
      </c>
      <c r="B12" s="15">
        <f>(B8/B1)+(1/B9)</f>
        <v>0.45185467479674801</v>
      </c>
      <c r="C12" s="15">
        <f t="shared" ref="C12:H12" si="2">(C8/C1)+(1/C9)</f>
        <v>0.45185467479674801</v>
      </c>
      <c r="D12" s="15">
        <f t="shared" si="2"/>
        <v>0.45185467479674801</v>
      </c>
      <c r="E12" s="15">
        <f t="shared" si="2"/>
        <v>0.45185467479674801</v>
      </c>
      <c r="F12" s="15">
        <f t="shared" si="2"/>
        <v>0.45185467479674801</v>
      </c>
      <c r="G12" s="15">
        <f t="shared" si="2"/>
        <v>0.45185467479674801</v>
      </c>
      <c r="H12" s="15">
        <f t="shared" si="2"/>
        <v>0.45185467479674801</v>
      </c>
      <c r="I12" s="15">
        <f>(I8/I1)+(1/I9)</f>
        <v>0.45185467479674801</v>
      </c>
      <c r="J12" s="15">
        <f>(J8/J1)+(1/J9)</f>
        <v>0.45185467479674801</v>
      </c>
      <c r="K12" s="15">
        <f>(K8/K1)+(1/K9)</f>
        <v>0.45185467479674801</v>
      </c>
    </row>
    <row r="13" spans="1:11" x14ac:dyDescent="0.3">
      <c r="A13" s="15" t="s">
        <v>118</v>
      </c>
      <c r="B13" s="15">
        <f>1/B7^2</f>
        <v>0.19029141714768022</v>
      </c>
      <c r="C13" s="15">
        <f t="shared" ref="C13:H13" si="3">1/C7^2</f>
        <v>0.19029141714768022</v>
      </c>
      <c r="D13" s="15">
        <f t="shared" si="3"/>
        <v>0.19029141714768022</v>
      </c>
      <c r="E13" s="15">
        <f t="shared" si="3"/>
        <v>0.19029141714768022</v>
      </c>
      <c r="F13" s="15">
        <f t="shared" si="3"/>
        <v>0.19029141714768022</v>
      </c>
      <c r="G13" s="15">
        <f t="shared" si="3"/>
        <v>0.19029141714768022</v>
      </c>
      <c r="H13" s="15">
        <f t="shared" si="3"/>
        <v>0.19029141714768022</v>
      </c>
      <c r="I13" s="15">
        <f>1/I7^2</f>
        <v>0.19029141714768022</v>
      </c>
      <c r="J13" s="15">
        <f>1/J7^2</f>
        <v>0.19029141714768022</v>
      </c>
      <c r="K13" s="15">
        <f>1/K7^2</f>
        <v>0.19029141714768022</v>
      </c>
    </row>
    <row r="14" spans="1:11" x14ac:dyDescent="0.3">
      <c r="A14" s="15" t="s">
        <v>119</v>
      </c>
      <c r="B14" s="15">
        <f>1-B5</f>
        <v>0.7</v>
      </c>
      <c r="C14" s="15">
        <f t="shared" ref="C14:H14" si="4">1-C5</f>
        <v>0.7</v>
      </c>
      <c r="D14" s="15">
        <f t="shared" si="4"/>
        <v>0.7</v>
      </c>
      <c r="E14" s="15">
        <f t="shared" si="4"/>
        <v>0.7</v>
      </c>
      <c r="F14" s="15">
        <f t="shared" si="4"/>
        <v>0.7</v>
      </c>
      <c r="G14" s="15">
        <f t="shared" si="4"/>
        <v>0.7</v>
      </c>
      <c r="H14" s="15">
        <f t="shared" si="4"/>
        <v>0.7</v>
      </c>
      <c r="I14" s="15">
        <f>1-I5</f>
        <v>0.7</v>
      </c>
      <c r="J14" s="15">
        <f>1-J5</f>
        <v>0.7</v>
      </c>
      <c r="K14" s="15">
        <f>1-K5</f>
        <v>0.7</v>
      </c>
    </row>
    <row r="15" spans="1:11" x14ac:dyDescent="0.3">
      <c r="A15" s="15" t="s">
        <v>115</v>
      </c>
      <c r="B15" s="15">
        <f>(2/(B7*B7*B9))</f>
        <v>9.514570857384011E-2</v>
      </c>
      <c r="C15" s="15">
        <f t="shared" ref="C15:H15" si="5">(2/(C7*C7*C9))</f>
        <v>9.514570857384011E-2</v>
      </c>
      <c r="D15" s="15">
        <f t="shared" si="5"/>
        <v>9.514570857384011E-2</v>
      </c>
      <c r="E15" s="15">
        <f t="shared" si="5"/>
        <v>9.514570857384011E-2</v>
      </c>
      <c r="F15" s="15">
        <f t="shared" si="5"/>
        <v>9.514570857384011E-2</v>
      </c>
      <c r="G15" s="15">
        <f t="shared" si="5"/>
        <v>9.514570857384011E-2</v>
      </c>
      <c r="H15" s="15">
        <f t="shared" si="5"/>
        <v>9.514570857384011E-2</v>
      </c>
      <c r="I15" s="15">
        <f>(2/(I7*I7*I9))</f>
        <v>9.514570857384011E-2</v>
      </c>
      <c r="J15" s="15">
        <f>(2/(J7*J7*J9))</f>
        <v>9.514570857384011E-2</v>
      </c>
      <c r="K15" s="15">
        <f>(2/(K7*K7*K9))</f>
        <v>9.514570857384011E-2</v>
      </c>
    </row>
    <row r="16" spans="1:11" x14ac:dyDescent="0.3">
      <c r="A16" s="15" t="s">
        <v>120</v>
      </c>
      <c r="B16" s="15">
        <f>SQRT(B6^2-1)/B7</f>
        <v>2.1370526459458885</v>
      </c>
      <c r="C16" s="15">
        <f t="shared" ref="C16:H16" si="6">SQRT(C6^2-1)/C7</f>
        <v>2.1370526459458885</v>
      </c>
      <c r="D16" s="15">
        <f t="shared" si="6"/>
        <v>2.1370526459458885</v>
      </c>
      <c r="E16" s="15">
        <f t="shared" si="6"/>
        <v>2.1370526459458885</v>
      </c>
      <c r="F16" s="15">
        <f t="shared" si="6"/>
        <v>2.1370526459458885</v>
      </c>
      <c r="G16" s="15">
        <f t="shared" si="6"/>
        <v>2.1370526459458885</v>
      </c>
      <c r="H16" s="15">
        <f t="shared" si="6"/>
        <v>2.1370526459458885</v>
      </c>
      <c r="I16" s="15">
        <f>SQRT(I6^2-1)/I7</f>
        <v>2.1370526459458885</v>
      </c>
      <c r="J16" s="15">
        <f>SQRT(J6^2-1)/J7</f>
        <v>2.1370526459458885</v>
      </c>
      <c r="K16" s="15">
        <f>SQRT(K6^2-1)/K7</f>
        <v>2.1370526459458885</v>
      </c>
    </row>
    <row r="18" spans="1:11" x14ac:dyDescent="0.3">
      <c r="A18" t="s">
        <v>121</v>
      </c>
    </row>
    <row r="19" spans="1:11" x14ac:dyDescent="0.3">
      <c r="A19" s="15" t="s">
        <v>47</v>
      </c>
      <c r="B19" s="15">
        <v>0.9</v>
      </c>
      <c r="C19" s="15">
        <v>0.8</v>
      </c>
      <c r="D19" s="15">
        <v>0.7</v>
      </c>
      <c r="E19" s="15">
        <v>0.6</v>
      </c>
      <c r="F19" s="15">
        <v>0.5</v>
      </c>
      <c r="G19" s="15">
        <v>0.4</v>
      </c>
      <c r="H19" s="15">
        <v>0.3</v>
      </c>
      <c r="I19" s="15">
        <v>0.2</v>
      </c>
      <c r="J19" s="15">
        <v>0.1</v>
      </c>
      <c r="K19" s="15">
        <v>0</v>
      </c>
    </row>
    <row r="20" spans="1:11" x14ac:dyDescent="0.3">
      <c r="A20" s="15" t="s">
        <v>46</v>
      </c>
      <c r="B20" s="15">
        <v>177.06299999999999</v>
      </c>
      <c r="C20" s="15">
        <v>130.43</v>
      </c>
      <c r="D20" s="15">
        <v>93.79</v>
      </c>
      <c r="E20" s="15">
        <v>65.22</v>
      </c>
      <c r="F20" s="15">
        <v>43.22</v>
      </c>
      <c r="G20" s="15">
        <v>26.61</v>
      </c>
      <c r="H20" s="15">
        <v>14.52</v>
      </c>
      <c r="I20" s="15">
        <v>6.31</v>
      </c>
      <c r="J20" s="15">
        <v>1.56</v>
      </c>
      <c r="K20" s="15">
        <v>0</v>
      </c>
    </row>
    <row r="21" spans="1:11" x14ac:dyDescent="0.3">
      <c r="A21" s="15" t="s">
        <v>122</v>
      </c>
      <c r="B21" s="15">
        <f>1-B19^2</f>
        <v>0.18999999999999995</v>
      </c>
      <c r="C21" s="15">
        <f t="shared" ref="C21:K21" si="7">1-C19^2</f>
        <v>0.35999999999999988</v>
      </c>
      <c r="D21" s="15">
        <f t="shared" si="7"/>
        <v>0.51</v>
      </c>
      <c r="E21" s="15">
        <f t="shared" si="7"/>
        <v>0.64</v>
      </c>
      <c r="F21" s="15">
        <f t="shared" si="7"/>
        <v>0.75</v>
      </c>
      <c r="G21" s="15">
        <f t="shared" si="7"/>
        <v>0.84</v>
      </c>
      <c r="H21" s="15">
        <f t="shared" si="7"/>
        <v>0.91</v>
      </c>
      <c r="I21" s="15">
        <f t="shared" si="7"/>
        <v>0.96</v>
      </c>
      <c r="J21" s="15">
        <f t="shared" si="7"/>
        <v>0.99</v>
      </c>
      <c r="K21" s="15">
        <f t="shared" si="7"/>
        <v>1</v>
      </c>
    </row>
    <row r="22" spans="1:11" x14ac:dyDescent="0.3">
      <c r="A22" s="15" t="s">
        <v>127</v>
      </c>
      <c r="B22" s="15">
        <f>1-B19^3</f>
        <v>0.27099999999999991</v>
      </c>
      <c r="C22" s="15">
        <f t="shared" ref="C22:K22" si="8">1-C19^3</f>
        <v>0.48799999999999988</v>
      </c>
      <c r="D22" s="15">
        <f t="shared" si="8"/>
        <v>0.65700000000000003</v>
      </c>
      <c r="E22" s="15">
        <f t="shared" si="8"/>
        <v>0.78400000000000003</v>
      </c>
      <c r="F22" s="15">
        <f t="shared" si="8"/>
        <v>0.875</v>
      </c>
      <c r="G22" s="15">
        <f t="shared" si="8"/>
        <v>0.93599999999999994</v>
      </c>
      <c r="H22" s="15">
        <f t="shared" si="8"/>
        <v>0.97299999999999998</v>
      </c>
      <c r="I22" s="15">
        <f t="shared" si="8"/>
        <v>0.99199999999999999</v>
      </c>
      <c r="J22" s="15">
        <f t="shared" si="8"/>
        <v>0.999</v>
      </c>
      <c r="K22" s="15">
        <f t="shared" si="8"/>
        <v>1</v>
      </c>
    </row>
    <row r="23" spans="1:11" x14ac:dyDescent="0.3">
      <c r="A23" s="15" t="s">
        <v>123</v>
      </c>
      <c r="B23" s="15">
        <f>B20/B1</f>
        <v>0.74975863821138211</v>
      </c>
      <c r="C23" s="15">
        <f t="shared" ref="C23:H23" si="9">C20/C1</f>
        <v>0.55229505420054203</v>
      </c>
      <c r="D23" s="15">
        <f t="shared" si="9"/>
        <v>0.39714600271002715</v>
      </c>
      <c r="E23" s="15">
        <f t="shared" si="9"/>
        <v>0.27616869918699188</v>
      </c>
      <c r="F23" s="15">
        <f t="shared" si="9"/>
        <v>0.18301151761517614</v>
      </c>
      <c r="G23" s="15">
        <f t="shared" si="9"/>
        <v>0.11267784552845528</v>
      </c>
      <c r="H23" s="15">
        <f t="shared" si="9"/>
        <v>6.1483739837398375E-2</v>
      </c>
      <c r="I23" s="15">
        <f>I20/I1</f>
        <v>2.6719173441734415E-2</v>
      </c>
      <c r="J23" s="15">
        <f>J20/J1</f>
        <v>6.6056910569105695E-3</v>
      </c>
      <c r="K23" s="15">
        <f>K20/K1</f>
        <v>0</v>
      </c>
    </row>
    <row r="24" spans="1:11" x14ac:dyDescent="0.3">
      <c r="A24" s="15" t="s">
        <v>124</v>
      </c>
      <c r="B24" s="15">
        <f>B23*B19</f>
        <v>0.67478277439024392</v>
      </c>
      <c r="C24" s="15">
        <f t="shared" ref="C24:H24" si="10">C23*C19</f>
        <v>0.44183604336043364</v>
      </c>
      <c r="D24" s="15">
        <f t="shared" si="10"/>
        <v>0.27800220189701896</v>
      </c>
      <c r="E24" s="15">
        <f t="shared" si="10"/>
        <v>0.16570121951219513</v>
      </c>
      <c r="F24" s="15">
        <f t="shared" si="10"/>
        <v>9.1505758807588072E-2</v>
      </c>
      <c r="G24" s="15">
        <f t="shared" si="10"/>
        <v>4.5071138211382117E-2</v>
      </c>
      <c r="H24" s="15">
        <f t="shared" si="10"/>
        <v>1.8445121951219511E-2</v>
      </c>
      <c r="I24" s="15">
        <f>I23*I19</f>
        <v>5.3438346883468834E-3</v>
      </c>
      <c r="J24" s="15">
        <f>J23*J19</f>
        <v>6.6056910569105699E-4</v>
      </c>
      <c r="K24" s="15">
        <f>K23*K19</f>
        <v>0</v>
      </c>
    </row>
    <row r="26" spans="1:11" x14ac:dyDescent="0.3">
      <c r="A26" s="15" t="s">
        <v>125</v>
      </c>
      <c r="B26">
        <f>SQRT((1+B23*B9)^2-1)</f>
        <v>3.8719862286496367</v>
      </c>
      <c r="C26">
        <f t="shared" ref="C26:H26" si="11">SQRT((1+C23*C9)^2-1)</f>
        <v>3.0493995579317597</v>
      </c>
      <c r="D26">
        <f t="shared" si="11"/>
        <v>2.3876279402739997</v>
      </c>
      <c r="E26">
        <f t="shared" si="11"/>
        <v>1.8519330441638806</v>
      </c>
      <c r="F26">
        <f t="shared" si="11"/>
        <v>1.4142077606201884</v>
      </c>
      <c r="G26">
        <f t="shared" si="11"/>
        <v>1.0509821664493615</v>
      </c>
      <c r="H26">
        <f t="shared" si="11"/>
        <v>0.74320516879894805</v>
      </c>
      <c r="I26">
        <f>SQRT((1+I23*I9)^2-1)</f>
        <v>0.47452714906992105</v>
      </c>
      <c r="J26">
        <f>SQRT((1+J23*J9)^2-1)</f>
        <v>0.23139509701960845</v>
      </c>
      <c r="K26">
        <f>SQRT((1+K23*K9)^2-1)</f>
        <v>0</v>
      </c>
    </row>
    <row r="28" spans="1:11" x14ac:dyDescent="0.3">
      <c r="A28" s="15" t="s">
        <v>49</v>
      </c>
      <c r="B28">
        <f>(B12*B21)/2</f>
        <v>4.2926194105691047E-2</v>
      </c>
      <c r="C28">
        <f t="shared" ref="C28:H28" si="12">(C12*C21)/2</f>
        <v>8.1333841463414616E-2</v>
      </c>
      <c r="D28">
        <f t="shared" si="12"/>
        <v>0.11522294207317074</v>
      </c>
      <c r="E28">
        <f t="shared" si="12"/>
        <v>0.14459349593495938</v>
      </c>
      <c r="F28">
        <f t="shared" si="12"/>
        <v>0.1694455030487805</v>
      </c>
      <c r="G28">
        <f t="shared" si="12"/>
        <v>0.18977896341463416</v>
      </c>
      <c r="H28">
        <f t="shared" si="12"/>
        <v>0.20559387703252036</v>
      </c>
      <c r="I28">
        <f>(I12*I21)/2</f>
        <v>0.21689024390243905</v>
      </c>
      <c r="J28">
        <f>(J12*J21)/2</f>
        <v>0.22366806402439027</v>
      </c>
      <c r="K28">
        <f>(K12*K21)/2</f>
        <v>0.22592733739837401</v>
      </c>
    </row>
    <row r="29" spans="1:11" x14ac:dyDescent="0.3">
      <c r="A29" s="15" t="s">
        <v>51</v>
      </c>
      <c r="B29">
        <f>B13*(1-B23)</f>
        <v>4.7618783363721454E-2</v>
      </c>
      <c r="C29">
        <f t="shared" ref="C29:H29" si="13">C13*(1-C23)</f>
        <v>8.5194408600204219E-2</v>
      </c>
      <c r="D29">
        <f t="shared" si="13"/>
        <v>0.11471794147745272</v>
      </c>
      <c r="E29">
        <f t="shared" si="13"/>
        <v>0.13773888400755616</v>
      </c>
      <c r="F29">
        <f t="shared" si="13"/>
        <v>0.15546589610634071</v>
      </c>
      <c r="G29">
        <f t="shared" si="13"/>
        <v>0.16884979024092306</v>
      </c>
      <c r="H29">
        <f t="shared" si="13"/>
        <v>0.17859158916248238</v>
      </c>
      <c r="I29">
        <f>I13*(1-I23)</f>
        <v>0.18520698776843791</v>
      </c>
      <c r="J29">
        <f>J13*(1-J23)</f>
        <v>0.18903441083522096</v>
      </c>
      <c r="K29">
        <f>K13*(1-K23)</f>
        <v>0.19029141714768022</v>
      </c>
    </row>
    <row r="30" spans="1:11" x14ac:dyDescent="0.3">
      <c r="A30" s="15" t="s">
        <v>52</v>
      </c>
      <c r="B30">
        <f>(B12*B22)/6</f>
        <v>2.0408769478319776E-2</v>
      </c>
      <c r="C30">
        <f t="shared" ref="C30:K30" si="14">(C12*C22)/6</f>
        <v>3.675084688346883E-2</v>
      </c>
      <c r="D30">
        <f t="shared" si="14"/>
        <v>4.9478086890243911E-2</v>
      </c>
      <c r="E30">
        <f t="shared" si="14"/>
        <v>5.9042344173441737E-2</v>
      </c>
      <c r="F30">
        <f t="shared" si="14"/>
        <v>6.5895473407859076E-2</v>
      </c>
      <c r="G30">
        <f t="shared" si="14"/>
        <v>7.0489329268292683E-2</v>
      </c>
      <c r="H30">
        <f t="shared" si="14"/>
        <v>7.3275766429539299E-2</v>
      </c>
      <c r="I30">
        <f t="shared" si="14"/>
        <v>7.4706639566395672E-2</v>
      </c>
      <c r="J30">
        <f t="shared" si="14"/>
        <v>7.5233803353658549E-2</v>
      </c>
      <c r="K30">
        <f t="shared" si="14"/>
        <v>7.5309112466124664E-2</v>
      </c>
    </row>
    <row r="31" spans="1:11" x14ac:dyDescent="0.3">
      <c r="A31" s="15" t="s">
        <v>53</v>
      </c>
      <c r="B31">
        <f>B13*(1-B24)</f>
        <v>6.1886046742117326E-2</v>
      </c>
      <c r="C31">
        <f t="shared" ref="C31:H31" si="15">C13*(1-C24)</f>
        <v>0.10621381030969942</v>
      </c>
      <c r="D31">
        <f t="shared" si="15"/>
        <v>0.13738998417852097</v>
      </c>
      <c r="E31">
        <f t="shared" si="15"/>
        <v>0.15875989726360576</v>
      </c>
      <c r="F31">
        <f t="shared" si="15"/>
        <v>0.17287865662701046</v>
      </c>
      <c r="G31">
        <f t="shared" si="15"/>
        <v>0.18171476638497736</v>
      </c>
      <c r="H31">
        <f t="shared" si="15"/>
        <v>0.18678146875212087</v>
      </c>
      <c r="I31">
        <f>I13*(1-I24)</f>
        <v>0.18927453127183178</v>
      </c>
      <c r="J31">
        <f>J13*(1-J24)</f>
        <v>0.1901657165164343</v>
      </c>
      <c r="K31">
        <f>K13*(1-K24)</f>
        <v>0.19029141714768022</v>
      </c>
    </row>
    <row r="32" spans="1:11" x14ac:dyDescent="0.3">
      <c r="A32" s="15" t="s">
        <v>54</v>
      </c>
      <c r="B32">
        <f>B15*(1-B19-B16+(B26/B7))</f>
        <v>-3.3110625936324314E-2</v>
      </c>
      <c r="C32">
        <f t="shared" ref="C32:H32" si="16">C15*(1-C19-C16+(C26/C7))</f>
        <v>-5.7737388026440094E-2</v>
      </c>
      <c r="D32">
        <f t="shared" si="16"/>
        <v>-7.5689546132633095E-2</v>
      </c>
      <c r="E32">
        <f t="shared" si="16"/>
        <v>-8.8408909348616296E-2</v>
      </c>
      <c r="F32">
        <f t="shared" si="16"/>
        <v>-9.7062058899297921E-2</v>
      </c>
      <c r="G32">
        <f t="shared" si="16"/>
        <v>-0.10262311032839855</v>
      </c>
      <c r="H32">
        <f t="shared" si="16"/>
        <v>-0.10588277630759529</v>
      </c>
      <c r="I32">
        <f>I15*(1-I19-I16+(I26/I7))</f>
        <v>-0.10751964523617118</v>
      </c>
      <c r="J32">
        <f>J15*(1-J19-J16+(J26/J7))</f>
        <v>-0.10809623271474023</v>
      </c>
      <c r="K32">
        <f>K15*(1-K19-K16+(K26/K7))</f>
        <v>-0.10818567968428131</v>
      </c>
    </row>
    <row r="34" spans="1:11" x14ac:dyDescent="0.3">
      <c r="A34" s="15" t="s">
        <v>126</v>
      </c>
      <c r="B34">
        <f>(B28-B29-B14*(B30-B31-B32))</f>
        <v>1.1640666712008554E-3</v>
      </c>
      <c r="C34">
        <f t="shared" ref="C34:H34" si="17">(C28-C29-C14*(C30-C31-C32))</f>
        <v>4.3473356430637471E-3</v>
      </c>
      <c r="D34">
        <f t="shared" si="17"/>
        <v>9.0606464046687953E-3</v>
      </c>
      <c r="E34">
        <f t="shared" si="17"/>
        <v>1.4770662546486632E-2</v>
      </c>
      <c r="F34">
        <f t="shared" si="17"/>
        <v>2.0924393966337225E-2</v>
      </c>
      <c r="G34">
        <f t="shared" si="17"/>
        <v>2.6950801925511383E-2</v>
      </c>
      <c r="H34">
        <f t="shared" si="17"/>
        <v>3.2338336080528364E-2</v>
      </c>
      <c r="I34">
        <f>(I28-I29-I14*(I30-I31-I32))</f>
        <v>3.6617028662486582E-2</v>
      </c>
      <c r="J34">
        <f>(J28-J29-J14*(J30-J31-J32))</f>
        <v>3.9418629502794171E-2</v>
      </c>
      <c r="K34">
        <f>(K28-K29-K14*(K30-K31-K32))</f>
        <v>4.0393557748785759E-2</v>
      </c>
    </row>
    <row r="36" spans="1:11" x14ac:dyDescent="0.3">
      <c r="A36" s="15" t="s">
        <v>88</v>
      </c>
      <c r="B36">
        <f>B34*B11</f>
        <v>2.6379948593091315E-6</v>
      </c>
      <c r="C36">
        <f t="shared" ref="C36:H36" si="18">C34*C11</f>
        <v>9.8518833687273568E-6</v>
      </c>
      <c r="D36">
        <f t="shared" si="18"/>
        <v>2.0533135454240538E-5</v>
      </c>
      <c r="E36">
        <f t="shared" si="18"/>
        <v>3.3473110114926064E-5</v>
      </c>
      <c r="F36">
        <f t="shared" si="18"/>
        <v>4.7418627371586626E-5</v>
      </c>
      <c r="G36">
        <f t="shared" si="18"/>
        <v>6.1075605626965252E-5</v>
      </c>
      <c r="H36">
        <f t="shared" si="18"/>
        <v>7.3284775219137932E-5</v>
      </c>
      <c r="I36">
        <f>I34*I11</f>
        <v>8.298110045120219E-5</v>
      </c>
      <c r="J36">
        <f>J34*J11</f>
        <v>8.9330056913415292E-5</v>
      </c>
      <c r="K36">
        <f>K34*K11</f>
        <v>9.1539428390796339E-5</v>
      </c>
    </row>
    <row r="38" spans="1:11" x14ac:dyDescent="0.3">
      <c r="A38" s="15" t="s">
        <v>87</v>
      </c>
      <c r="B38">
        <f>0.0001246</f>
        <v>1.2459999999999999E-4</v>
      </c>
      <c r="C38">
        <f t="shared" ref="C38:K38" si="19">0.0001246</f>
        <v>1.2459999999999999E-4</v>
      </c>
      <c r="D38">
        <f t="shared" si="19"/>
        <v>1.2459999999999999E-4</v>
      </c>
      <c r="E38">
        <f t="shared" si="19"/>
        <v>1.2459999999999999E-4</v>
      </c>
      <c r="F38">
        <f t="shared" si="19"/>
        <v>1.2459999999999999E-4</v>
      </c>
      <c r="G38">
        <f t="shared" si="19"/>
        <v>1.2459999999999999E-4</v>
      </c>
      <c r="H38">
        <f t="shared" si="19"/>
        <v>1.2459999999999999E-4</v>
      </c>
      <c r="I38">
        <f t="shared" si="19"/>
        <v>1.2459999999999999E-4</v>
      </c>
      <c r="J38">
        <f t="shared" si="19"/>
        <v>1.2459999999999999E-4</v>
      </c>
      <c r="K38">
        <f t="shared" si="19"/>
        <v>1.2459999999999999E-4</v>
      </c>
    </row>
    <row r="40" spans="1:11" x14ac:dyDescent="0.3">
      <c r="A40" s="15" t="s">
        <v>37</v>
      </c>
      <c r="B40">
        <f>B36/B38</f>
        <v>2.1171708341164781E-2</v>
      </c>
      <c r="C40">
        <f t="shared" ref="C40:K40" si="20">C36/C38</f>
        <v>7.9068084821246845E-2</v>
      </c>
      <c r="D40">
        <f t="shared" si="20"/>
        <v>0.16479241937592728</v>
      </c>
      <c r="E40">
        <f t="shared" si="20"/>
        <v>0.26864454345847566</v>
      </c>
      <c r="F40">
        <f t="shared" si="20"/>
        <v>0.38056683283777393</v>
      </c>
      <c r="G40">
        <f t="shared" si="20"/>
        <v>0.49017339989538727</v>
      </c>
      <c r="H40">
        <f t="shared" si="20"/>
        <v>0.58816031476033659</v>
      </c>
      <c r="I40">
        <f>I36/I38</f>
        <v>0.66597993941574796</v>
      </c>
      <c r="J40">
        <f t="shared" si="20"/>
        <v>0.71693464617508262</v>
      </c>
      <c r="K40">
        <f t="shared" si="20"/>
        <v>0.73466635947669623</v>
      </c>
    </row>
    <row r="42" spans="1:11" x14ac:dyDescent="0.3">
      <c r="B42">
        <f>B40/(2*(1+B19))</f>
        <v>5.5715021950433642E-3</v>
      </c>
      <c r="C42">
        <f t="shared" ref="C42:K42" si="21">C40/(2*(1+C19))</f>
        <v>2.196335689479079E-2</v>
      </c>
      <c r="D42">
        <f t="shared" si="21"/>
        <v>4.8468358639978615E-2</v>
      </c>
      <c r="E42">
        <f t="shared" si="21"/>
        <v>8.3951419830773644E-2</v>
      </c>
      <c r="F42">
        <f t="shared" si="21"/>
        <v>0.12685561094592465</v>
      </c>
      <c r="G42">
        <f t="shared" si="21"/>
        <v>0.17506192853406691</v>
      </c>
      <c r="H42">
        <f t="shared" si="21"/>
        <v>0.22621550567705254</v>
      </c>
      <c r="I42">
        <f t="shared" si="21"/>
        <v>0.27749164142322835</v>
      </c>
      <c r="J42">
        <f t="shared" si="21"/>
        <v>0.32587938462503752</v>
      </c>
      <c r="K42">
        <f t="shared" si="21"/>
        <v>0.36733317973834811</v>
      </c>
    </row>
    <row r="44" spans="1:11" x14ac:dyDescent="0.3">
      <c r="A44" t="s">
        <v>128</v>
      </c>
      <c r="B44" s="15">
        <v>5.1999999999999998E-2</v>
      </c>
      <c r="C44" s="15">
        <v>0.191</v>
      </c>
      <c r="D44" s="15">
        <v>0.39800000000000002</v>
      </c>
      <c r="E44" s="15">
        <v>0.64800000000000002</v>
      </c>
      <c r="F44" s="15">
        <v>0.91600000000000004</v>
      </c>
      <c r="G44" s="15">
        <v>1.1739999999999999</v>
      </c>
      <c r="H44" s="15">
        <v>1.4059999999999999</v>
      </c>
      <c r="I44" s="15">
        <v>1.59</v>
      </c>
      <c r="J44" s="15">
        <v>1.71</v>
      </c>
      <c r="K44" s="15">
        <v>1.7509999999999999</v>
      </c>
    </row>
    <row r="45" spans="1:11" x14ac:dyDescent="0.3">
      <c r="B45" s="15">
        <f>B44/B40</f>
        <v>2.4561078946517911</v>
      </c>
      <c r="C45" s="15">
        <f t="shared" ref="C45:K45" si="22">C44/C40</f>
        <v>2.4156396405933345</v>
      </c>
      <c r="D45" s="15">
        <f t="shared" si="22"/>
        <v>2.4151596384544582</v>
      </c>
      <c r="E45" s="15">
        <f t="shared" si="22"/>
        <v>2.412109293781957</v>
      </c>
      <c r="F45" s="15">
        <f t="shared" si="22"/>
        <v>2.4069359727689874</v>
      </c>
      <c r="G45" s="15">
        <f t="shared" si="22"/>
        <v>2.3950708060669039</v>
      </c>
      <c r="H45" s="15">
        <f t="shared" si="22"/>
        <v>2.3905047054609874</v>
      </c>
      <c r="I45" s="15">
        <f t="shared" si="22"/>
        <v>2.387459300042698</v>
      </c>
      <c r="J45" s="15">
        <f t="shared" si="22"/>
        <v>2.3851546429273847</v>
      </c>
      <c r="K45" s="15">
        <f t="shared" si="22"/>
        <v>2.3833948259822857</v>
      </c>
    </row>
    <row r="47" spans="1:11" x14ac:dyDescent="0.3">
      <c r="A47" t="s">
        <v>138</v>
      </c>
      <c r="B47" s="15"/>
    </row>
    <row r="49" spans="1:11" x14ac:dyDescent="0.3">
      <c r="A49" t="s">
        <v>139</v>
      </c>
      <c r="B49">
        <f>B40*((B1*10)/B2)</f>
        <v>3.1757562511747169E-2</v>
      </c>
      <c r="C49">
        <f t="shared" ref="C49:K49" si="23">C40*((C1*10)/C2)</f>
        <v>0.11860212723187025</v>
      </c>
      <c r="D49">
        <f t="shared" si="23"/>
        <v>0.24718862906389089</v>
      </c>
      <c r="E49">
        <f t="shared" si="23"/>
        <v>0.40296681518771343</v>
      </c>
      <c r="F49">
        <f t="shared" si="23"/>
        <v>0.57085024925666084</v>
      </c>
      <c r="G49">
        <f t="shared" si="23"/>
        <v>0.73526009984308083</v>
      </c>
      <c r="H49">
        <f t="shared" si="23"/>
        <v>0.88224047214050472</v>
      </c>
      <c r="I49">
        <f t="shared" si="23"/>
        <v>0.99896990912362182</v>
      </c>
      <c r="J49">
        <f t="shared" si="23"/>
        <v>1.0754019692626238</v>
      </c>
      <c r="K49">
        <f t="shared" si="23"/>
        <v>1.1019995392150441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21" zoomScale="220" zoomScaleNormal="220" workbookViewId="0">
      <selection activeCell="F22" sqref="F22"/>
    </sheetView>
  </sheetViews>
  <sheetFormatPr defaultRowHeight="14.4" x14ac:dyDescent="0.3"/>
  <sheetData>
    <row r="1" spans="1:2" x14ac:dyDescent="0.3">
      <c r="A1" t="s">
        <v>26</v>
      </c>
      <c r="B1">
        <v>5</v>
      </c>
    </row>
    <row r="2" spans="1:2" x14ac:dyDescent="0.3">
      <c r="A2" t="s">
        <v>28</v>
      </c>
      <c r="B2">
        <f>ACOSH(B1)</f>
        <v>2.2924316695611777</v>
      </c>
    </row>
    <row r="3" spans="1:2" x14ac:dyDescent="0.3">
      <c r="A3" t="s">
        <v>17</v>
      </c>
      <c r="B3">
        <v>0.3</v>
      </c>
    </row>
    <row r="5" spans="1:2" x14ac:dyDescent="0.3">
      <c r="A5" t="s">
        <v>129</v>
      </c>
      <c r="B5">
        <f>B1-1</f>
        <v>4</v>
      </c>
    </row>
    <row r="6" spans="1:2" x14ac:dyDescent="0.3">
      <c r="A6" t="s">
        <v>130</v>
      </c>
      <c r="B6">
        <f>1+B3</f>
        <v>1.3</v>
      </c>
    </row>
    <row r="7" spans="1:2" x14ac:dyDescent="0.3">
      <c r="A7" t="s">
        <v>131</v>
      </c>
      <c r="B7">
        <f>1/B2</f>
        <v>0.43621801830691959</v>
      </c>
    </row>
    <row r="8" spans="1:2" x14ac:dyDescent="0.3">
      <c r="A8" t="s">
        <v>132</v>
      </c>
      <c r="B8">
        <f>1/(B2^2)</f>
        <v>0.190286159495616</v>
      </c>
    </row>
    <row r="11" spans="1:2" x14ac:dyDescent="0.3">
      <c r="A11" t="s">
        <v>133</v>
      </c>
      <c r="B11">
        <f>SQRT(B1^2-1)/B2</f>
        <v>2.1370231229200081</v>
      </c>
    </row>
    <row r="12" spans="1:2" x14ac:dyDescent="0.3">
      <c r="A12" t="s">
        <v>51</v>
      </c>
      <c r="B12">
        <f>(B5*B8)</f>
        <v>0.76114463798246401</v>
      </c>
    </row>
    <row r="14" spans="1:2" x14ac:dyDescent="0.3">
      <c r="A14" t="s">
        <v>52</v>
      </c>
      <c r="B14">
        <f>(2)/(B5*B6)</f>
        <v>0.38461538461538458</v>
      </c>
    </row>
    <row r="16" spans="1:2" x14ac:dyDescent="0.3">
      <c r="A16" t="s">
        <v>102</v>
      </c>
      <c r="B16">
        <f>B14*(B11-1-(1-B3)*(B11-B12-0.5))</f>
        <v>0.20150314748604892</v>
      </c>
    </row>
    <row r="17" spans="1:8" x14ac:dyDescent="0.3">
      <c r="A17" t="s">
        <v>27</v>
      </c>
      <c r="B17">
        <v>236.16</v>
      </c>
    </row>
    <row r="18" spans="1:8" x14ac:dyDescent="0.3">
      <c r="A18" t="s">
        <v>45</v>
      </c>
      <c r="B18">
        <f>B17*B16</f>
        <v>47.586983310305314</v>
      </c>
    </row>
    <row r="20" spans="1:8" x14ac:dyDescent="0.3">
      <c r="A20" t="s">
        <v>134</v>
      </c>
      <c r="B20">
        <f>B17/B5</f>
        <v>59.04</v>
      </c>
    </row>
    <row r="21" spans="1:8" x14ac:dyDescent="0.3">
      <c r="C21" s="15" t="s">
        <v>135</v>
      </c>
      <c r="D21" s="15" t="s">
        <v>136</v>
      </c>
      <c r="E21" s="15" t="s">
        <v>137</v>
      </c>
      <c r="F21" s="15" t="s">
        <v>46</v>
      </c>
      <c r="G21" s="15" t="s">
        <v>140</v>
      </c>
      <c r="H21" s="15" t="s">
        <v>141</v>
      </c>
    </row>
    <row r="22" spans="1:8" x14ac:dyDescent="0.3">
      <c r="A22" t="s">
        <v>47</v>
      </c>
      <c r="B22">
        <v>0.1</v>
      </c>
      <c r="C22">
        <f>B22*$B$2</f>
        <v>0.22924316695611779</v>
      </c>
      <c r="D22" s="15">
        <f>COSH(C22)</f>
        <v>1.026391489810619</v>
      </c>
      <c r="E22" s="15">
        <f>D22-1</f>
        <v>2.6391489810619007E-2</v>
      </c>
      <c r="F22" s="15">
        <f>E22*$B$20</f>
        <v>1.5581535584189461</v>
      </c>
      <c r="G22" s="15">
        <f>$B$17-F22</f>
        <v>234.60184644158105</v>
      </c>
      <c r="H22">
        <f>G22/39.36</f>
        <v>5.9604127652840715</v>
      </c>
    </row>
    <row r="23" spans="1:8" x14ac:dyDescent="0.3">
      <c r="B23">
        <v>0.2</v>
      </c>
      <c r="C23">
        <f t="shared" ref="C23:C31" si="0">B23*$B$2</f>
        <v>0.45848633391223559</v>
      </c>
      <c r="D23" s="15">
        <f t="shared" ref="D23:D31" si="1">COSH(C23)</f>
        <v>1.1069589807113238</v>
      </c>
      <c r="E23" s="15">
        <f>D23-1</f>
        <v>0.10695898071132381</v>
      </c>
      <c r="F23" s="15">
        <f t="shared" ref="F23:F31" si="2">E23*$B$20</f>
        <v>6.314858221196558</v>
      </c>
      <c r="G23" s="15">
        <f t="shared" ref="G23:G31" si="3">$B$17-F23</f>
        <v>229.84514177880345</v>
      </c>
      <c r="H23">
        <f t="shared" ref="H23:H31" si="4">G23/39.36</f>
        <v>5.8395615289330145</v>
      </c>
    </row>
    <row r="24" spans="1:8" x14ac:dyDescent="0.3">
      <c r="B24">
        <v>0.3</v>
      </c>
      <c r="C24">
        <f t="shared" si="0"/>
        <v>0.68772950086835327</v>
      </c>
      <c r="D24" s="15">
        <f t="shared" si="1"/>
        <v>1.2459550649324607</v>
      </c>
      <c r="E24" s="15">
        <f t="shared" ref="E24:E31" si="5">D24-1</f>
        <v>0.24595506493246067</v>
      </c>
      <c r="F24" s="15">
        <f t="shared" si="2"/>
        <v>14.521187033612478</v>
      </c>
      <c r="G24" s="15">
        <f t="shared" si="3"/>
        <v>221.63881296638752</v>
      </c>
      <c r="H24">
        <f t="shared" si="4"/>
        <v>5.6310674026013086</v>
      </c>
    </row>
    <row r="25" spans="1:8" x14ac:dyDescent="0.3">
      <c r="B25">
        <v>0.4</v>
      </c>
      <c r="C25">
        <f t="shared" si="0"/>
        <v>0.91697266782447118</v>
      </c>
      <c r="D25" s="15">
        <f t="shared" si="1"/>
        <v>1.4507163699549062</v>
      </c>
      <c r="E25" s="15">
        <f t="shared" si="5"/>
        <v>0.45071636995490616</v>
      </c>
      <c r="F25" s="15">
        <f t="shared" si="2"/>
        <v>26.610294482137661</v>
      </c>
      <c r="G25" s="15">
        <f t="shared" si="3"/>
        <v>209.54970551786232</v>
      </c>
      <c r="H25">
        <f t="shared" si="4"/>
        <v>5.3239254450676405</v>
      </c>
    </row>
    <row r="26" spans="1:8" x14ac:dyDescent="0.3">
      <c r="B26">
        <v>0.5</v>
      </c>
      <c r="C26">
        <f t="shared" si="0"/>
        <v>1.1462158347805889</v>
      </c>
      <c r="D26" s="15">
        <f t="shared" si="1"/>
        <v>1.7320508075688774</v>
      </c>
      <c r="E26" s="15">
        <f t="shared" si="5"/>
        <v>0.73205080756887742</v>
      </c>
      <c r="F26" s="15">
        <f t="shared" si="2"/>
        <v>43.220279678866525</v>
      </c>
      <c r="G26" s="15">
        <f t="shared" si="3"/>
        <v>192.93972032113348</v>
      </c>
      <c r="H26">
        <f t="shared" si="4"/>
        <v>4.901923788646684</v>
      </c>
    </row>
    <row r="27" spans="1:8" x14ac:dyDescent="0.3">
      <c r="B27">
        <v>0.6</v>
      </c>
      <c r="C27">
        <f t="shared" si="0"/>
        <v>1.3754590017367065</v>
      </c>
      <c r="D27" s="15">
        <f t="shared" si="1"/>
        <v>2.104808047661705</v>
      </c>
      <c r="E27" s="15">
        <f t="shared" si="5"/>
        <v>1.104808047661705</v>
      </c>
      <c r="F27" s="15">
        <f t="shared" si="2"/>
        <v>65.227867133947058</v>
      </c>
      <c r="G27" s="15">
        <f t="shared" si="3"/>
        <v>170.93213286605294</v>
      </c>
      <c r="H27">
        <f t="shared" si="4"/>
        <v>4.3427879285074429</v>
      </c>
    </row>
    <row r="28" spans="1:8" x14ac:dyDescent="0.3">
      <c r="B28">
        <v>0.7</v>
      </c>
      <c r="C28">
        <f t="shared" si="0"/>
        <v>1.6047021686928242</v>
      </c>
      <c r="D28" s="15">
        <f t="shared" si="1"/>
        <v>2.5886633280408784</v>
      </c>
      <c r="E28" s="15">
        <f t="shared" si="5"/>
        <v>1.5886633280408784</v>
      </c>
      <c r="F28" s="15">
        <f t="shared" si="2"/>
        <v>93.794682887533455</v>
      </c>
      <c r="G28" s="15">
        <f t="shared" si="3"/>
        <v>142.36531711246653</v>
      </c>
      <c r="H28">
        <f t="shared" si="4"/>
        <v>3.617005007938682</v>
      </c>
    </row>
    <row r="29" spans="1:8" x14ac:dyDescent="0.3">
      <c r="B29">
        <v>0.8</v>
      </c>
      <c r="C29">
        <f t="shared" si="0"/>
        <v>1.8339453356489424</v>
      </c>
      <c r="D29" s="15">
        <f t="shared" si="1"/>
        <v>3.2091559721102798</v>
      </c>
      <c r="E29" s="15">
        <f t="shared" si="5"/>
        <v>2.2091559721102798</v>
      </c>
      <c r="F29" s="15">
        <f t="shared" si="2"/>
        <v>130.42856859339091</v>
      </c>
      <c r="G29" s="15">
        <f t="shared" si="3"/>
        <v>105.73143140660909</v>
      </c>
      <c r="H29">
        <f t="shared" si="4"/>
        <v>2.6862660418345805</v>
      </c>
    </row>
    <row r="30" spans="1:8" x14ac:dyDescent="0.3">
      <c r="B30">
        <v>0.9</v>
      </c>
      <c r="C30">
        <f t="shared" si="0"/>
        <v>2.06318850260506</v>
      </c>
      <c r="D30" s="15">
        <f t="shared" si="1"/>
        <v>3.9990374304569518</v>
      </c>
      <c r="E30" s="15">
        <f t="shared" si="5"/>
        <v>2.9990374304569518</v>
      </c>
      <c r="F30" s="15">
        <f t="shared" si="2"/>
        <v>177.06316989417843</v>
      </c>
      <c r="G30" s="15">
        <f t="shared" si="3"/>
        <v>59.096830105821567</v>
      </c>
      <c r="H30">
        <f t="shared" si="4"/>
        <v>1.5014438543145723</v>
      </c>
    </row>
    <row r="31" spans="1:8" x14ac:dyDescent="0.3">
      <c r="B31">
        <v>1</v>
      </c>
      <c r="C31">
        <f t="shared" si="0"/>
        <v>2.2924316695611777</v>
      </c>
      <c r="D31" s="15">
        <f t="shared" si="1"/>
        <v>5</v>
      </c>
      <c r="E31" s="15">
        <f t="shared" si="5"/>
        <v>4</v>
      </c>
      <c r="F31" s="15">
        <f t="shared" si="2"/>
        <v>236.16</v>
      </c>
      <c r="G31" s="15">
        <f t="shared" si="3"/>
        <v>0</v>
      </c>
      <c r="H31">
        <f t="shared" si="4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opLeftCell="F1" zoomScale="160" zoomScaleNormal="160" workbookViewId="0">
      <selection activeCell="M6" sqref="L6:M6"/>
    </sheetView>
  </sheetViews>
  <sheetFormatPr defaultRowHeight="14.4" x14ac:dyDescent="0.3"/>
  <cols>
    <col min="1" max="1" width="38.88671875" customWidth="1"/>
    <col min="4" max="4" width="28.88671875" customWidth="1"/>
    <col min="6" max="6" width="16" customWidth="1"/>
    <col min="10" max="10" width="12.109375" customWidth="1"/>
    <col min="11" max="11" width="13.88671875" customWidth="1"/>
  </cols>
  <sheetData>
    <row r="1" spans="1:17" x14ac:dyDescent="0.3">
      <c r="A1" s="16" t="s">
        <v>25</v>
      </c>
      <c r="B1" s="16" t="s">
        <v>44</v>
      </c>
      <c r="C1" s="16" t="s">
        <v>27</v>
      </c>
      <c r="D1" s="16" t="s">
        <v>151</v>
      </c>
      <c r="E1" s="16" t="s">
        <v>30</v>
      </c>
      <c r="F1" s="16" t="s">
        <v>31</v>
      </c>
      <c r="G1" s="16" t="s">
        <v>28</v>
      </c>
      <c r="H1" s="16" t="s">
        <v>29</v>
      </c>
      <c r="I1" s="16" t="s">
        <v>155</v>
      </c>
      <c r="J1" s="16" t="s">
        <v>32</v>
      </c>
      <c r="K1" s="16" t="s">
        <v>156</v>
      </c>
      <c r="L1" s="16" t="s">
        <v>16</v>
      </c>
      <c r="M1" s="16" t="s">
        <v>17</v>
      </c>
      <c r="N1" s="16" t="s">
        <v>13</v>
      </c>
      <c r="O1" s="16" t="s">
        <v>157</v>
      </c>
      <c r="P1" s="17" t="s">
        <v>34</v>
      </c>
      <c r="Q1" s="17" t="s">
        <v>35</v>
      </c>
    </row>
    <row r="2" spans="1:17" x14ac:dyDescent="0.3">
      <c r="A2" s="16">
        <v>0.15</v>
      </c>
      <c r="B2" s="16">
        <v>1200</v>
      </c>
      <c r="C2" s="16">
        <v>180</v>
      </c>
      <c r="D2" s="16">
        <f>(1/2)*(1/A2-2)^2-1</f>
        <v>9.8888888888888911</v>
      </c>
      <c r="E2" s="16">
        <f>D2-1</f>
        <v>8.8888888888888911</v>
      </c>
      <c r="F2" s="16">
        <f>SQRT(D2^2-1)</f>
        <v>9.8381971649682942</v>
      </c>
      <c r="G2">
        <f>ACOSH(D2)</f>
        <v>2.9819926179896172</v>
      </c>
      <c r="H2" s="16">
        <f>B2/2</f>
        <v>600</v>
      </c>
      <c r="I2">
        <f>C2*G2/H2</f>
        <v>0.89459778539688517</v>
      </c>
      <c r="J2">
        <f>(I2*F2)/E2</f>
        <v>0.99013830705883665</v>
      </c>
      <c r="K2">
        <f>1+J2^2</f>
        <v>1.9803738671053392</v>
      </c>
      <c r="L2">
        <f>1/SQRT(K2)</f>
        <v>0.7106019691244273</v>
      </c>
      <c r="M2" s="16">
        <f>0.15</f>
        <v>0.15</v>
      </c>
      <c r="N2">
        <v>6399</v>
      </c>
      <c r="O2">
        <f>N2/(M2*L2)</f>
        <v>60033.607917754285</v>
      </c>
      <c r="P2">
        <v>505</v>
      </c>
      <c r="Q2">
        <f>P2*D2</f>
        <v>4993.8888888888896</v>
      </c>
    </row>
    <row r="5" spans="1:17" x14ac:dyDescent="0.3">
      <c r="A5" s="16" t="s">
        <v>154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1"/>
    </sheetView>
  </sheetViews>
  <sheetFormatPr defaultRowHeight="14.4" x14ac:dyDescent="0.3"/>
  <cols>
    <col min="7" max="7" width="44.21875" customWidth="1"/>
  </cols>
  <sheetData>
    <row r="1" spans="1:6" x14ac:dyDescent="0.3">
      <c r="A1" s="16" t="s">
        <v>47</v>
      </c>
      <c r="B1" s="16" t="s">
        <v>152</v>
      </c>
      <c r="C1" s="16" t="s">
        <v>44</v>
      </c>
      <c r="D1" s="16" t="s">
        <v>27</v>
      </c>
      <c r="E1" s="16" t="s">
        <v>153</v>
      </c>
      <c r="F1" s="16"/>
    </row>
    <row r="2" spans="1:6" x14ac:dyDescent="0.3">
      <c r="A2" s="16">
        <v>0.9</v>
      </c>
      <c r="B2" s="16">
        <v>8.0000000000000002E-3</v>
      </c>
      <c r="C2">
        <v>1200</v>
      </c>
      <c r="D2" s="16">
        <v>180</v>
      </c>
      <c r="E2">
        <f>C2/D2</f>
        <v>6.666666666666667</v>
      </c>
      <c r="F2" s="16">
        <f>B2*E2</f>
        <v>5.3333333333333337E-2</v>
      </c>
    </row>
    <row r="3" spans="1:6" x14ac:dyDescent="0.3">
      <c r="A3" s="16">
        <v>0.8</v>
      </c>
      <c r="B3" s="16">
        <v>2.8000000000000001E-2</v>
      </c>
      <c r="C3">
        <v>1200</v>
      </c>
      <c r="D3" s="16">
        <v>180</v>
      </c>
      <c r="E3">
        <f t="shared" ref="E3:E11" si="0">C3/D3</f>
        <v>6.666666666666667</v>
      </c>
      <c r="F3" s="16">
        <f t="shared" ref="F3:F11" si="1">B3*E3</f>
        <v>0.18666666666666668</v>
      </c>
    </row>
    <row r="4" spans="1:6" x14ac:dyDescent="0.3">
      <c r="A4" s="16">
        <v>0.7</v>
      </c>
      <c r="B4" s="16">
        <v>0.06</v>
      </c>
      <c r="C4">
        <v>1200</v>
      </c>
      <c r="D4" s="16">
        <v>180</v>
      </c>
      <c r="E4">
        <f t="shared" si="0"/>
        <v>6.666666666666667</v>
      </c>
      <c r="F4" s="16">
        <f t="shared" si="1"/>
        <v>0.4</v>
      </c>
    </row>
    <row r="5" spans="1:6" x14ac:dyDescent="0.3">
      <c r="A5" s="16">
        <v>0.6</v>
      </c>
      <c r="B5" s="16">
        <v>0.1</v>
      </c>
      <c r="C5">
        <v>1200</v>
      </c>
      <c r="D5" s="16">
        <v>180</v>
      </c>
      <c r="E5">
        <f t="shared" si="0"/>
        <v>6.666666666666667</v>
      </c>
      <c r="F5" s="16">
        <f t="shared" si="1"/>
        <v>0.66666666666666674</v>
      </c>
    </row>
    <row r="6" spans="1:6" x14ac:dyDescent="0.3">
      <c r="A6" s="16">
        <v>0.5</v>
      </c>
      <c r="B6" s="16">
        <v>0.156</v>
      </c>
      <c r="C6">
        <v>1200</v>
      </c>
      <c r="D6" s="16">
        <v>180</v>
      </c>
      <c r="E6">
        <f t="shared" si="0"/>
        <v>6.666666666666667</v>
      </c>
      <c r="F6" s="16">
        <f t="shared" si="1"/>
        <v>1.04</v>
      </c>
    </row>
    <row r="7" spans="1:6" x14ac:dyDescent="0.3">
      <c r="A7" s="16">
        <v>0.4</v>
      </c>
      <c r="B7" s="16">
        <v>0.19</v>
      </c>
      <c r="C7">
        <v>1200</v>
      </c>
      <c r="D7" s="16">
        <v>180</v>
      </c>
      <c r="E7">
        <f t="shared" si="0"/>
        <v>6.666666666666667</v>
      </c>
      <c r="F7" s="16">
        <f t="shared" si="1"/>
        <v>1.2666666666666668</v>
      </c>
    </row>
    <row r="8" spans="1:6" x14ac:dyDescent="0.3">
      <c r="A8" s="16">
        <v>0.30000000000000004</v>
      </c>
      <c r="B8" s="16">
        <v>0.23</v>
      </c>
      <c r="C8">
        <v>1200</v>
      </c>
      <c r="D8" s="16">
        <v>180</v>
      </c>
      <c r="E8">
        <f t="shared" si="0"/>
        <v>6.666666666666667</v>
      </c>
      <c r="F8" s="16">
        <f t="shared" si="1"/>
        <v>1.5333333333333334</v>
      </c>
    </row>
    <row r="9" spans="1:6" x14ac:dyDescent="0.3">
      <c r="A9" s="16">
        <v>0.19999999999999996</v>
      </c>
      <c r="B9" s="16">
        <v>0.26</v>
      </c>
      <c r="C9">
        <v>1200</v>
      </c>
      <c r="D9" s="16">
        <v>180</v>
      </c>
      <c r="E9">
        <f t="shared" si="0"/>
        <v>6.666666666666667</v>
      </c>
      <c r="F9" s="16">
        <f t="shared" si="1"/>
        <v>1.7333333333333334</v>
      </c>
    </row>
    <row r="10" spans="1:6" x14ac:dyDescent="0.3">
      <c r="A10" s="16">
        <v>9.9999999999999978E-2</v>
      </c>
      <c r="B10" s="16">
        <v>0.28399999999999997</v>
      </c>
      <c r="C10">
        <v>1200</v>
      </c>
      <c r="D10" s="16">
        <v>180</v>
      </c>
      <c r="E10">
        <f t="shared" si="0"/>
        <v>6.666666666666667</v>
      </c>
      <c r="F10" s="16">
        <f t="shared" si="1"/>
        <v>1.8933333333333333</v>
      </c>
    </row>
    <row r="11" spans="1:6" x14ac:dyDescent="0.3">
      <c r="A11" s="16">
        <v>0</v>
      </c>
      <c r="B11" s="16">
        <v>0.28999999999999998</v>
      </c>
      <c r="C11">
        <v>1200</v>
      </c>
      <c r="D11" s="16">
        <v>180</v>
      </c>
      <c r="E11">
        <f t="shared" si="0"/>
        <v>6.666666666666667</v>
      </c>
      <c r="F11" s="16">
        <f t="shared" si="1"/>
        <v>1.9333333333333333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30" zoomScaleNormal="130" workbookViewId="0">
      <selection activeCell="N11" sqref="N11"/>
    </sheetView>
  </sheetViews>
  <sheetFormatPr defaultRowHeight="14.4" x14ac:dyDescent="0.3"/>
  <sheetData>
    <row r="1" spans="1:5" x14ac:dyDescent="0.3">
      <c r="A1" t="s">
        <v>47</v>
      </c>
      <c r="B1" t="s">
        <v>158</v>
      </c>
      <c r="C1" s="18" t="s">
        <v>44</v>
      </c>
      <c r="D1" t="s">
        <v>159</v>
      </c>
      <c r="E1" s="18" t="s">
        <v>153</v>
      </c>
    </row>
    <row r="2" spans="1:5" x14ac:dyDescent="0.3">
      <c r="A2">
        <v>1</v>
      </c>
      <c r="B2">
        <v>0</v>
      </c>
      <c r="C2">
        <v>1200</v>
      </c>
      <c r="D2" s="18">
        <f>B2*C2</f>
        <v>0</v>
      </c>
    </row>
    <row r="3" spans="1:5" x14ac:dyDescent="0.3">
      <c r="A3">
        <v>0.9</v>
      </c>
      <c r="B3">
        <v>2E-3</v>
      </c>
      <c r="C3">
        <v>1200</v>
      </c>
      <c r="D3" s="18">
        <f t="shared" ref="D3:D22" si="0">B3*C3</f>
        <v>2.4</v>
      </c>
    </row>
    <row r="4" spans="1:5" x14ac:dyDescent="0.3">
      <c r="A4">
        <v>0.8</v>
      </c>
      <c r="B4">
        <v>6.0000000000000001E-3</v>
      </c>
      <c r="C4">
        <v>1200</v>
      </c>
      <c r="D4" s="18">
        <f t="shared" si="0"/>
        <v>7.2</v>
      </c>
    </row>
    <row r="5" spans="1:5" x14ac:dyDescent="0.3">
      <c r="A5">
        <v>0.7</v>
      </c>
      <c r="B5">
        <v>1.4E-2</v>
      </c>
      <c r="C5">
        <v>1200</v>
      </c>
      <c r="D5" s="18">
        <f t="shared" si="0"/>
        <v>16.8</v>
      </c>
    </row>
    <row r="6" spans="1:5" x14ac:dyDescent="0.3">
      <c r="A6">
        <v>0.6</v>
      </c>
      <c r="B6">
        <v>2.7E-2</v>
      </c>
      <c r="C6">
        <v>1200</v>
      </c>
      <c r="D6" s="18">
        <f t="shared" si="0"/>
        <v>32.4</v>
      </c>
    </row>
    <row r="7" spans="1:5" x14ac:dyDescent="0.3">
      <c r="A7">
        <v>0.5</v>
      </c>
      <c r="B7">
        <v>4.4999999999999998E-2</v>
      </c>
      <c r="C7">
        <v>1200</v>
      </c>
      <c r="D7" s="18">
        <f t="shared" si="0"/>
        <v>54</v>
      </c>
    </row>
    <row r="8" spans="1:5" x14ac:dyDescent="0.3">
      <c r="A8">
        <v>0.4</v>
      </c>
      <c r="B8">
        <v>0.02</v>
      </c>
      <c r="C8">
        <v>1200</v>
      </c>
      <c r="D8" s="18">
        <f t="shared" si="0"/>
        <v>24</v>
      </c>
    </row>
    <row r="9" spans="1:5" x14ac:dyDescent="0.3">
      <c r="A9">
        <v>0.30000000000000004</v>
      </c>
      <c r="B9">
        <v>-1E-3</v>
      </c>
      <c r="C9">
        <v>1200</v>
      </c>
      <c r="D9" s="18">
        <f t="shared" si="0"/>
        <v>-1.2</v>
      </c>
    </row>
    <row r="10" spans="1:5" x14ac:dyDescent="0.3">
      <c r="A10">
        <v>0.19999999999999996</v>
      </c>
      <c r="B10">
        <v>-1.6E-2</v>
      </c>
      <c r="C10">
        <v>1200</v>
      </c>
      <c r="D10" s="18">
        <f t="shared" si="0"/>
        <v>-19.2</v>
      </c>
    </row>
    <row r="11" spans="1:5" x14ac:dyDescent="0.3">
      <c r="A11">
        <v>9.9999999999999978E-2</v>
      </c>
      <c r="B11">
        <v>-2.5999999999999999E-2</v>
      </c>
      <c r="C11">
        <v>1200</v>
      </c>
      <c r="D11" s="18">
        <f t="shared" si="0"/>
        <v>-31.2</v>
      </c>
    </row>
    <row r="12" spans="1:5" x14ac:dyDescent="0.3">
      <c r="A12">
        <v>0</v>
      </c>
      <c r="B12">
        <v>-3.1E-2</v>
      </c>
      <c r="C12">
        <v>1200</v>
      </c>
      <c r="D12" s="18">
        <f t="shared" si="0"/>
        <v>-37.200000000000003</v>
      </c>
    </row>
    <row r="13" spans="1:5" x14ac:dyDescent="0.3">
      <c r="A13">
        <v>0.1</v>
      </c>
      <c r="B13">
        <v>-3.1E-2</v>
      </c>
      <c r="C13">
        <v>1200</v>
      </c>
      <c r="D13" s="18">
        <f t="shared" si="0"/>
        <v>-37.200000000000003</v>
      </c>
    </row>
    <row r="14" spans="1:5" x14ac:dyDescent="0.3">
      <c r="A14">
        <v>0.2</v>
      </c>
      <c r="B14">
        <v>-2.8000000000000001E-2</v>
      </c>
      <c r="C14">
        <v>1200</v>
      </c>
      <c r="D14" s="18">
        <f t="shared" si="0"/>
        <v>-33.6</v>
      </c>
    </row>
    <row r="15" spans="1:5" x14ac:dyDescent="0.3">
      <c r="A15">
        <v>0.3</v>
      </c>
      <c r="B15">
        <v>-2.5000000000000001E-2</v>
      </c>
      <c r="C15">
        <v>1200</v>
      </c>
      <c r="D15" s="18">
        <f t="shared" si="0"/>
        <v>-30</v>
      </c>
    </row>
    <row r="16" spans="1:5" x14ac:dyDescent="0.3">
      <c r="A16">
        <v>0.4</v>
      </c>
      <c r="B16">
        <v>-0.02</v>
      </c>
      <c r="C16">
        <v>1200</v>
      </c>
      <c r="D16" s="18">
        <f t="shared" si="0"/>
        <v>-24</v>
      </c>
    </row>
    <row r="17" spans="1:4" x14ac:dyDescent="0.3">
      <c r="A17">
        <v>0.5</v>
      </c>
      <c r="B17">
        <v>-1.4E-2</v>
      </c>
      <c r="C17">
        <v>1200</v>
      </c>
      <c r="D17" s="18">
        <f t="shared" si="0"/>
        <v>-16.8</v>
      </c>
    </row>
    <row r="18" spans="1:4" x14ac:dyDescent="0.3">
      <c r="A18">
        <v>0.6</v>
      </c>
      <c r="B18">
        <v>-8.9999999999999993E-3</v>
      </c>
      <c r="C18">
        <v>1200</v>
      </c>
      <c r="D18" s="18">
        <f t="shared" si="0"/>
        <v>-10.799999999999999</v>
      </c>
    </row>
    <row r="19" spans="1:4" x14ac:dyDescent="0.3">
      <c r="A19">
        <v>0.7</v>
      </c>
      <c r="B19">
        <v>-5.0000000000000001E-3</v>
      </c>
      <c r="C19">
        <v>1200</v>
      </c>
      <c r="D19" s="18">
        <f t="shared" si="0"/>
        <v>-6</v>
      </c>
    </row>
    <row r="20" spans="1:4" x14ac:dyDescent="0.3">
      <c r="A20">
        <v>0.8</v>
      </c>
      <c r="B20">
        <v>-2E-3</v>
      </c>
      <c r="C20">
        <v>1200</v>
      </c>
      <c r="D20" s="18">
        <f t="shared" si="0"/>
        <v>-2.4</v>
      </c>
    </row>
    <row r="21" spans="1:4" x14ac:dyDescent="0.3">
      <c r="A21">
        <v>0.9</v>
      </c>
      <c r="B21">
        <v>-1E-3</v>
      </c>
      <c r="C21">
        <v>1200</v>
      </c>
      <c r="D21" s="18">
        <f t="shared" si="0"/>
        <v>-1.2</v>
      </c>
    </row>
    <row r="22" spans="1:4" x14ac:dyDescent="0.3">
      <c r="A22">
        <v>1</v>
      </c>
      <c r="B22">
        <v>0</v>
      </c>
      <c r="C22">
        <v>1200</v>
      </c>
      <c r="D22" s="18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205" zoomScaleNormal="205" workbookViewId="0">
      <selection activeCell="D2" sqref="D2"/>
    </sheetView>
  </sheetViews>
  <sheetFormatPr defaultRowHeight="14.4" x14ac:dyDescent="0.3"/>
  <cols>
    <col min="1" max="1" width="25.44140625" customWidth="1"/>
    <col min="2" max="2" width="20.6640625" customWidth="1"/>
    <col min="3" max="3" width="16.109375" customWidth="1"/>
  </cols>
  <sheetData>
    <row r="1" spans="1:3" x14ac:dyDescent="0.3">
      <c r="A1" t="s">
        <v>0</v>
      </c>
      <c r="B1" s="1" t="s">
        <v>1</v>
      </c>
      <c r="C1" t="s">
        <v>2</v>
      </c>
    </row>
    <row r="2" spans="1:3" x14ac:dyDescent="0.3">
      <c r="A2" t="s">
        <v>3</v>
      </c>
      <c r="B2" s="1" t="s">
        <v>10</v>
      </c>
      <c r="C2" s="1">
        <v>1574.4</v>
      </c>
    </row>
    <row r="3" spans="1:3" x14ac:dyDescent="0.3">
      <c r="A3" t="s">
        <v>4</v>
      </c>
      <c r="B3" s="1" t="s">
        <v>10</v>
      </c>
      <c r="C3" s="1">
        <v>236.16</v>
      </c>
    </row>
    <row r="4" spans="1:3" x14ac:dyDescent="0.3">
      <c r="A4" t="s">
        <v>5</v>
      </c>
      <c r="B4" s="1" t="s">
        <v>6</v>
      </c>
      <c r="C4" s="1">
        <v>2455</v>
      </c>
    </row>
    <row r="5" spans="1:3" x14ac:dyDescent="0.3">
      <c r="A5" t="s">
        <v>7</v>
      </c>
      <c r="B5" s="1" t="s">
        <v>6</v>
      </c>
      <c r="C5" s="4">
        <v>12275</v>
      </c>
    </row>
    <row r="6" spans="1:3" x14ac:dyDescent="0.3">
      <c r="A6" t="s">
        <v>8</v>
      </c>
      <c r="B6" s="1" t="s">
        <v>10</v>
      </c>
      <c r="C6" s="4">
        <v>21.64</v>
      </c>
    </row>
    <row r="7" spans="1:3" x14ac:dyDescent="0.3">
      <c r="A7" t="s">
        <v>9</v>
      </c>
      <c r="B7" s="1" t="s">
        <v>10</v>
      </c>
      <c r="C7" s="4">
        <v>35.42</v>
      </c>
    </row>
    <row r="8" spans="1:3" x14ac:dyDescent="0.3">
      <c r="A8" t="s">
        <v>11</v>
      </c>
      <c r="B8" s="1" t="s">
        <v>12</v>
      </c>
      <c r="C8" s="4">
        <v>2000000</v>
      </c>
    </row>
    <row r="9" spans="1:3" x14ac:dyDescent="0.3">
      <c r="A9" t="s">
        <v>13</v>
      </c>
      <c r="B9" s="1" t="s">
        <v>15</v>
      </c>
      <c r="C9" s="4">
        <v>33288.69</v>
      </c>
    </row>
    <row r="10" spans="1:3" x14ac:dyDescent="0.3">
      <c r="A10" t="s">
        <v>14</v>
      </c>
      <c r="B10" s="1" t="s">
        <v>15</v>
      </c>
      <c r="C10" s="4">
        <v>145750.06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75" zoomScaleNormal="175" workbookViewId="0">
      <selection activeCell="D7" sqref="D7"/>
    </sheetView>
  </sheetViews>
  <sheetFormatPr defaultRowHeight="14.4" x14ac:dyDescent="0.3"/>
  <cols>
    <col min="1" max="1" width="12.88671875" customWidth="1"/>
  </cols>
  <sheetData>
    <row r="1" spans="1:3" x14ac:dyDescent="0.3">
      <c r="A1" t="s">
        <v>16</v>
      </c>
      <c r="B1">
        <v>0.84509999999999996</v>
      </c>
      <c r="C1">
        <v>0.76939999999999997</v>
      </c>
    </row>
    <row r="2" spans="1:3" x14ac:dyDescent="0.3">
      <c r="A2" t="s">
        <v>13</v>
      </c>
      <c r="B2">
        <v>6399</v>
      </c>
    </row>
    <row r="3" spans="1:3" x14ac:dyDescent="0.3">
      <c r="A3" t="s">
        <v>14</v>
      </c>
      <c r="B3">
        <v>24560</v>
      </c>
    </row>
    <row r="4" spans="1:3" x14ac:dyDescent="0.3">
      <c r="A4" t="s">
        <v>17</v>
      </c>
      <c r="B4">
        <f>B2/(B3*B1)</f>
        <v>0.30830150586423288</v>
      </c>
    </row>
    <row r="5" spans="1:3" x14ac:dyDescent="0.3">
      <c r="A5" t="s">
        <v>18</v>
      </c>
      <c r="B5">
        <v>0.4</v>
      </c>
    </row>
    <row r="6" spans="1:3" x14ac:dyDescent="0.3">
      <c r="A6" t="s">
        <v>19</v>
      </c>
      <c r="B6">
        <f>B2/(B5*B1)</f>
        <v>18929.712460063896</v>
      </c>
    </row>
    <row r="7" spans="1:3" x14ac:dyDescent="0.3">
      <c r="A7" t="s">
        <v>20</v>
      </c>
      <c r="B7" s="1">
        <v>24550</v>
      </c>
    </row>
    <row r="8" spans="1:3" x14ac:dyDescent="0.3">
      <c r="A8" t="s">
        <v>21</v>
      </c>
      <c r="B8">
        <v>505</v>
      </c>
    </row>
    <row r="9" spans="1:3" x14ac:dyDescent="0.3">
      <c r="A9" t="s">
        <v>22</v>
      </c>
      <c r="B9">
        <v>2373.5</v>
      </c>
    </row>
    <row r="10" spans="1:3" x14ac:dyDescent="0.3">
      <c r="A10" t="s">
        <v>23</v>
      </c>
      <c r="B10">
        <v>1.347</v>
      </c>
    </row>
    <row r="11" spans="1:3" x14ac:dyDescent="0.3">
      <c r="A11" t="s">
        <v>24</v>
      </c>
      <c r="B11">
        <f>B10*B8</f>
        <v>680.23500000000001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zoomScale="145" zoomScaleNormal="145" workbookViewId="0">
      <selection activeCell="M14" sqref="M14"/>
    </sheetView>
  </sheetViews>
  <sheetFormatPr defaultRowHeight="14.4" x14ac:dyDescent="0.3"/>
  <cols>
    <col min="7" max="8" width="12.109375" customWidth="1"/>
    <col min="9" max="9" width="19.33203125" customWidth="1"/>
  </cols>
  <sheetData>
    <row r="1" spans="1:25" x14ac:dyDescent="0.3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t="s">
        <v>16</v>
      </c>
      <c r="K1" s="1" t="s">
        <v>34</v>
      </c>
      <c r="L1" s="1" t="s">
        <v>35</v>
      </c>
      <c r="M1" s="1" t="s">
        <v>13</v>
      </c>
      <c r="N1" s="19" t="s">
        <v>17</v>
      </c>
      <c r="O1" s="19"/>
      <c r="P1" s="19"/>
      <c r="Q1" s="19"/>
      <c r="R1" s="19"/>
      <c r="S1" s="19"/>
      <c r="T1" s="19" t="s">
        <v>14</v>
      </c>
      <c r="U1" s="19"/>
      <c r="V1" s="19"/>
      <c r="W1" s="19"/>
      <c r="X1" s="19"/>
      <c r="Y1" s="19"/>
    </row>
    <row r="2" spans="1:25" x14ac:dyDescent="0.3">
      <c r="A2" s="1">
        <v>0.24</v>
      </c>
      <c r="B2" s="1">
        <f t="shared" ref="B2:B11" si="0">0.5*(1/A2-2)^2-1</f>
        <v>1.3472222222222228</v>
      </c>
      <c r="C2" s="1">
        <v>15</v>
      </c>
      <c r="D2" s="1">
        <f t="shared" ref="D2:D12" si="1">ACOSH(B2)</f>
        <v>0.81093021621632932</v>
      </c>
      <c r="E2" s="1">
        <v>50</v>
      </c>
      <c r="F2" s="1">
        <f t="shared" ref="F2:F12" si="2">B2-1</f>
        <v>0.34722222222222276</v>
      </c>
      <c r="G2" s="1">
        <f t="shared" ref="G2:G12" si="3">SQRT(B2^2-1)</f>
        <v>0.90277777777777868</v>
      </c>
      <c r="H2" s="1">
        <f>(C2*D2*G2)/(E2*F2)</f>
        <v>0.63252556864873655</v>
      </c>
      <c r="I2" s="1">
        <f>SQRT(1+H2^2)</f>
        <v>1.1832533942458849</v>
      </c>
      <c r="J2">
        <f>1/I2</f>
        <v>0.84512751441319411</v>
      </c>
      <c r="K2" s="1">
        <v>505</v>
      </c>
      <c r="L2">
        <f>K2*B2</f>
        <v>680.34722222222251</v>
      </c>
      <c r="M2" s="1">
        <v>6399</v>
      </c>
      <c r="N2" s="1">
        <v>0.15</v>
      </c>
      <c r="O2" s="1">
        <v>0.2</v>
      </c>
      <c r="P2" s="1">
        <v>0.25</v>
      </c>
      <c r="Q2" s="1">
        <v>0.3</v>
      </c>
      <c r="R2" s="1">
        <v>0.4</v>
      </c>
      <c r="S2" s="1">
        <v>0.5</v>
      </c>
      <c r="T2">
        <f>$M2/($J2*N2)</f>
        <v>50477.589798529458</v>
      </c>
      <c r="U2">
        <f t="shared" ref="U2:Y11" si="4">$M2/($J2*O2)</f>
        <v>37858.192348897086</v>
      </c>
      <c r="V2">
        <f t="shared" si="4"/>
        <v>30286.553879117673</v>
      </c>
      <c r="W2">
        <f t="shared" si="4"/>
        <v>25238.794899264729</v>
      </c>
      <c r="X2">
        <f t="shared" si="4"/>
        <v>18929.096174448543</v>
      </c>
      <c r="Y2">
        <f t="shared" si="4"/>
        <v>15143.276939558837</v>
      </c>
    </row>
    <row r="3" spans="1:25" x14ac:dyDescent="0.3">
      <c r="A3" s="1">
        <v>0.23</v>
      </c>
      <c r="B3" s="1">
        <f t="shared" si="0"/>
        <v>1.7561436672967861</v>
      </c>
      <c r="C3" s="1">
        <v>15</v>
      </c>
      <c r="D3" s="1">
        <f t="shared" si="1"/>
        <v>1.1630771561490063</v>
      </c>
      <c r="E3" s="1">
        <v>50</v>
      </c>
      <c r="F3" s="1">
        <f t="shared" si="2"/>
        <v>0.75614366729678606</v>
      </c>
      <c r="G3" s="1">
        <f t="shared" si="3"/>
        <v>1.4436206496814199</v>
      </c>
      <c r="H3" s="1">
        <f t="shared" ref="H3:H12" si="5">(C3*D3*G3)/(E3*F3)</f>
        <v>0.6661599927664632</v>
      </c>
      <c r="I3" s="1">
        <f t="shared" ref="I3:I12" si="6">SQRT(1+H3^2)</f>
        <v>1.2015694469994709</v>
      </c>
      <c r="J3">
        <f t="shared" ref="J3:J12" si="7">1/I3</f>
        <v>0.832244863163902</v>
      </c>
      <c r="K3" s="1">
        <v>505</v>
      </c>
      <c r="L3">
        <f t="shared" ref="L3:L12" si="8">K3*B3</f>
        <v>886.85255198487698</v>
      </c>
      <c r="M3" s="1">
        <v>6399</v>
      </c>
      <c r="N3" s="1">
        <v>0.2</v>
      </c>
      <c r="O3" s="1">
        <v>0.2</v>
      </c>
      <c r="P3" s="1">
        <v>0.25</v>
      </c>
      <c r="Q3" s="1">
        <v>0.3</v>
      </c>
      <c r="R3" s="1">
        <v>0.4</v>
      </c>
      <c r="S3" s="1">
        <v>0.5</v>
      </c>
      <c r="T3">
        <f t="shared" ref="T3:T11" si="9">$M3/($J3*N3)</f>
        <v>38444.214456748065</v>
      </c>
      <c r="U3">
        <f t="shared" si="4"/>
        <v>38444.214456748065</v>
      </c>
      <c r="V3">
        <f t="shared" si="4"/>
        <v>30755.371565398455</v>
      </c>
      <c r="W3">
        <f t="shared" si="4"/>
        <v>25629.476304498712</v>
      </c>
      <c r="X3">
        <f t="shared" si="4"/>
        <v>19222.107228374032</v>
      </c>
      <c r="Y3">
        <f t="shared" si="4"/>
        <v>15377.685782699227</v>
      </c>
    </row>
    <row r="4" spans="1:25" x14ac:dyDescent="0.3">
      <c r="A4" s="1">
        <v>0.22</v>
      </c>
      <c r="B4" s="1">
        <f t="shared" si="0"/>
        <v>2.2396694214876045</v>
      </c>
      <c r="C4" s="1">
        <v>15</v>
      </c>
      <c r="D4" s="1">
        <f t="shared" si="1"/>
        <v>1.4454343871758315</v>
      </c>
      <c r="E4" s="1">
        <v>50</v>
      </c>
      <c r="F4" s="1">
        <f t="shared" si="2"/>
        <v>1.2396694214876045</v>
      </c>
      <c r="G4" s="1">
        <f t="shared" si="3"/>
        <v>2.0040257277656446</v>
      </c>
      <c r="H4" s="1">
        <f t="shared" si="5"/>
        <v>0.70099842332680262</v>
      </c>
      <c r="I4" s="1">
        <f t="shared" si="6"/>
        <v>1.2212283936703499</v>
      </c>
      <c r="J4">
        <f t="shared" si="7"/>
        <v>0.81884764977871394</v>
      </c>
      <c r="K4" s="1">
        <v>505</v>
      </c>
      <c r="L4">
        <f t="shared" si="8"/>
        <v>1131.0330578512403</v>
      </c>
      <c r="M4" s="1">
        <v>6399</v>
      </c>
      <c r="N4" s="1">
        <v>0.25</v>
      </c>
      <c r="O4" s="1">
        <v>0.2</v>
      </c>
      <c r="P4" s="1">
        <v>0.25</v>
      </c>
      <c r="Q4" s="1">
        <v>0.3</v>
      </c>
      <c r="R4" s="1">
        <v>0.4</v>
      </c>
      <c r="S4" s="1">
        <v>0.5</v>
      </c>
      <c r="T4">
        <f t="shared" si="9"/>
        <v>31258.561964386274</v>
      </c>
      <c r="U4">
        <f t="shared" si="4"/>
        <v>39073.202455482846</v>
      </c>
      <c r="V4">
        <f t="shared" si="4"/>
        <v>31258.561964386274</v>
      </c>
      <c r="W4">
        <f t="shared" si="4"/>
        <v>26048.801636988563</v>
      </c>
      <c r="X4">
        <f t="shared" si="4"/>
        <v>19536.601227741423</v>
      </c>
      <c r="Y4">
        <f t="shared" si="4"/>
        <v>15629.280982193137</v>
      </c>
    </row>
    <row r="5" spans="1:25" x14ac:dyDescent="0.3">
      <c r="A5" s="1">
        <v>0.21</v>
      </c>
      <c r="B5" s="1">
        <f t="shared" si="0"/>
        <v>2.8140589569160999</v>
      </c>
      <c r="C5" s="1">
        <v>15</v>
      </c>
      <c r="D5" s="1">
        <f t="shared" si="1"/>
        <v>1.6945957207744073</v>
      </c>
      <c r="E5" s="1">
        <v>50</v>
      </c>
      <c r="F5" s="1">
        <f t="shared" si="2"/>
        <v>1.8140589569160999</v>
      </c>
      <c r="G5" s="1">
        <f t="shared" si="3"/>
        <v>2.6303854875283448</v>
      </c>
      <c r="H5" s="1">
        <f t="shared" si="5"/>
        <v>0.73714913853686714</v>
      </c>
      <c r="I5" s="1">
        <f t="shared" si="6"/>
        <v>1.242332021822526</v>
      </c>
      <c r="J5">
        <f t="shared" si="7"/>
        <v>0.80493779636540319</v>
      </c>
      <c r="K5" s="1">
        <v>505</v>
      </c>
      <c r="L5">
        <f t="shared" si="8"/>
        <v>1421.0997732426304</v>
      </c>
      <c r="M5" s="1">
        <v>6399</v>
      </c>
      <c r="N5" s="1">
        <v>0.3</v>
      </c>
      <c r="O5" s="1">
        <v>0.2</v>
      </c>
      <c r="P5" s="1">
        <v>0.25</v>
      </c>
      <c r="Q5" s="1">
        <v>0.3</v>
      </c>
      <c r="R5" s="1">
        <v>0.4</v>
      </c>
      <c r="S5" s="1">
        <v>0.5</v>
      </c>
      <c r="T5">
        <f t="shared" si="9"/>
        <v>26498.94202547448</v>
      </c>
      <c r="U5">
        <f t="shared" si="4"/>
        <v>39748.413038211715</v>
      </c>
      <c r="V5">
        <f t="shared" si="4"/>
        <v>31798.730430569372</v>
      </c>
      <c r="W5">
        <f t="shared" si="4"/>
        <v>26498.94202547448</v>
      </c>
      <c r="X5">
        <f t="shared" si="4"/>
        <v>19874.206519105857</v>
      </c>
      <c r="Y5">
        <f t="shared" si="4"/>
        <v>15899.365215284686</v>
      </c>
    </row>
    <row r="6" spans="1:25" x14ac:dyDescent="0.3">
      <c r="A6" s="1">
        <v>0.2</v>
      </c>
      <c r="B6" s="1">
        <f t="shared" si="0"/>
        <v>3.5</v>
      </c>
      <c r="C6" s="1">
        <v>15</v>
      </c>
      <c r="D6" s="1">
        <f t="shared" si="1"/>
        <v>1.9248473002384139</v>
      </c>
      <c r="E6" s="1">
        <v>50</v>
      </c>
      <c r="F6" s="1">
        <f t="shared" si="2"/>
        <v>2.5</v>
      </c>
      <c r="G6" s="1">
        <f t="shared" si="3"/>
        <v>3.3541019662496847</v>
      </c>
      <c r="H6" s="1">
        <f t="shared" si="5"/>
        <v>0.77473609373520735</v>
      </c>
      <c r="I6" s="1">
        <f t="shared" si="6"/>
        <v>1.2649964485863538</v>
      </c>
      <c r="J6">
        <f t="shared" si="7"/>
        <v>0.79051605331976227</v>
      </c>
      <c r="K6" s="1">
        <v>505</v>
      </c>
      <c r="L6">
        <f t="shared" si="8"/>
        <v>1767.5</v>
      </c>
      <c r="M6" s="1">
        <v>6399</v>
      </c>
      <c r="N6" s="1">
        <v>0.35</v>
      </c>
      <c r="O6" s="1">
        <v>0.2</v>
      </c>
      <c r="P6" s="1">
        <v>0.25</v>
      </c>
      <c r="Q6" s="1">
        <v>0.3</v>
      </c>
      <c r="R6" s="1">
        <v>0.4</v>
      </c>
      <c r="S6" s="1">
        <v>0.5</v>
      </c>
      <c r="T6">
        <f t="shared" si="9"/>
        <v>23127.749355725937</v>
      </c>
      <c r="U6">
        <f t="shared" si="4"/>
        <v>40473.561372520388</v>
      </c>
      <c r="V6">
        <f t="shared" si="4"/>
        <v>32378.849098016311</v>
      </c>
      <c r="W6">
        <f t="shared" si="4"/>
        <v>26982.374248346929</v>
      </c>
      <c r="X6">
        <f t="shared" si="4"/>
        <v>20236.780686260194</v>
      </c>
      <c r="Y6">
        <f t="shared" si="4"/>
        <v>16189.424549008156</v>
      </c>
    </row>
    <row r="7" spans="1:25" x14ac:dyDescent="0.3">
      <c r="A7" s="1">
        <v>0.19</v>
      </c>
      <c r="B7" s="1">
        <f t="shared" si="0"/>
        <v>4.3240997229916909</v>
      </c>
      <c r="C7" s="1">
        <v>15</v>
      </c>
      <c r="D7" s="1">
        <f t="shared" si="1"/>
        <v>2.1437041982442091</v>
      </c>
      <c r="E7" s="1">
        <v>50</v>
      </c>
      <c r="F7" s="1">
        <f t="shared" si="2"/>
        <v>3.3240997229916909</v>
      </c>
      <c r="G7" s="1">
        <f t="shared" si="3"/>
        <v>4.2068798906525506</v>
      </c>
      <c r="H7" s="1">
        <f t="shared" si="5"/>
        <v>0.81390212399986595</v>
      </c>
      <c r="I7" s="1">
        <f t="shared" si="6"/>
        <v>1.2893551362799518</v>
      </c>
      <c r="J7">
        <f t="shared" si="7"/>
        <v>0.77558150726819963</v>
      </c>
      <c r="K7" s="1">
        <v>505</v>
      </c>
      <c r="L7">
        <f t="shared" si="8"/>
        <v>2183.6703601108038</v>
      </c>
      <c r="M7" s="1">
        <v>6399</v>
      </c>
      <c r="N7" s="1">
        <v>0.4</v>
      </c>
      <c r="O7" s="1">
        <v>0.2</v>
      </c>
      <c r="P7" s="1">
        <v>0.25</v>
      </c>
      <c r="Q7" s="1">
        <v>0.3</v>
      </c>
      <c r="R7" s="1">
        <v>0.4</v>
      </c>
      <c r="S7" s="1">
        <v>0.5</v>
      </c>
      <c r="T7">
        <f t="shared" si="9"/>
        <v>20626.458792638528</v>
      </c>
      <c r="U7">
        <f t="shared" si="4"/>
        <v>41252.917585277057</v>
      </c>
      <c r="V7">
        <f t="shared" si="4"/>
        <v>33002.334068221644</v>
      </c>
      <c r="W7">
        <f t="shared" si="4"/>
        <v>27501.945056851375</v>
      </c>
      <c r="X7">
        <f t="shared" si="4"/>
        <v>20626.458792638528</v>
      </c>
      <c r="Y7">
        <f t="shared" si="4"/>
        <v>16501.167034110822</v>
      </c>
    </row>
    <row r="8" spans="1:25" x14ac:dyDescent="0.3">
      <c r="A8" s="1">
        <v>0.18</v>
      </c>
      <c r="B8" s="1">
        <f t="shared" si="0"/>
        <v>5.3209876543209873</v>
      </c>
      <c r="C8" s="1">
        <v>15</v>
      </c>
      <c r="D8" s="1">
        <f t="shared" si="1"/>
        <v>2.3558569217315251</v>
      </c>
      <c r="E8" s="1">
        <v>50</v>
      </c>
      <c r="F8" s="1">
        <f t="shared" si="2"/>
        <v>4.3209876543209873</v>
      </c>
      <c r="G8" s="1">
        <f t="shared" si="3"/>
        <v>5.226175429263388</v>
      </c>
      <c r="H8" s="1">
        <f t="shared" si="5"/>
        <v>0.8548130111111002</v>
      </c>
      <c r="I8" s="1">
        <f t="shared" si="6"/>
        <v>1.3155627252110884</v>
      </c>
      <c r="J8">
        <f t="shared" si="7"/>
        <v>0.76013099249185945</v>
      </c>
      <c r="K8" s="1">
        <v>505</v>
      </c>
      <c r="L8">
        <f t="shared" si="8"/>
        <v>2687.0987654320984</v>
      </c>
      <c r="M8" s="1">
        <v>6399</v>
      </c>
      <c r="N8" s="1">
        <v>0.45</v>
      </c>
      <c r="O8" s="1">
        <v>0.2</v>
      </c>
      <c r="P8" s="1">
        <v>0.25</v>
      </c>
      <c r="Q8" s="1">
        <v>0.3</v>
      </c>
      <c r="R8" s="1">
        <v>0.4</v>
      </c>
      <c r="S8" s="1">
        <v>0.5</v>
      </c>
      <c r="T8">
        <f t="shared" si="9"/>
        <v>18707.301952501679</v>
      </c>
      <c r="U8">
        <f t="shared" si="4"/>
        <v>42091.429393128768</v>
      </c>
      <c r="V8">
        <f t="shared" si="4"/>
        <v>33673.143514503019</v>
      </c>
      <c r="W8">
        <f t="shared" si="4"/>
        <v>28060.952928752518</v>
      </c>
      <c r="X8">
        <f t="shared" si="4"/>
        <v>21045.714696564384</v>
      </c>
      <c r="Y8">
        <f t="shared" si="4"/>
        <v>16836.57175725151</v>
      </c>
    </row>
    <row r="9" spans="1:25" x14ac:dyDescent="0.3">
      <c r="A9" s="1">
        <v>0.17</v>
      </c>
      <c r="B9" s="1">
        <f t="shared" si="0"/>
        <v>6.5363321799307936</v>
      </c>
      <c r="C9" s="1">
        <v>15</v>
      </c>
      <c r="D9" s="1">
        <f t="shared" si="1"/>
        <v>2.5646197589211277</v>
      </c>
      <c r="E9" s="1">
        <v>50</v>
      </c>
      <c r="F9" s="1">
        <f t="shared" si="2"/>
        <v>5.5363321799307936</v>
      </c>
      <c r="G9" s="1">
        <f t="shared" si="3"/>
        <v>6.4593837450951028</v>
      </c>
      <c r="H9" s="1">
        <f t="shared" si="5"/>
        <v>0.89766271123557839</v>
      </c>
      <c r="I9" s="1">
        <f t="shared" si="6"/>
        <v>1.3437999639614557</v>
      </c>
      <c r="J9">
        <f t="shared" si="7"/>
        <v>0.74415837685547304</v>
      </c>
      <c r="K9" s="1">
        <v>505</v>
      </c>
      <c r="L9">
        <f t="shared" si="8"/>
        <v>3300.8477508650508</v>
      </c>
      <c r="M9" s="1">
        <v>6399</v>
      </c>
      <c r="N9" s="1">
        <v>0.5</v>
      </c>
      <c r="O9" s="1">
        <v>0.2</v>
      </c>
      <c r="P9" s="1">
        <v>0.25</v>
      </c>
      <c r="Q9" s="1">
        <v>0.3</v>
      </c>
      <c r="R9" s="1">
        <v>0.4</v>
      </c>
      <c r="S9" s="1">
        <v>0.5</v>
      </c>
      <c r="T9">
        <f t="shared" si="9"/>
        <v>17197.951938778708</v>
      </c>
      <c r="U9">
        <f t="shared" si="4"/>
        <v>42994.879846946766</v>
      </c>
      <c r="V9">
        <f t="shared" si="4"/>
        <v>34395.903877557415</v>
      </c>
      <c r="W9">
        <f t="shared" si="4"/>
        <v>28663.253231297851</v>
      </c>
      <c r="X9">
        <f t="shared" si="4"/>
        <v>21497.439923473383</v>
      </c>
      <c r="Y9">
        <f t="shared" si="4"/>
        <v>17197.951938778708</v>
      </c>
    </row>
    <row r="10" spans="1:25" x14ac:dyDescent="0.3">
      <c r="A10" s="1">
        <v>0.16</v>
      </c>
      <c r="B10" s="1">
        <f t="shared" si="0"/>
        <v>8.03125</v>
      </c>
      <c r="C10" s="1">
        <v>15</v>
      </c>
      <c r="D10" s="1">
        <f t="shared" si="1"/>
        <v>2.7725887222397811</v>
      </c>
      <c r="E10" s="1">
        <v>50</v>
      </c>
      <c r="F10" s="1">
        <f t="shared" si="2"/>
        <v>7.03125</v>
      </c>
      <c r="G10" s="1">
        <f t="shared" si="3"/>
        <v>7.96875</v>
      </c>
      <c r="H10" s="1">
        <f t="shared" si="5"/>
        <v>0.94268016556152567</v>
      </c>
      <c r="I10" s="1">
        <f t="shared" si="6"/>
        <v>1.3742801368509645</v>
      </c>
      <c r="J10">
        <f t="shared" si="7"/>
        <v>0.72765368077821979</v>
      </c>
      <c r="K10" s="1">
        <v>505</v>
      </c>
      <c r="L10">
        <f t="shared" si="8"/>
        <v>4055.78125</v>
      </c>
      <c r="M10" s="1">
        <v>6399</v>
      </c>
      <c r="N10" s="1">
        <v>0.55000000000000004</v>
      </c>
      <c r="O10" s="1">
        <v>0.2</v>
      </c>
      <c r="P10" s="1">
        <v>0.25</v>
      </c>
      <c r="Q10" s="1">
        <v>0.3</v>
      </c>
      <c r="R10" s="1">
        <v>0.4</v>
      </c>
      <c r="S10" s="1">
        <v>0.5</v>
      </c>
      <c r="T10">
        <f t="shared" si="9"/>
        <v>15989.124719471494</v>
      </c>
      <c r="U10">
        <f t="shared" si="4"/>
        <v>43970.092978546607</v>
      </c>
      <c r="V10">
        <f t="shared" si="4"/>
        <v>35176.074382837287</v>
      </c>
      <c r="W10">
        <f t="shared" si="4"/>
        <v>29313.395319031075</v>
      </c>
      <c r="X10">
        <f t="shared" si="4"/>
        <v>21985.046489273303</v>
      </c>
      <c r="Y10">
        <f t="shared" si="4"/>
        <v>17588.037191418643</v>
      </c>
    </row>
    <row r="11" spans="1:25" x14ac:dyDescent="0.3">
      <c r="A11" s="1">
        <v>0.15</v>
      </c>
      <c r="B11" s="1">
        <f t="shared" si="0"/>
        <v>9.8888888888888911</v>
      </c>
      <c r="C11" s="1">
        <v>15</v>
      </c>
      <c r="D11" s="1">
        <f t="shared" si="1"/>
        <v>2.9819926179896172</v>
      </c>
      <c r="E11" s="1">
        <v>50</v>
      </c>
      <c r="F11" s="1">
        <f t="shared" si="2"/>
        <v>8.8888888888888911</v>
      </c>
      <c r="G11" s="1">
        <f t="shared" si="3"/>
        <v>9.8381971649682942</v>
      </c>
      <c r="H11" s="1">
        <f t="shared" si="5"/>
        <v>0.99013830705883654</v>
      </c>
      <c r="I11" s="1">
        <f t="shared" si="6"/>
        <v>1.4072575695676108</v>
      </c>
      <c r="J11">
        <f t="shared" si="7"/>
        <v>0.7106019691244273</v>
      </c>
      <c r="K11" s="1">
        <v>505</v>
      </c>
      <c r="L11">
        <f t="shared" si="8"/>
        <v>4993.8888888888896</v>
      </c>
      <c r="M11" s="1">
        <v>6399</v>
      </c>
      <c r="N11" s="1">
        <v>0.6</v>
      </c>
      <c r="O11" s="1">
        <v>0.2</v>
      </c>
      <c r="P11" s="1">
        <v>0.25</v>
      </c>
      <c r="Q11" s="1">
        <v>0.3</v>
      </c>
      <c r="R11" s="1">
        <v>0.4</v>
      </c>
      <c r="S11" s="1">
        <v>0.5</v>
      </c>
      <c r="T11">
        <f t="shared" si="9"/>
        <v>15008.401979438571</v>
      </c>
      <c r="U11">
        <f t="shared" si="4"/>
        <v>45025.205938315703</v>
      </c>
      <c r="V11">
        <f t="shared" si="4"/>
        <v>36020.16475065257</v>
      </c>
      <c r="W11">
        <f t="shared" si="4"/>
        <v>30016.803958877143</v>
      </c>
      <c r="X11">
        <f t="shared" si="4"/>
        <v>22512.602969157851</v>
      </c>
      <c r="Y11">
        <f t="shared" si="4"/>
        <v>18010.082375326285</v>
      </c>
    </row>
    <row r="12" spans="1:25" x14ac:dyDescent="0.3">
      <c r="A12" s="1"/>
      <c r="B12" s="5">
        <v>2</v>
      </c>
      <c r="C12" s="5">
        <v>15</v>
      </c>
      <c r="D12" s="5">
        <f t="shared" si="1"/>
        <v>1.3169578969248166</v>
      </c>
      <c r="E12" s="5">
        <v>50</v>
      </c>
      <c r="F12" s="5">
        <f t="shared" si="2"/>
        <v>1</v>
      </c>
      <c r="G12" s="5">
        <f t="shared" si="3"/>
        <v>1.7320508075688772</v>
      </c>
      <c r="H12" s="5">
        <f t="shared" si="5"/>
        <v>0.68431139667085161</v>
      </c>
      <c r="I12" s="5">
        <f t="shared" si="6"/>
        <v>1.2117269030658731</v>
      </c>
      <c r="J12">
        <f t="shared" si="7"/>
        <v>0.82526846393344211</v>
      </c>
      <c r="K12" s="5">
        <v>505</v>
      </c>
      <c r="L12">
        <f t="shared" si="8"/>
        <v>1010</v>
      </c>
      <c r="M12" s="5">
        <v>6399</v>
      </c>
    </row>
  </sheetData>
  <mergeCells count="2">
    <mergeCell ref="N1:S1"/>
    <mergeCell ref="T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45" zoomScaleNormal="145" workbookViewId="0">
      <selection activeCell="H18" sqref="H18"/>
    </sheetView>
  </sheetViews>
  <sheetFormatPr defaultRowHeight="14.4" x14ac:dyDescent="0.3"/>
  <sheetData>
    <row r="1" spans="1:2" x14ac:dyDescent="0.3">
      <c r="A1" s="1" t="s">
        <v>36</v>
      </c>
      <c r="B1" s="1" t="s">
        <v>14</v>
      </c>
    </row>
    <row r="2" spans="1:2" x14ac:dyDescent="0.3">
      <c r="A2">
        <v>680.34722222222251</v>
      </c>
      <c r="B2" s="2">
        <v>25238.794899264729</v>
      </c>
    </row>
    <row r="3" spans="1:2" x14ac:dyDescent="0.3">
      <c r="A3">
        <v>886.85255198487698</v>
      </c>
      <c r="B3" s="2">
        <v>25629.476304498712</v>
      </c>
    </row>
    <row r="4" spans="1:2" x14ac:dyDescent="0.3">
      <c r="A4">
        <v>1131.0330578512403</v>
      </c>
      <c r="B4" s="2">
        <v>26048.801636988563</v>
      </c>
    </row>
    <row r="5" spans="1:2" x14ac:dyDescent="0.3">
      <c r="A5">
        <v>1421.0997732426304</v>
      </c>
      <c r="B5" s="2">
        <v>26498.94202547448</v>
      </c>
    </row>
    <row r="6" spans="1:2" x14ac:dyDescent="0.3">
      <c r="A6">
        <v>1767.5</v>
      </c>
      <c r="B6" s="2">
        <v>26982.374248346929</v>
      </c>
    </row>
    <row r="7" spans="1:2" x14ac:dyDescent="0.3">
      <c r="A7">
        <v>2183.6703601108038</v>
      </c>
      <c r="B7" s="2">
        <v>27501.945056851375</v>
      </c>
    </row>
    <row r="8" spans="1:2" x14ac:dyDescent="0.3">
      <c r="A8">
        <v>2687.0987654320984</v>
      </c>
      <c r="B8" s="2">
        <v>28060.952928752518</v>
      </c>
    </row>
    <row r="9" spans="1:2" x14ac:dyDescent="0.3">
      <c r="A9">
        <v>3300.8477508650508</v>
      </c>
      <c r="B9" s="2">
        <v>28663.253231297851</v>
      </c>
    </row>
    <row r="10" spans="1:2" x14ac:dyDescent="0.3">
      <c r="A10">
        <v>4055.78125</v>
      </c>
      <c r="B10" s="2">
        <v>29313.395319031075</v>
      </c>
    </row>
    <row r="11" spans="1:2" x14ac:dyDescent="0.3">
      <c r="A11">
        <v>4993.8888888888896</v>
      </c>
      <c r="B11" s="2">
        <v>30016.803958877143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E15" sqref="E15"/>
    </sheetView>
  </sheetViews>
  <sheetFormatPr defaultRowHeight="14.4" x14ac:dyDescent="0.3"/>
  <sheetData>
    <row r="1" spans="1:4" x14ac:dyDescent="0.3">
      <c r="A1">
        <v>0.84512751441319411</v>
      </c>
      <c r="B1">
        <v>6399</v>
      </c>
      <c r="C1" s="3">
        <v>0.3</v>
      </c>
      <c r="D1">
        <f>B1/(C1*A1)</f>
        <v>25238.794899264729</v>
      </c>
    </row>
    <row r="2" spans="1:4" x14ac:dyDescent="0.3">
      <c r="A2">
        <v>0.832244863163902</v>
      </c>
      <c r="B2">
        <v>6399</v>
      </c>
      <c r="C2" s="4">
        <v>0.3</v>
      </c>
      <c r="D2">
        <f t="shared" ref="D2:D10" si="0">B2/(C2*A2)</f>
        <v>25629.476304498712</v>
      </c>
    </row>
    <row r="3" spans="1:4" x14ac:dyDescent="0.3">
      <c r="A3">
        <v>0.81884764977871394</v>
      </c>
      <c r="B3">
        <v>6399</v>
      </c>
      <c r="C3" s="4">
        <v>0.3</v>
      </c>
      <c r="D3">
        <f t="shared" si="0"/>
        <v>26048.801636988563</v>
      </c>
    </row>
    <row r="4" spans="1:4" x14ac:dyDescent="0.3">
      <c r="A4">
        <v>0.80493779636540319</v>
      </c>
      <c r="B4">
        <v>6399</v>
      </c>
      <c r="C4" s="4">
        <v>0.3</v>
      </c>
      <c r="D4">
        <f t="shared" si="0"/>
        <v>26498.94202547448</v>
      </c>
    </row>
    <row r="5" spans="1:4" x14ac:dyDescent="0.3">
      <c r="A5">
        <v>0.79051605331976227</v>
      </c>
      <c r="B5">
        <v>6399</v>
      </c>
      <c r="C5" s="4">
        <v>0.3</v>
      </c>
      <c r="D5">
        <f t="shared" si="0"/>
        <v>26982.374248346929</v>
      </c>
    </row>
    <row r="6" spans="1:4" x14ac:dyDescent="0.3">
      <c r="A6">
        <v>0.77558150726819963</v>
      </c>
      <c r="B6">
        <v>6399</v>
      </c>
      <c r="C6" s="4">
        <v>0.3</v>
      </c>
      <c r="D6">
        <f t="shared" si="0"/>
        <v>27501.945056851375</v>
      </c>
    </row>
    <row r="7" spans="1:4" x14ac:dyDescent="0.3">
      <c r="A7">
        <v>0.76013099249185945</v>
      </c>
      <c r="B7">
        <v>6399</v>
      </c>
      <c r="C7" s="4">
        <v>0.3</v>
      </c>
      <c r="D7">
        <f t="shared" si="0"/>
        <v>28060.952928752518</v>
      </c>
    </row>
    <row r="8" spans="1:4" x14ac:dyDescent="0.3">
      <c r="A8">
        <v>0.74415837685547304</v>
      </c>
      <c r="B8">
        <v>6399</v>
      </c>
      <c r="C8" s="4">
        <v>0.3</v>
      </c>
      <c r="D8">
        <f t="shared" si="0"/>
        <v>28663.253231297851</v>
      </c>
    </row>
    <row r="9" spans="1:4" x14ac:dyDescent="0.3">
      <c r="A9">
        <v>0.72765368077821979</v>
      </c>
      <c r="B9">
        <v>6399</v>
      </c>
      <c r="C9" s="4">
        <v>0.3</v>
      </c>
      <c r="D9">
        <f t="shared" si="0"/>
        <v>29313.395319031075</v>
      </c>
    </row>
    <row r="10" spans="1:4" x14ac:dyDescent="0.3">
      <c r="A10">
        <v>0.7106019691244273</v>
      </c>
      <c r="B10">
        <v>6399</v>
      </c>
      <c r="C10" s="4">
        <v>0.3</v>
      </c>
      <c r="D10">
        <f t="shared" si="0"/>
        <v>30016.803958877143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75" zoomScaleNormal="175" workbookViewId="0">
      <selection activeCell="G6" sqref="G6"/>
    </sheetView>
  </sheetViews>
  <sheetFormatPr defaultRowHeight="14.4" x14ac:dyDescent="0.3"/>
  <cols>
    <col min="1" max="1" width="14.21875" customWidth="1"/>
    <col min="2" max="2" width="14" customWidth="1"/>
    <col min="3" max="3" width="13.44140625" customWidth="1"/>
    <col min="4" max="4" width="14.44140625" customWidth="1"/>
    <col min="6" max="6" width="13.21875" customWidth="1"/>
    <col min="7" max="7" width="22.109375" customWidth="1"/>
  </cols>
  <sheetData>
    <row r="1" spans="1:6" x14ac:dyDescent="0.3">
      <c r="C1" t="s">
        <v>37</v>
      </c>
      <c r="D1" t="s">
        <v>38</v>
      </c>
      <c r="F1" t="s">
        <v>39</v>
      </c>
    </row>
    <row r="2" spans="1:6" x14ac:dyDescent="0.3">
      <c r="B2">
        <v>1.2229999999999999E-4</v>
      </c>
      <c r="C2" s="6">
        <v>4.9000000000000002E-2</v>
      </c>
      <c r="D2">
        <f>B2*C2</f>
        <v>5.9926999999999994E-6</v>
      </c>
      <c r="E2">
        <v>0.7</v>
      </c>
      <c r="F2">
        <f>E2/D2</f>
        <v>116808.78402055835</v>
      </c>
    </row>
    <row r="3" spans="1:6" x14ac:dyDescent="0.3">
      <c r="B3">
        <v>1.2229999999999999E-4</v>
      </c>
      <c r="C3">
        <v>0.18690000000000001</v>
      </c>
      <c r="D3">
        <f>B3*C3</f>
        <v>2.2857869999999998E-5</v>
      </c>
      <c r="E3">
        <v>2.67</v>
      </c>
      <c r="F3">
        <f>E3/D3</f>
        <v>116808.78402055835</v>
      </c>
    </row>
    <row r="6" spans="1:6" x14ac:dyDescent="0.3">
      <c r="A6" t="s">
        <v>40</v>
      </c>
      <c r="B6" t="s">
        <v>41</v>
      </c>
      <c r="C6" t="s">
        <v>42</v>
      </c>
      <c r="D6" t="s">
        <v>43</v>
      </c>
    </row>
    <row r="7" spans="1:6" x14ac:dyDescent="0.3">
      <c r="A7" s="6">
        <v>1</v>
      </c>
      <c r="B7" s="7">
        <v>0.7</v>
      </c>
      <c r="C7" s="7">
        <v>116808.784</v>
      </c>
      <c r="D7" s="7">
        <f>B7/C7</f>
        <v>5.9927000010547147E-6</v>
      </c>
    </row>
    <row r="8" spans="1:6" x14ac:dyDescent="0.3">
      <c r="A8" s="6">
        <v>2</v>
      </c>
      <c r="B8" s="7">
        <v>2.67</v>
      </c>
      <c r="C8" s="7">
        <v>116808.784</v>
      </c>
      <c r="D8" s="7">
        <f t="shared" ref="D8:D16" si="0">B8/C8</f>
        <v>2.2857870004022984E-5</v>
      </c>
    </row>
    <row r="9" spans="1:6" x14ac:dyDescent="0.3">
      <c r="A9" s="6">
        <v>3</v>
      </c>
      <c r="B9" s="7">
        <v>5.6</v>
      </c>
      <c r="C9" s="7">
        <v>116808.784</v>
      </c>
      <c r="D9" s="7">
        <f t="shared" si="0"/>
        <v>4.7941600008437717E-5</v>
      </c>
    </row>
    <row r="10" spans="1:6" x14ac:dyDescent="0.3">
      <c r="A10" s="6">
        <v>4</v>
      </c>
      <c r="B10" s="7">
        <v>9.1</v>
      </c>
      <c r="C10" s="7">
        <v>116808.784</v>
      </c>
      <c r="D10" s="7">
        <f t="shared" si="0"/>
        <v>7.7905100013711296E-5</v>
      </c>
    </row>
    <row r="11" spans="1:6" x14ac:dyDescent="0.3">
      <c r="A11" s="6">
        <v>5</v>
      </c>
      <c r="B11" s="7">
        <v>12.9</v>
      </c>
      <c r="C11" s="7">
        <v>116808.784</v>
      </c>
      <c r="D11" s="7">
        <f t="shared" si="0"/>
        <v>1.1043690001943689E-4</v>
      </c>
    </row>
    <row r="12" spans="1:6" x14ac:dyDescent="0.3">
      <c r="A12" s="6">
        <v>6</v>
      </c>
      <c r="B12" s="7">
        <v>16.62</v>
      </c>
      <c r="C12" s="7">
        <v>116808.784</v>
      </c>
      <c r="D12" s="7">
        <f t="shared" si="0"/>
        <v>1.4228382002504195E-4</v>
      </c>
    </row>
    <row r="13" spans="1:6" x14ac:dyDescent="0.3">
      <c r="A13" s="6">
        <v>7</v>
      </c>
      <c r="B13" s="7">
        <v>19.98</v>
      </c>
      <c r="C13" s="7">
        <v>116808.784</v>
      </c>
      <c r="D13" s="7">
        <f t="shared" si="0"/>
        <v>1.7104878003010459E-4</v>
      </c>
    </row>
    <row r="14" spans="1:6" x14ac:dyDescent="0.3">
      <c r="A14" s="6">
        <v>8</v>
      </c>
      <c r="B14" s="7">
        <v>22.54</v>
      </c>
      <c r="C14" s="7">
        <v>116808.784</v>
      </c>
      <c r="D14" s="7">
        <f t="shared" si="0"/>
        <v>1.9296494003396184E-4</v>
      </c>
    </row>
    <row r="15" spans="1:6" x14ac:dyDescent="0.3">
      <c r="A15" s="6">
        <v>9</v>
      </c>
      <c r="B15" s="7">
        <v>24.23</v>
      </c>
      <c r="C15" s="7">
        <v>116808.784</v>
      </c>
      <c r="D15" s="7">
        <f t="shared" si="0"/>
        <v>2.0743303003650822E-4</v>
      </c>
    </row>
    <row r="16" spans="1:6" x14ac:dyDescent="0.3">
      <c r="A16" s="6">
        <v>10</v>
      </c>
      <c r="B16" s="7">
        <v>24.8</v>
      </c>
      <c r="C16" s="7">
        <v>116808.784</v>
      </c>
      <c r="D16" s="7">
        <f t="shared" si="0"/>
        <v>2.1231280003736707E-4</v>
      </c>
      <c r="F16" t="s"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="235" zoomScaleNormal="235" workbookViewId="0">
      <selection activeCell="D57" sqref="D57"/>
    </sheetView>
  </sheetViews>
  <sheetFormatPr defaultRowHeight="14.4" x14ac:dyDescent="0.3"/>
  <cols>
    <col min="1" max="1" width="17.33203125" customWidth="1"/>
    <col min="2" max="2" width="13.21875" customWidth="1"/>
  </cols>
  <sheetData>
    <row r="1" spans="1:12" x14ac:dyDescent="0.3">
      <c r="A1" t="s">
        <v>27</v>
      </c>
      <c r="B1" s="6">
        <v>180</v>
      </c>
      <c r="C1" s="6">
        <v>180</v>
      </c>
      <c r="D1" s="6">
        <v>180</v>
      </c>
      <c r="E1" s="6">
        <v>180</v>
      </c>
      <c r="F1" s="6">
        <v>180</v>
      </c>
      <c r="G1" s="6">
        <v>180</v>
      </c>
      <c r="H1" s="6">
        <v>180</v>
      </c>
      <c r="I1" s="6">
        <v>180</v>
      </c>
      <c r="J1" s="6">
        <v>180</v>
      </c>
      <c r="K1" s="6">
        <v>180</v>
      </c>
      <c r="L1" s="7">
        <v>180</v>
      </c>
    </row>
    <row r="2" spans="1:12" x14ac:dyDescent="0.3">
      <c r="A2" t="s">
        <v>44</v>
      </c>
      <c r="B2" s="6">
        <v>1200</v>
      </c>
      <c r="C2" s="6">
        <v>1200</v>
      </c>
      <c r="D2" s="6">
        <v>1200</v>
      </c>
      <c r="E2" s="6">
        <v>1200</v>
      </c>
      <c r="F2" s="6">
        <v>1200</v>
      </c>
      <c r="G2" s="6">
        <v>1200</v>
      </c>
      <c r="H2" s="6">
        <v>1200</v>
      </c>
      <c r="I2" s="6">
        <v>1200</v>
      </c>
      <c r="J2" s="6">
        <v>1200</v>
      </c>
      <c r="K2" s="6">
        <v>1200</v>
      </c>
      <c r="L2" s="7">
        <v>1200</v>
      </c>
    </row>
    <row r="3" spans="1:12" x14ac:dyDescent="0.3">
      <c r="A3" t="s">
        <v>29</v>
      </c>
      <c r="B3" s="7">
        <v>600</v>
      </c>
      <c r="C3" s="7">
        <v>600</v>
      </c>
      <c r="D3" s="7">
        <v>600</v>
      </c>
      <c r="E3" s="7">
        <v>600</v>
      </c>
      <c r="F3" s="7">
        <v>600</v>
      </c>
      <c r="G3" s="7">
        <v>600</v>
      </c>
      <c r="H3" s="7">
        <v>600</v>
      </c>
      <c r="I3" s="7">
        <v>600</v>
      </c>
      <c r="J3" s="7">
        <v>600</v>
      </c>
      <c r="K3" s="7">
        <v>600</v>
      </c>
      <c r="L3" s="7">
        <v>600</v>
      </c>
    </row>
    <row r="4" spans="1:12" x14ac:dyDescent="0.3">
      <c r="A4" t="s">
        <v>11</v>
      </c>
      <c r="B4" s="6">
        <v>2000000</v>
      </c>
      <c r="C4" s="6">
        <v>2000000</v>
      </c>
      <c r="D4" s="6">
        <v>2000000</v>
      </c>
      <c r="E4" s="6">
        <v>2000000</v>
      </c>
      <c r="F4" s="6">
        <v>2000000</v>
      </c>
      <c r="G4" s="6">
        <v>2000000</v>
      </c>
      <c r="H4" s="6">
        <v>2000000</v>
      </c>
      <c r="I4" s="6">
        <v>2000000</v>
      </c>
      <c r="J4" s="6">
        <v>2000000</v>
      </c>
      <c r="K4" s="6">
        <v>2000000</v>
      </c>
      <c r="L4" s="7">
        <v>2000000</v>
      </c>
    </row>
    <row r="5" spans="1:12" x14ac:dyDescent="0.3">
      <c r="A5" t="s">
        <v>13</v>
      </c>
      <c r="B5" s="6">
        <v>6399</v>
      </c>
      <c r="C5" s="6">
        <v>6399</v>
      </c>
      <c r="D5" s="6">
        <v>6399</v>
      </c>
      <c r="E5" s="6">
        <v>6399</v>
      </c>
      <c r="F5" s="6">
        <v>6399</v>
      </c>
      <c r="G5" s="6">
        <v>6399</v>
      </c>
      <c r="H5" s="6">
        <v>6399</v>
      </c>
      <c r="I5" s="6">
        <v>6399</v>
      </c>
      <c r="J5" s="6">
        <v>6399</v>
      </c>
      <c r="K5" s="6">
        <v>6399</v>
      </c>
      <c r="L5" s="7">
        <v>6399</v>
      </c>
    </row>
    <row r="6" spans="1:12" x14ac:dyDescent="0.3">
      <c r="A6" t="s">
        <v>45</v>
      </c>
      <c r="B6" s="6">
        <v>37.85</v>
      </c>
      <c r="C6" s="6">
        <v>37.85</v>
      </c>
      <c r="D6" s="6">
        <v>37.85</v>
      </c>
      <c r="E6" s="6">
        <v>37.85</v>
      </c>
      <c r="F6" s="6">
        <v>37.85</v>
      </c>
      <c r="G6" s="6">
        <v>37.85</v>
      </c>
      <c r="H6" s="6">
        <v>37.85</v>
      </c>
      <c r="I6" s="6">
        <v>37.85</v>
      </c>
      <c r="J6" s="6">
        <v>37.85</v>
      </c>
      <c r="K6" s="6">
        <v>37.85</v>
      </c>
      <c r="L6" s="7">
        <v>37.85</v>
      </c>
    </row>
    <row r="7" spans="1:12" x14ac:dyDescent="0.3">
      <c r="A7" t="s">
        <v>26</v>
      </c>
      <c r="B7" s="6">
        <v>4.6950000000000003</v>
      </c>
      <c r="C7" s="6">
        <v>4.6950000000000003</v>
      </c>
      <c r="D7" s="6">
        <v>4.6950000000000003</v>
      </c>
      <c r="E7" s="6">
        <v>4.6950000000000003</v>
      </c>
      <c r="F7" s="6">
        <v>4.6950000000000003</v>
      </c>
      <c r="G7" s="6">
        <v>4.6950000000000003</v>
      </c>
      <c r="H7" s="6">
        <v>4.6950000000000003</v>
      </c>
      <c r="I7" s="6">
        <v>4.6950000000000003</v>
      </c>
      <c r="J7" s="6">
        <v>4.6950000000000003</v>
      </c>
      <c r="K7" s="6">
        <v>4.6950000000000003</v>
      </c>
      <c r="L7" s="7">
        <v>4.6950000000000003</v>
      </c>
    </row>
    <row r="8" spans="1:12" x14ac:dyDescent="0.3">
      <c r="A8" t="s">
        <v>28</v>
      </c>
      <c r="B8" s="6">
        <v>2.2281</v>
      </c>
      <c r="C8" s="6">
        <v>2.2281</v>
      </c>
      <c r="D8" s="6">
        <v>2.2281</v>
      </c>
      <c r="E8" s="6">
        <v>2.2281</v>
      </c>
      <c r="F8" s="6">
        <v>2.2281</v>
      </c>
      <c r="G8" s="6">
        <v>2.2281</v>
      </c>
      <c r="H8" s="6">
        <v>2.2281</v>
      </c>
      <c r="I8" s="6">
        <v>2.2281</v>
      </c>
      <c r="J8" s="6">
        <v>2.2281</v>
      </c>
      <c r="K8" s="6">
        <v>2.2281</v>
      </c>
      <c r="L8" s="7">
        <v>2.2281</v>
      </c>
    </row>
    <row r="9" spans="1:12" x14ac:dyDescent="0.3">
      <c r="A9" t="s">
        <v>17</v>
      </c>
      <c r="B9" s="6">
        <v>0.33850000000000002</v>
      </c>
      <c r="C9" s="6">
        <v>0.33850000000000002</v>
      </c>
      <c r="D9" s="6">
        <v>0.33850000000000002</v>
      </c>
      <c r="E9" s="6">
        <v>0.33850000000000002</v>
      </c>
      <c r="F9" s="6">
        <v>0.33850000000000002</v>
      </c>
      <c r="G9" s="6">
        <v>0.33850000000000002</v>
      </c>
      <c r="H9" s="6">
        <v>0.33850000000000002</v>
      </c>
      <c r="I9" s="6">
        <v>0.33850000000000002</v>
      </c>
      <c r="J9" s="6">
        <v>0.33850000000000002</v>
      </c>
      <c r="K9" s="6">
        <v>0.33850000000000002</v>
      </c>
      <c r="L9" s="7">
        <v>0.33850000000000002</v>
      </c>
    </row>
    <row r="10" spans="1:12" x14ac:dyDescent="0.3"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2" x14ac:dyDescent="0.3">
      <c r="A11" t="s">
        <v>50</v>
      </c>
      <c r="B11" s="6">
        <v>0</v>
      </c>
      <c r="C11" s="6">
        <v>60</v>
      </c>
      <c r="D11" s="7">
        <v>120</v>
      </c>
      <c r="E11" s="7">
        <v>180</v>
      </c>
      <c r="F11" s="7">
        <v>240</v>
      </c>
      <c r="G11" s="7">
        <v>300</v>
      </c>
      <c r="H11" s="7">
        <v>360</v>
      </c>
      <c r="I11" s="7">
        <v>420</v>
      </c>
      <c r="J11" s="7">
        <v>480</v>
      </c>
      <c r="K11" s="7">
        <v>540</v>
      </c>
      <c r="L11" s="7">
        <v>600</v>
      </c>
    </row>
    <row r="12" spans="1:12" x14ac:dyDescent="0.3">
      <c r="A12" t="s">
        <v>46</v>
      </c>
      <c r="B12">
        <v>0</v>
      </c>
      <c r="C12">
        <v>1.212</v>
      </c>
      <c r="D12">
        <v>4.92</v>
      </c>
      <c r="E12">
        <v>11.304</v>
      </c>
      <c r="F12">
        <v>20.662248724676971</v>
      </c>
      <c r="G12">
        <v>33.488857605812477</v>
      </c>
      <c r="H12">
        <v>50.413333177383791</v>
      </c>
      <c r="I12">
        <v>72.279373495784625</v>
      </c>
      <c r="J12">
        <v>100.1770174008979</v>
      </c>
      <c r="K12">
        <v>135.49698378626741</v>
      </c>
      <c r="L12">
        <v>179.99999999999989</v>
      </c>
    </row>
    <row r="13" spans="1:12" x14ac:dyDescent="0.3">
      <c r="A13" t="s">
        <v>47</v>
      </c>
      <c r="B13" s="6">
        <f>(B11*2)/B2</f>
        <v>0</v>
      </c>
      <c r="C13" s="7">
        <f t="shared" ref="C13:L13" si="0">(C11*2)/C2</f>
        <v>0.1</v>
      </c>
      <c r="D13" s="7">
        <f t="shared" si="0"/>
        <v>0.2</v>
      </c>
      <c r="E13" s="7">
        <f t="shared" si="0"/>
        <v>0.3</v>
      </c>
      <c r="F13" s="7">
        <f t="shared" si="0"/>
        <v>0.4</v>
      </c>
      <c r="G13" s="7">
        <f t="shared" si="0"/>
        <v>0.5</v>
      </c>
      <c r="H13" s="7">
        <f t="shared" si="0"/>
        <v>0.6</v>
      </c>
      <c r="I13" s="7">
        <f t="shared" si="0"/>
        <v>0.7</v>
      </c>
      <c r="J13" s="7">
        <f t="shared" si="0"/>
        <v>0.8</v>
      </c>
      <c r="K13" s="7">
        <f t="shared" si="0"/>
        <v>0.9</v>
      </c>
      <c r="L13" s="7">
        <f t="shared" si="0"/>
        <v>1</v>
      </c>
    </row>
    <row r="15" spans="1:12" x14ac:dyDescent="0.3">
      <c r="A15" t="s">
        <v>49</v>
      </c>
      <c r="B15">
        <f>(B1*B2*B2)/(4*B4*B5)</f>
        <v>5.0632911392405064E-3</v>
      </c>
      <c r="C15">
        <f t="shared" ref="C15:K15" si="1">(C1*C2*C2)/(4*C4*C5)</f>
        <v>5.0632911392405064E-3</v>
      </c>
      <c r="D15">
        <f t="shared" si="1"/>
        <v>5.0632911392405064E-3</v>
      </c>
      <c r="E15">
        <f t="shared" si="1"/>
        <v>5.0632911392405064E-3</v>
      </c>
      <c r="F15">
        <f t="shared" si="1"/>
        <v>5.0632911392405064E-3</v>
      </c>
      <c r="G15">
        <f t="shared" si="1"/>
        <v>5.0632911392405064E-3</v>
      </c>
      <c r="H15">
        <f t="shared" si="1"/>
        <v>5.0632911392405064E-3</v>
      </c>
      <c r="I15">
        <f t="shared" si="1"/>
        <v>5.0632911392405064E-3</v>
      </c>
      <c r="J15">
        <f t="shared" si="1"/>
        <v>5.0632911392405064E-3</v>
      </c>
      <c r="K15">
        <f t="shared" si="1"/>
        <v>5.0632911392405064E-3</v>
      </c>
      <c r="L15">
        <f>(L1*L2*L2)/(4*L4*L5)</f>
        <v>5.0632911392405064E-3</v>
      </c>
    </row>
    <row r="16" spans="1:12" x14ac:dyDescent="0.3">
      <c r="A16" t="s">
        <v>51</v>
      </c>
      <c r="B16">
        <f>B6/B1</f>
        <v>0.21027777777777779</v>
      </c>
      <c r="C16">
        <f t="shared" ref="C16:K16" si="2">C6/C1</f>
        <v>0.21027777777777779</v>
      </c>
      <c r="D16">
        <f t="shared" si="2"/>
        <v>0.21027777777777779</v>
      </c>
      <c r="E16">
        <f t="shared" si="2"/>
        <v>0.21027777777777779</v>
      </c>
      <c r="F16">
        <f t="shared" si="2"/>
        <v>0.21027777777777779</v>
      </c>
      <c r="G16">
        <f t="shared" si="2"/>
        <v>0.21027777777777779</v>
      </c>
      <c r="H16">
        <f t="shared" si="2"/>
        <v>0.21027777777777779</v>
      </c>
      <c r="I16">
        <f t="shared" si="2"/>
        <v>0.21027777777777779</v>
      </c>
      <c r="J16">
        <f t="shared" si="2"/>
        <v>0.21027777777777779</v>
      </c>
      <c r="K16">
        <f t="shared" si="2"/>
        <v>0.21027777777777779</v>
      </c>
      <c r="L16">
        <f>L6/L1</f>
        <v>0.21027777777777779</v>
      </c>
    </row>
    <row r="17" spans="1:12" x14ac:dyDescent="0.3">
      <c r="A17" t="s">
        <v>52</v>
      </c>
      <c r="B17">
        <f>1/(B7-1)</f>
        <v>0.2706359945872801</v>
      </c>
      <c r="C17">
        <f t="shared" ref="C17:K17" si="3">1/(C7-1)</f>
        <v>0.2706359945872801</v>
      </c>
      <c r="D17">
        <f t="shared" si="3"/>
        <v>0.2706359945872801</v>
      </c>
      <c r="E17">
        <f t="shared" si="3"/>
        <v>0.2706359945872801</v>
      </c>
      <c r="F17">
        <f t="shared" si="3"/>
        <v>0.2706359945872801</v>
      </c>
      <c r="G17">
        <f t="shared" si="3"/>
        <v>0.2706359945872801</v>
      </c>
      <c r="H17">
        <f t="shared" si="3"/>
        <v>0.2706359945872801</v>
      </c>
      <c r="I17">
        <f t="shared" si="3"/>
        <v>0.2706359945872801</v>
      </c>
      <c r="J17">
        <f t="shared" si="3"/>
        <v>0.2706359945872801</v>
      </c>
      <c r="K17">
        <f t="shared" si="3"/>
        <v>0.2706359945872801</v>
      </c>
      <c r="L17">
        <f>1/(L7-1)</f>
        <v>0.2706359945872801</v>
      </c>
    </row>
    <row r="18" spans="1:12" x14ac:dyDescent="0.3">
      <c r="A18" t="s">
        <v>53</v>
      </c>
      <c r="B18">
        <f>(1-B13^2)/2</f>
        <v>0.5</v>
      </c>
      <c r="C18">
        <f t="shared" ref="C18:K18" si="4">(1-C13^2)/2</f>
        <v>0.495</v>
      </c>
      <c r="D18">
        <f t="shared" si="4"/>
        <v>0.48</v>
      </c>
      <c r="E18">
        <f t="shared" si="4"/>
        <v>0.45500000000000002</v>
      </c>
      <c r="F18">
        <f t="shared" si="4"/>
        <v>0.42</v>
      </c>
      <c r="G18">
        <f t="shared" si="4"/>
        <v>0.375</v>
      </c>
      <c r="H18">
        <f t="shared" si="4"/>
        <v>0.32</v>
      </c>
      <c r="I18">
        <f t="shared" si="4"/>
        <v>0.255</v>
      </c>
      <c r="J18">
        <f t="shared" si="4"/>
        <v>0.17999999999999994</v>
      </c>
      <c r="K18">
        <f t="shared" si="4"/>
        <v>9.4999999999999973E-2</v>
      </c>
      <c r="L18">
        <f>(1-L13^2)/2</f>
        <v>0</v>
      </c>
    </row>
    <row r="20" spans="1:12" x14ac:dyDescent="0.3">
      <c r="A20" t="s">
        <v>54</v>
      </c>
      <c r="B20">
        <f>1/(B8^2)</f>
        <v>0.20143301014595311</v>
      </c>
      <c r="C20">
        <f t="shared" ref="C20:K20" si="5">1/(C8^2)</f>
        <v>0.20143301014595311</v>
      </c>
      <c r="D20">
        <f t="shared" si="5"/>
        <v>0.20143301014595311</v>
      </c>
      <c r="E20">
        <f t="shared" si="5"/>
        <v>0.20143301014595311</v>
      </c>
      <c r="F20">
        <f t="shared" si="5"/>
        <v>0.20143301014595311</v>
      </c>
      <c r="G20">
        <f t="shared" si="5"/>
        <v>0.20143301014595311</v>
      </c>
      <c r="H20">
        <f t="shared" si="5"/>
        <v>0.20143301014595311</v>
      </c>
      <c r="I20">
        <f t="shared" si="5"/>
        <v>0.20143301014595311</v>
      </c>
      <c r="J20">
        <f t="shared" si="5"/>
        <v>0.20143301014595311</v>
      </c>
      <c r="K20">
        <f t="shared" si="5"/>
        <v>0.20143301014595311</v>
      </c>
      <c r="L20">
        <f>1/(L8^2)</f>
        <v>0.20143301014595311</v>
      </c>
    </row>
    <row r="21" spans="1:12" x14ac:dyDescent="0.3">
      <c r="A21" t="s">
        <v>55</v>
      </c>
      <c r="B21">
        <f>1-(B12/B1)</f>
        <v>1</v>
      </c>
      <c r="C21">
        <f t="shared" ref="C21:K21" si="6">1-(C12/C1)</f>
        <v>0.99326666666666663</v>
      </c>
      <c r="D21">
        <f t="shared" si="6"/>
        <v>0.97266666666666668</v>
      </c>
      <c r="E21">
        <f t="shared" si="6"/>
        <v>0.93720000000000003</v>
      </c>
      <c r="F21">
        <f t="shared" si="6"/>
        <v>0.8852097293073502</v>
      </c>
      <c r="G21">
        <f t="shared" si="6"/>
        <v>0.81395079107881951</v>
      </c>
      <c r="H21">
        <f t="shared" si="6"/>
        <v>0.71992592679231227</v>
      </c>
      <c r="I21">
        <f t="shared" si="6"/>
        <v>0.5984479250234187</v>
      </c>
      <c r="J21">
        <f t="shared" si="6"/>
        <v>0.44346101443945618</v>
      </c>
      <c r="K21">
        <f t="shared" si="6"/>
        <v>0.2472389789651811</v>
      </c>
      <c r="L21">
        <f>1-(L12/L1)</f>
        <v>0</v>
      </c>
    </row>
    <row r="22" spans="1:12" x14ac:dyDescent="0.3">
      <c r="A22" t="s">
        <v>56</v>
      </c>
      <c r="B22">
        <f>1-B9</f>
        <v>0.66149999999999998</v>
      </c>
      <c r="C22">
        <f t="shared" ref="C22:K22" si="7">1-C9</f>
        <v>0.66149999999999998</v>
      </c>
      <c r="D22">
        <f t="shared" si="7"/>
        <v>0.66149999999999998</v>
      </c>
      <c r="E22">
        <f t="shared" si="7"/>
        <v>0.66149999999999998</v>
      </c>
      <c r="F22">
        <f t="shared" si="7"/>
        <v>0.66149999999999998</v>
      </c>
      <c r="G22">
        <f t="shared" si="7"/>
        <v>0.66149999999999998</v>
      </c>
      <c r="H22">
        <f t="shared" si="7"/>
        <v>0.66149999999999998</v>
      </c>
      <c r="I22">
        <f t="shared" si="7"/>
        <v>0.66149999999999998</v>
      </c>
      <c r="J22">
        <f t="shared" si="7"/>
        <v>0.66149999999999998</v>
      </c>
      <c r="K22">
        <f t="shared" si="7"/>
        <v>0.66149999999999998</v>
      </c>
      <c r="L22">
        <f>1-L9</f>
        <v>0.66149999999999998</v>
      </c>
    </row>
    <row r="23" spans="1:12" x14ac:dyDescent="0.3">
      <c r="A23" t="s">
        <v>57</v>
      </c>
      <c r="B23">
        <f>B16</f>
        <v>0.21027777777777779</v>
      </c>
      <c r="C23">
        <f t="shared" ref="C23:K23" si="8">C16</f>
        <v>0.21027777777777779</v>
      </c>
      <c r="D23">
        <f t="shared" si="8"/>
        <v>0.21027777777777779</v>
      </c>
      <c r="E23">
        <f t="shared" si="8"/>
        <v>0.21027777777777779</v>
      </c>
      <c r="F23">
        <f t="shared" si="8"/>
        <v>0.21027777777777779</v>
      </c>
      <c r="G23">
        <f t="shared" si="8"/>
        <v>0.21027777777777779</v>
      </c>
      <c r="H23">
        <f t="shared" si="8"/>
        <v>0.21027777777777779</v>
      </c>
      <c r="I23">
        <f t="shared" si="8"/>
        <v>0.21027777777777779</v>
      </c>
      <c r="J23">
        <f t="shared" si="8"/>
        <v>0.21027777777777779</v>
      </c>
      <c r="K23">
        <f t="shared" si="8"/>
        <v>0.21027777777777779</v>
      </c>
      <c r="L23">
        <f>L16</f>
        <v>0.21027777777777779</v>
      </c>
    </row>
    <row r="25" spans="1:12" x14ac:dyDescent="0.3">
      <c r="A25" t="s">
        <v>58</v>
      </c>
      <c r="B25">
        <f>B17</f>
        <v>0.2706359945872801</v>
      </c>
      <c r="C25">
        <f t="shared" ref="C25:K25" si="9">C17</f>
        <v>0.2706359945872801</v>
      </c>
      <c r="D25">
        <f t="shared" si="9"/>
        <v>0.2706359945872801</v>
      </c>
      <c r="E25">
        <f t="shared" si="9"/>
        <v>0.2706359945872801</v>
      </c>
      <c r="F25">
        <f t="shared" si="9"/>
        <v>0.2706359945872801</v>
      </c>
      <c r="G25">
        <f t="shared" si="9"/>
        <v>0.2706359945872801</v>
      </c>
      <c r="H25">
        <f t="shared" si="9"/>
        <v>0.2706359945872801</v>
      </c>
      <c r="I25">
        <f t="shared" si="9"/>
        <v>0.2706359945872801</v>
      </c>
      <c r="J25">
        <f t="shared" si="9"/>
        <v>0.2706359945872801</v>
      </c>
      <c r="K25">
        <f t="shared" si="9"/>
        <v>0.2706359945872801</v>
      </c>
      <c r="L25">
        <f>L17</f>
        <v>0.2706359945872801</v>
      </c>
    </row>
    <row r="26" spans="1:12" x14ac:dyDescent="0.3">
      <c r="A26" t="s">
        <v>59</v>
      </c>
      <c r="B26">
        <f>B18/3</f>
        <v>0.16666666666666666</v>
      </c>
      <c r="C26">
        <f t="shared" ref="C26:K26" si="10">C18/3</f>
        <v>0.16500000000000001</v>
      </c>
      <c r="D26">
        <f t="shared" si="10"/>
        <v>0.16</v>
      </c>
      <c r="E26">
        <f t="shared" si="10"/>
        <v>0.15166666666666667</v>
      </c>
      <c r="F26">
        <f t="shared" si="10"/>
        <v>0.13999999999999999</v>
      </c>
      <c r="G26">
        <f t="shared" si="10"/>
        <v>0.125</v>
      </c>
      <c r="H26">
        <f t="shared" si="10"/>
        <v>0.10666666666666667</v>
      </c>
      <c r="I26">
        <f t="shared" si="10"/>
        <v>8.5000000000000006E-2</v>
      </c>
      <c r="J26">
        <f t="shared" si="10"/>
        <v>5.9999999999999977E-2</v>
      </c>
      <c r="K26">
        <f t="shared" si="10"/>
        <v>3.1666666666666655E-2</v>
      </c>
      <c r="L26">
        <f>L18/3</f>
        <v>0</v>
      </c>
    </row>
    <row r="27" spans="1:12" x14ac:dyDescent="0.3">
      <c r="A27" t="s">
        <v>60</v>
      </c>
      <c r="B27">
        <f>B20</f>
        <v>0.20143301014595311</v>
      </c>
      <c r="C27">
        <f t="shared" ref="C27:K27" si="11">C20</f>
        <v>0.20143301014595311</v>
      </c>
      <c r="D27">
        <f t="shared" si="11"/>
        <v>0.20143301014595311</v>
      </c>
      <c r="E27">
        <f t="shared" si="11"/>
        <v>0.20143301014595311</v>
      </c>
      <c r="F27">
        <f t="shared" si="11"/>
        <v>0.20143301014595311</v>
      </c>
      <c r="G27">
        <f t="shared" si="11"/>
        <v>0.20143301014595311</v>
      </c>
      <c r="H27">
        <f t="shared" si="11"/>
        <v>0.20143301014595311</v>
      </c>
      <c r="I27">
        <f t="shared" si="11"/>
        <v>0.20143301014595311</v>
      </c>
      <c r="J27">
        <f t="shared" si="11"/>
        <v>0.20143301014595311</v>
      </c>
      <c r="K27">
        <f t="shared" si="11"/>
        <v>0.20143301014595311</v>
      </c>
      <c r="L27">
        <f>L20</f>
        <v>0.20143301014595311</v>
      </c>
    </row>
    <row r="28" spans="1:12" x14ac:dyDescent="0.3">
      <c r="A28" t="s">
        <v>61</v>
      </c>
      <c r="B28">
        <f>1-(B13*(B12/B1))</f>
        <v>1</v>
      </c>
      <c r="C28">
        <f t="shared" ref="C28:K28" si="12">1-(C13*(C12/C1))</f>
        <v>0.9993266666666667</v>
      </c>
      <c r="D28">
        <f t="shared" si="12"/>
        <v>0.99453333333333338</v>
      </c>
      <c r="E28">
        <f t="shared" si="12"/>
        <v>0.98116000000000003</v>
      </c>
      <c r="F28">
        <f t="shared" si="12"/>
        <v>0.95408389172294006</v>
      </c>
      <c r="G28">
        <f t="shared" si="12"/>
        <v>0.90697539553940976</v>
      </c>
      <c r="H28">
        <f t="shared" si="12"/>
        <v>0.8319555560753874</v>
      </c>
      <c r="I28">
        <f t="shared" si="12"/>
        <v>0.71891354751639314</v>
      </c>
      <c r="J28">
        <f t="shared" si="12"/>
        <v>0.55476881155156499</v>
      </c>
      <c r="K28">
        <f t="shared" si="12"/>
        <v>0.322515081068663</v>
      </c>
      <c r="L28">
        <f>1-(L13*(L12/L1))</f>
        <v>0</v>
      </c>
    </row>
    <row r="30" spans="1:12" x14ac:dyDescent="0.3">
      <c r="A30" t="s">
        <v>62</v>
      </c>
      <c r="B30">
        <f>2/(B8^2*(B7-1))</f>
        <v>0.1090300460871194</v>
      </c>
      <c r="C30">
        <f t="shared" ref="C30:K30" si="13">2/(C8^2*(C7-1))</f>
        <v>0.1090300460871194</v>
      </c>
      <c r="D30">
        <f t="shared" si="13"/>
        <v>0.1090300460871194</v>
      </c>
      <c r="E30">
        <f t="shared" si="13"/>
        <v>0.1090300460871194</v>
      </c>
      <c r="F30">
        <f t="shared" si="13"/>
        <v>0.1090300460871194</v>
      </c>
      <c r="G30">
        <f t="shared" si="13"/>
        <v>0.1090300460871194</v>
      </c>
      <c r="H30">
        <f t="shared" si="13"/>
        <v>0.1090300460871194</v>
      </c>
      <c r="I30">
        <f t="shared" si="13"/>
        <v>0.1090300460871194</v>
      </c>
      <c r="J30">
        <f t="shared" si="13"/>
        <v>0.1090300460871194</v>
      </c>
      <c r="K30">
        <f t="shared" si="13"/>
        <v>0.1090300460871194</v>
      </c>
      <c r="L30">
        <f>2/(L8^2*(L7-1))</f>
        <v>0.1090300460871194</v>
      </c>
    </row>
    <row r="31" spans="1:12" x14ac:dyDescent="0.3">
      <c r="A31" t="s">
        <v>63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 x14ac:dyDescent="0.3">
      <c r="A32" t="s">
        <v>64</v>
      </c>
      <c r="B32">
        <f>B13</f>
        <v>0</v>
      </c>
      <c r="C32">
        <f t="shared" ref="C32:K32" si="14">C13</f>
        <v>0.1</v>
      </c>
      <c r="D32">
        <f t="shared" si="14"/>
        <v>0.2</v>
      </c>
      <c r="E32">
        <f t="shared" si="14"/>
        <v>0.3</v>
      </c>
      <c r="F32">
        <f t="shared" si="14"/>
        <v>0.4</v>
      </c>
      <c r="G32">
        <f t="shared" si="14"/>
        <v>0.5</v>
      </c>
      <c r="H32">
        <f t="shared" si="14"/>
        <v>0.6</v>
      </c>
      <c r="I32">
        <f t="shared" si="14"/>
        <v>0.7</v>
      </c>
      <c r="J32">
        <f t="shared" si="14"/>
        <v>0.8</v>
      </c>
      <c r="K32">
        <f t="shared" si="14"/>
        <v>0.9</v>
      </c>
      <c r="L32">
        <f>L13</f>
        <v>1</v>
      </c>
    </row>
    <row r="33" spans="1:12" x14ac:dyDescent="0.3">
      <c r="A33" t="s">
        <v>65</v>
      </c>
      <c r="B33">
        <f>SQRT(B7^2-1)/B8</f>
        <v>2.058824875584746</v>
      </c>
      <c r="C33">
        <f t="shared" ref="C33:K33" si="15">SQRT(C7^2-1)/C8</f>
        <v>2.058824875584746</v>
      </c>
      <c r="D33">
        <f t="shared" si="15"/>
        <v>2.058824875584746</v>
      </c>
      <c r="E33">
        <f t="shared" si="15"/>
        <v>2.058824875584746</v>
      </c>
      <c r="F33">
        <f t="shared" si="15"/>
        <v>2.058824875584746</v>
      </c>
      <c r="G33">
        <f t="shared" si="15"/>
        <v>2.058824875584746</v>
      </c>
      <c r="H33">
        <f t="shared" si="15"/>
        <v>2.058824875584746</v>
      </c>
      <c r="I33">
        <f t="shared" si="15"/>
        <v>2.058824875584746</v>
      </c>
      <c r="J33">
        <f t="shared" si="15"/>
        <v>2.058824875584746</v>
      </c>
      <c r="K33">
        <f t="shared" si="15"/>
        <v>2.058824875584746</v>
      </c>
      <c r="L33">
        <f>SQRT(L7^2-1)/L8</f>
        <v>2.058824875584746</v>
      </c>
    </row>
    <row r="35" spans="1:12" x14ac:dyDescent="0.3">
      <c r="A35" t="s">
        <v>66</v>
      </c>
      <c r="B35">
        <f>1/B8</f>
        <v>0.44881288990619811</v>
      </c>
      <c r="C35">
        <f t="shared" ref="C35:K35" si="16">1/C8</f>
        <v>0.44881288990619811</v>
      </c>
      <c r="D35">
        <f t="shared" si="16"/>
        <v>0.44881288990619811</v>
      </c>
      <c r="E35">
        <f t="shared" si="16"/>
        <v>0.44881288990619811</v>
      </c>
      <c r="F35">
        <f t="shared" si="16"/>
        <v>0.44881288990619811</v>
      </c>
      <c r="G35">
        <f t="shared" si="16"/>
        <v>0.44881288990619811</v>
      </c>
      <c r="H35">
        <f t="shared" si="16"/>
        <v>0.44881288990619811</v>
      </c>
      <c r="I35">
        <f t="shared" si="16"/>
        <v>0.44881288990619811</v>
      </c>
      <c r="J35">
        <f t="shared" si="16"/>
        <v>0.44881288990619811</v>
      </c>
      <c r="K35">
        <f t="shared" si="16"/>
        <v>0.44881288990619811</v>
      </c>
      <c r="L35">
        <f>1/L8</f>
        <v>0.44881288990619811</v>
      </c>
    </row>
    <row r="36" spans="1:12" x14ac:dyDescent="0.3">
      <c r="A36" t="s">
        <v>67</v>
      </c>
      <c r="B36">
        <f>1+(B12/B1)*(B7-1)</f>
        <v>1</v>
      </c>
      <c r="C36">
        <f t="shared" ref="C36:K36" si="17">1+(C12/C1)*(C7-1)</f>
        <v>1.0248796666666666</v>
      </c>
      <c r="D36">
        <f t="shared" si="17"/>
        <v>1.1009966666666666</v>
      </c>
      <c r="E36">
        <f t="shared" si="17"/>
        <v>1.232046</v>
      </c>
      <c r="F36">
        <f t="shared" si="17"/>
        <v>1.4241500502093412</v>
      </c>
      <c r="G36">
        <f t="shared" si="17"/>
        <v>1.6874518269637617</v>
      </c>
      <c r="H36">
        <f t="shared" si="17"/>
        <v>2.0348737005024065</v>
      </c>
      <c r="I36">
        <f t="shared" si="17"/>
        <v>2.4837349170384675</v>
      </c>
      <c r="J36">
        <f t="shared" si="17"/>
        <v>3.0564115516462094</v>
      </c>
      <c r="K36">
        <f t="shared" si="17"/>
        <v>3.781451972723656</v>
      </c>
      <c r="L36">
        <f>1+(L12/L1)*(L7-1)</f>
        <v>4.6949999999999976</v>
      </c>
    </row>
    <row r="37" spans="1:12" x14ac:dyDescent="0.3">
      <c r="A37" t="s">
        <v>68</v>
      </c>
      <c r="B37">
        <f>B36^2-1</f>
        <v>0</v>
      </c>
      <c r="C37">
        <f t="shared" ref="C37:K37" si="18">C36^2-1</f>
        <v>5.0378331146777811E-2</v>
      </c>
      <c r="D37">
        <f t="shared" si="18"/>
        <v>0.21219366001111095</v>
      </c>
      <c r="E37">
        <f t="shared" si="18"/>
        <v>0.51793734611599995</v>
      </c>
      <c r="F37">
        <f t="shared" si="18"/>
        <v>1.0282033655112688</v>
      </c>
      <c r="G37">
        <f t="shared" si="18"/>
        <v>1.8474936683233372</v>
      </c>
      <c r="H37">
        <f t="shared" si="18"/>
        <v>3.140710976996357</v>
      </c>
      <c r="I37">
        <f t="shared" si="18"/>
        <v>5.168939138116083</v>
      </c>
      <c r="J37">
        <f t="shared" si="18"/>
        <v>8.3416515730363887</v>
      </c>
      <c r="K37">
        <f t="shared" si="18"/>
        <v>13.299379022015628</v>
      </c>
      <c r="L37">
        <f>L36^2-1</f>
        <v>21.043024999999979</v>
      </c>
    </row>
    <row r="38" spans="1:12" x14ac:dyDescent="0.3">
      <c r="A38" t="s">
        <v>69</v>
      </c>
      <c r="B38">
        <f>SQRT(B37)</f>
        <v>0</v>
      </c>
      <c r="C38">
        <f t="shared" ref="C38:K38" si="19">SQRT(C37)</f>
        <v>0.22445117764622624</v>
      </c>
      <c r="D38">
        <f t="shared" si="19"/>
        <v>0.46064483065710282</v>
      </c>
      <c r="E38">
        <f t="shared" si="19"/>
        <v>0.71967864086410116</v>
      </c>
      <c r="F38">
        <f t="shared" si="19"/>
        <v>1.0140036319024053</v>
      </c>
      <c r="G38">
        <f t="shared" si="19"/>
        <v>1.3592253927599121</v>
      </c>
      <c r="H38">
        <f t="shared" si="19"/>
        <v>1.7722051170776922</v>
      </c>
      <c r="I38">
        <f t="shared" si="19"/>
        <v>2.2735301049504675</v>
      </c>
      <c r="J38">
        <f t="shared" si="19"/>
        <v>2.888191747969028</v>
      </c>
      <c r="K38">
        <f t="shared" si="19"/>
        <v>3.6468313673675161</v>
      </c>
      <c r="L38">
        <f>SQRT(L37)</f>
        <v>4.5872677052903699</v>
      </c>
    </row>
    <row r="39" spans="1:12" x14ac:dyDescent="0.3">
      <c r="A39" t="s">
        <v>70</v>
      </c>
      <c r="B39">
        <f>B35*B38</f>
        <v>0</v>
      </c>
      <c r="C39">
        <f t="shared" ref="C39:K39" si="20">C35*C38</f>
        <v>0.10073658168225225</v>
      </c>
      <c r="D39">
        <f t="shared" si="20"/>
        <v>0.20674333766756556</v>
      </c>
      <c r="E39">
        <f t="shared" si="20"/>
        <v>0.32300105060998213</v>
      </c>
      <c r="F39">
        <f t="shared" si="20"/>
        <v>0.45509790040949927</v>
      </c>
      <c r="G39">
        <f t="shared" si="20"/>
        <v>0.61003787655846331</v>
      </c>
      <c r="H39">
        <f t="shared" si="20"/>
        <v>0.7953885001021912</v>
      </c>
      <c r="I39">
        <f t="shared" si="20"/>
        <v>1.0203896166915611</v>
      </c>
      <c r="J39">
        <f t="shared" si="20"/>
        <v>1.2962576850092133</v>
      </c>
      <c r="K39">
        <f t="shared" si="20"/>
        <v>1.6367449249887869</v>
      </c>
      <c r="L39">
        <f>L35*L38</f>
        <v>2.0588248755847447</v>
      </c>
    </row>
    <row r="41" spans="1:12" x14ac:dyDescent="0.3">
      <c r="A41" t="s">
        <v>71</v>
      </c>
      <c r="B41">
        <f>(B16+B17)*B18</f>
        <v>0.24045688618252894</v>
      </c>
      <c r="C41">
        <f t="shared" ref="C41:L41" si="21">(C16+C17)*C18</f>
        <v>0.23805231732070364</v>
      </c>
      <c r="D41">
        <f t="shared" si="21"/>
        <v>0.23083861073522777</v>
      </c>
      <c r="E41">
        <f t="shared" si="21"/>
        <v>0.21881576642610134</v>
      </c>
      <c r="F41">
        <f t="shared" si="21"/>
        <v>0.20198378439332432</v>
      </c>
      <c r="G41">
        <f t="shared" si="21"/>
        <v>0.18034266463689672</v>
      </c>
      <c r="H41">
        <f t="shared" si="21"/>
        <v>0.15389240715681854</v>
      </c>
      <c r="I41">
        <f t="shared" si="21"/>
        <v>0.12263301195308976</v>
      </c>
      <c r="J41">
        <f t="shared" si="21"/>
        <v>8.6564479025710392E-2</v>
      </c>
      <c r="K41">
        <f t="shared" si="21"/>
        <v>4.5686808374680483E-2</v>
      </c>
      <c r="L41">
        <f t="shared" si="21"/>
        <v>0</v>
      </c>
    </row>
    <row r="42" spans="1:12" x14ac:dyDescent="0.3">
      <c r="A42" t="s">
        <v>72</v>
      </c>
      <c r="B42">
        <f>B20*B21</f>
        <v>0.20143301014595311</v>
      </c>
      <c r="C42">
        <f t="shared" ref="C42:L42" si="22">C20*C21</f>
        <v>0.20007669454430368</v>
      </c>
      <c r="D42">
        <f t="shared" si="22"/>
        <v>0.19592717453529707</v>
      </c>
      <c r="E42">
        <f t="shared" si="22"/>
        <v>0.18878301710878725</v>
      </c>
      <c r="F42">
        <f t="shared" si="22"/>
        <v>0.17831046038486387</v>
      </c>
      <c r="G42">
        <f t="shared" si="22"/>
        <v>0.16395655795768641</v>
      </c>
      <c r="H42">
        <f t="shared" si="22"/>
        <v>0.14501684651589053</v>
      </c>
      <c r="I42">
        <f t="shared" si="22"/>
        <v>0.12054716695306689</v>
      </c>
      <c r="J42">
        <f t="shared" si="22"/>
        <v>8.9327687020917632E-2</v>
      </c>
      <c r="K42">
        <f t="shared" si="22"/>
        <v>4.9802091758368409E-2</v>
      </c>
      <c r="L42">
        <f t="shared" si="22"/>
        <v>0</v>
      </c>
    </row>
    <row r="43" spans="1:12" x14ac:dyDescent="0.3">
      <c r="A43" t="s">
        <v>73</v>
      </c>
      <c r="B43">
        <f>(B23+B25)*B26</f>
        <v>8.0152295394176315E-2</v>
      </c>
      <c r="C43">
        <f t="shared" ref="C43:L43" si="23">(C23+C25)*C26</f>
        <v>7.9350772440234557E-2</v>
      </c>
      <c r="D43">
        <f t="shared" si="23"/>
        <v>7.694620357840927E-2</v>
      </c>
      <c r="E43">
        <f t="shared" si="23"/>
        <v>7.2938588808700452E-2</v>
      </c>
      <c r="F43">
        <f t="shared" si="23"/>
        <v>6.7327928131108092E-2</v>
      </c>
      <c r="G43">
        <f t="shared" si="23"/>
        <v>6.0114221545632236E-2</v>
      </c>
      <c r="H43">
        <f t="shared" si="23"/>
        <v>5.1297469052272844E-2</v>
      </c>
      <c r="I43">
        <f t="shared" si="23"/>
        <v>4.0877670651029922E-2</v>
      </c>
      <c r="J43">
        <f t="shared" si="23"/>
        <v>2.8854826341903464E-2</v>
      </c>
      <c r="K43">
        <f t="shared" si="23"/>
        <v>1.5228936124893495E-2</v>
      </c>
      <c r="L43">
        <f t="shared" si="23"/>
        <v>0</v>
      </c>
    </row>
    <row r="44" spans="1:12" x14ac:dyDescent="0.3">
      <c r="A44" t="s">
        <v>74</v>
      </c>
      <c r="B44">
        <f>B27*B28</f>
        <v>0.20143301014595311</v>
      </c>
      <c r="C44">
        <f t="shared" ref="C44:L44" si="24">C27*C28</f>
        <v>0.20129737858578817</v>
      </c>
      <c r="D44">
        <f t="shared" si="24"/>
        <v>0.2003318430238219</v>
      </c>
      <c r="E44">
        <f t="shared" si="24"/>
        <v>0.19763801223480335</v>
      </c>
      <c r="F44">
        <f t="shared" si="24"/>
        <v>0.19218399024151742</v>
      </c>
      <c r="G44">
        <f t="shared" si="24"/>
        <v>0.18269478405181977</v>
      </c>
      <c r="H44">
        <f t="shared" si="24"/>
        <v>0.16758331196791557</v>
      </c>
      <c r="I44">
        <f t="shared" si="24"/>
        <v>0.14481291991093276</v>
      </c>
      <c r="J44">
        <f t="shared" si="24"/>
        <v>0.11174875164592474</v>
      </c>
      <c r="K44">
        <f t="shared" si="24"/>
        <v>6.4965183597126885E-2</v>
      </c>
      <c r="L44">
        <f t="shared" si="24"/>
        <v>0</v>
      </c>
    </row>
    <row r="45" spans="1:12" x14ac:dyDescent="0.3">
      <c r="A45" t="s">
        <v>75</v>
      </c>
      <c r="B45">
        <f>B31-B32-B33+B39</f>
        <v>-1.058824875584746</v>
      </c>
      <c r="C45">
        <f t="shared" ref="C45:L45" si="25">C31-C32-C33+C39</f>
        <v>-1.0580882939024938</v>
      </c>
      <c r="D45">
        <f t="shared" si="25"/>
        <v>-1.0520815379171804</v>
      </c>
      <c r="E45">
        <f t="shared" si="25"/>
        <v>-1.035823824974764</v>
      </c>
      <c r="F45">
        <f t="shared" si="25"/>
        <v>-1.0037269751752467</v>
      </c>
      <c r="G45">
        <f t="shared" si="25"/>
        <v>-0.94878699902628272</v>
      </c>
      <c r="H45">
        <f t="shared" si="25"/>
        <v>-0.86343637548255492</v>
      </c>
      <c r="I45">
        <f t="shared" si="25"/>
        <v>-0.73843525889318484</v>
      </c>
      <c r="J45">
        <f t="shared" si="25"/>
        <v>-0.56256719057553273</v>
      </c>
      <c r="K45">
        <f t="shared" si="25"/>
        <v>-0.32207995059595906</v>
      </c>
      <c r="L45">
        <f t="shared" si="25"/>
        <v>0</v>
      </c>
    </row>
    <row r="46" spans="1:12" x14ac:dyDescent="0.3">
      <c r="A46" t="s">
        <v>77</v>
      </c>
      <c r="B46">
        <f>B45*B30</f>
        <v>-0.11544372498319333</v>
      </c>
      <c r="C46">
        <f t="shared" ref="C46:L46" si="26">C45*C30</f>
        <v>-0.11536341544843044</v>
      </c>
      <c r="D46">
        <f t="shared" si="26"/>
        <v>-0.11470849856651763</v>
      </c>
      <c r="E46">
        <f t="shared" si="26"/>
        <v>-0.11293591937513482</v>
      </c>
      <c r="F46">
        <f t="shared" si="26"/>
        <v>-0.1094363983622421</v>
      </c>
      <c r="G46">
        <f t="shared" si="26"/>
        <v>-0.10344629023069532</v>
      </c>
      <c r="H46">
        <f t="shared" si="26"/>
        <v>-9.4140507812158297E-2</v>
      </c>
      <c r="I46">
        <f t="shared" si="26"/>
        <v>-8.0511630309477888E-2</v>
      </c>
      <c r="J46">
        <f t="shared" si="26"/>
        <v>-6.1336726715551619E-2</v>
      </c>
      <c r="K46">
        <f t="shared" si="26"/>
        <v>-3.5116391857214553E-2</v>
      </c>
      <c r="L46">
        <f t="shared" si="26"/>
        <v>0</v>
      </c>
    </row>
    <row r="48" spans="1:12" x14ac:dyDescent="0.3">
      <c r="A48" t="s">
        <v>78</v>
      </c>
      <c r="B48">
        <f>B41-B42</f>
        <v>3.9023876036575839E-2</v>
      </c>
      <c r="C48">
        <f t="shared" ref="C48:L48" si="27">C41-C42</f>
        <v>3.7975622776399959E-2</v>
      </c>
      <c r="D48">
        <f t="shared" si="27"/>
        <v>3.4911436199930701E-2</v>
      </c>
      <c r="E48">
        <f t="shared" si="27"/>
        <v>3.0032749317314089E-2</v>
      </c>
      <c r="F48">
        <f t="shared" si="27"/>
        <v>2.367332400846045E-2</v>
      </c>
      <c r="G48">
        <f t="shared" si="27"/>
        <v>1.638610667921031E-2</v>
      </c>
      <c r="H48">
        <f t="shared" si="27"/>
        <v>8.8755606409280097E-3</v>
      </c>
      <c r="I48">
        <f t="shared" si="27"/>
        <v>2.0858450000228734E-3</v>
      </c>
      <c r="J48">
        <f t="shared" si="27"/>
        <v>-2.7632079952072397E-3</v>
      </c>
      <c r="K48">
        <f t="shared" si="27"/>
        <v>-4.115283383687926E-3</v>
      </c>
      <c r="L48">
        <f t="shared" si="27"/>
        <v>0</v>
      </c>
    </row>
    <row r="49" spans="1:12" x14ac:dyDescent="0.3">
      <c r="A49" t="s">
        <v>79</v>
      </c>
      <c r="B49">
        <f>B43-B44-B46</f>
        <v>-5.8369897685834615E-3</v>
      </c>
      <c r="C49">
        <f t="shared" ref="C49:L49" si="28">C43-C44-C46</f>
        <v>-6.5831906971231674E-3</v>
      </c>
      <c r="D49">
        <f t="shared" si="28"/>
        <v>-8.6771408788949983E-3</v>
      </c>
      <c r="E49">
        <f t="shared" si="28"/>
        <v>-1.1763504050968071E-2</v>
      </c>
      <c r="F49">
        <f t="shared" si="28"/>
        <v>-1.5419663748167223E-2</v>
      </c>
      <c r="G49">
        <f t="shared" si="28"/>
        <v>-1.913427227549222E-2</v>
      </c>
      <c r="H49">
        <f t="shared" si="28"/>
        <v>-2.2145335103484431E-2</v>
      </c>
      <c r="I49">
        <f t="shared" si="28"/>
        <v>-2.342361895042494E-2</v>
      </c>
      <c r="J49">
        <f t="shared" si="28"/>
        <v>-2.1557198588469655E-2</v>
      </c>
      <c r="K49">
        <f t="shared" si="28"/>
        <v>-1.4619855615018836E-2</v>
      </c>
      <c r="L49">
        <f t="shared" si="28"/>
        <v>0</v>
      </c>
    </row>
    <row r="50" spans="1:12" x14ac:dyDescent="0.3">
      <c r="A50" t="s">
        <v>80</v>
      </c>
      <c r="B50">
        <f>B48-B22*B49</f>
        <v>4.28850447684938E-2</v>
      </c>
      <c r="C50">
        <f t="shared" ref="C50:L50" si="29">C48-C22*C49</f>
        <v>4.2330403422546931E-2</v>
      </c>
      <c r="D50">
        <f t="shared" si="29"/>
        <v>4.0651364891319743E-2</v>
      </c>
      <c r="E50">
        <f t="shared" si="29"/>
        <v>3.7814307247029472E-2</v>
      </c>
      <c r="F50">
        <f t="shared" si="29"/>
        <v>3.3873431577873064E-2</v>
      </c>
      <c r="G50">
        <f t="shared" si="29"/>
        <v>2.9043427789448413E-2</v>
      </c>
      <c r="H50">
        <f t="shared" si="29"/>
        <v>2.352469981188296E-2</v>
      </c>
      <c r="I50">
        <f t="shared" si="29"/>
        <v>1.7580568935728971E-2</v>
      </c>
      <c r="J50">
        <f t="shared" si="29"/>
        <v>1.1496878871065437E-2</v>
      </c>
      <c r="K50">
        <f t="shared" si="29"/>
        <v>5.5557511056470339E-3</v>
      </c>
      <c r="L50">
        <f t="shared" si="29"/>
        <v>0</v>
      </c>
    </row>
    <row r="52" spans="1:12" x14ac:dyDescent="0.3">
      <c r="A52" t="s">
        <v>76</v>
      </c>
      <c r="B52">
        <f>B50*B15</f>
        <v>2.1713946718224711E-4</v>
      </c>
      <c r="C52">
        <f t="shared" ref="C52:L52" si="30">C50*C15</f>
        <v>2.1433115656985789E-4</v>
      </c>
      <c r="D52">
        <f t="shared" si="30"/>
        <v>2.0582969565225188E-4</v>
      </c>
      <c r="E52">
        <f t="shared" si="30"/>
        <v>1.914648468204024E-4</v>
      </c>
      <c r="F52">
        <f t="shared" si="30"/>
        <v>1.7151104596391427E-4</v>
      </c>
      <c r="G52">
        <f t="shared" si="30"/>
        <v>1.4705533057948563E-4</v>
      </c>
      <c r="H52">
        <f t="shared" si="30"/>
        <v>1.191124041107998E-4</v>
      </c>
      <c r="I52">
        <f t="shared" si="30"/>
        <v>8.9015538915083404E-5</v>
      </c>
      <c r="J52">
        <f t="shared" si="30"/>
        <v>5.8212044916787023E-5</v>
      </c>
      <c r="K52">
        <f t="shared" si="30"/>
        <v>2.8130385345048273E-5</v>
      </c>
      <c r="L52">
        <f t="shared" si="30"/>
        <v>0</v>
      </c>
    </row>
    <row r="53" spans="1:12" x14ac:dyDescent="0.3">
      <c r="A53" t="s">
        <v>76</v>
      </c>
      <c r="B53">
        <f>B15*(B41-B42-B22*(B43-B44-B30*B45))</f>
        <v>2.1713946718224711E-4</v>
      </c>
      <c r="C53">
        <f t="shared" ref="C53:L53" si="31">C15*(C41-C42-C22*(C43-C44-C30*C45))</f>
        <v>2.1433115656985789E-4</v>
      </c>
      <c r="D53">
        <f t="shared" si="31"/>
        <v>2.0582969565225188E-4</v>
      </c>
      <c r="E53">
        <f t="shared" si="31"/>
        <v>1.914648468204024E-4</v>
      </c>
      <c r="F53">
        <f t="shared" si="31"/>
        <v>1.7151104596391427E-4</v>
      </c>
      <c r="G53">
        <f t="shared" si="31"/>
        <v>1.4705533057948563E-4</v>
      </c>
      <c r="H53">
        <f t="shared" si="31"/>
        <v>1.191124041107998E-4</v>
      </c>
      <c r="I53">
        <f t="shared" si="31"/>
        <v>8.9015538915083404E-5</v>
      </c>
      <c r="J53">
        <f t="shared" si="31"/>
        <v>5.8212044916787023E-5</v>
      </c>
      <c r="K53">
        <f t="shared" si="31"/>
        <v>2.8130385345048273E-5</v>
      </c>
      <c r="L53">
        <f t="shared" si="31"/>
        <v>0</v>
      </c>
    </row>
    <row r="55" spans="1:12" x14ac:dyDescent="0.3">
      <c r="A55" t="s">
        <v>81</v>
      </c>
      <c r="B55">
        <v>1.2424120629507771E-4</v>
      </c>
      <c r="C55">
        <v>1.2424120629507771E-4</v>
      </c>
      <c r="D55">
        <v>1.2424120629507771E-4</v>
      </c>
      <c r="E55">
        <v>1.2424120629507771E-4</v>
      </c>
      <c r="F55">
        <v>1.2424120629507771E-4</v>
      </c>
      <c r="G55">
        <v>1.2424120629507771E-4</v>
      </c>
      <c r="H55">
        <v>1.2424120629507771E-4</v>
      </c>
      <c r="I55">
        <v>1.2424120629507771E-4</v>
      </c>
      <c r="J55">
        <v>1.2424120629507771E-4</v>
      </c>
      <c r="K55">
        <v>1.2424120629507771E-4</v>
      </c>
      <c r="L55">
        <v>1.2424120629507771E-4</v>
      </c>
    </row>
    <row r="57" spans="1:12" x14ac:dyDescent="0.3">
      <c r="A57" t="s">
        <v>37</v>
      </c>
      <c r="B57">
        <f>ABS(B52)/B55</f>
        <v>1.7477250395213679</v>
      </c>
      <c r="C57">
        <f t="shared" ref="C57:L57" si="32">ABS(C52)/C55</f>
        <v>1.7251213422768372</v>
      </c>
      <c r="D57">
        <f t="shared" si="32"/>
        <v>1.6566942787354972</v>
      </c>
      <c r="E57">
        <f t="shared" si="32"/>
        <v>1.5410736303192833</v>
      </c>
      <c r="F57">
        <f t="shared" si="32"/>
        <v>1.3804682929153862</v>
      </c>
      <c r="G57">
        <f t="shared" si="32"/>
        <v>1.1836276784871478</v>
      </c>
      <c r="H57">
        <f t="shared" si="32"/>
        <v>0.95871899237603342</v>
      </c>
      <c r="I57">
        <f t="shared" si="32"/>
        <v>0.71647355631486731</v>
      </c>
      <c r="J57">
        <f t="shared" si="32"/>
        <v>0.46854056438031638</v>
      </c>
      <c r="K57">
        <f t="shared" si="32"/>
        <v>0.22641751624849418</v>
      </c>
      <c r="L57">
        <f t="shared" si="32"/>
        <v>0</v>
      </c>
    </row>
    <row r="59" spans="1:12" x14ac:dyDescent="0.3">
      <c r="A59" t="s">
        <v>82</v>
      </c>
      <c r="B59">
        <f>(B57*10*B1)/B2</f>
        <v>2.6215875592820521</v>
      </c>
      <c r="C59">
        <f t="shared" ref="C59:L59" si="33">(C57*10*C1)/C2</f>
        <v>2.5876820134152556</v>
      </c>
      <c r="D59">
        <f t="shared" si="33"/>
        <v>2.4850414181032456</v>
      </c>
      <c r="E59">
        <f t="shared" si="33"/>
        <v>2.3116104454789252</v>
      </c>
      <c r="F59">
        <f t="shared" si="33"/>
        <v>2.0707024393730791</v>
      </c>
      <c r="G59">
        <f t="shared" si="33"/>
        <v>1.7754415177307219</v>
      </c>
      <c r="H59">
        <f t="shared" si="33"/>
        <v>1.4380784885640501</v>
      </c>
      <c r="I59">
        <f t="shared" si="33"/>
        <v>1.0747103344723008</v>
      </c>
      <c r="J59">
        <f t="shared" si="33"/>
        <v>0.70281084657047466</v>
      </c>
      <c r="K59">
        <f>(K57*10*K1)/K2</f>
        <v>0.33962627437274129</v>
      </c>
      <c r="L59">
        <f t="shared" si="33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E11" sqref="E11"/>
    </sheetView>
  </sheetViews>
  <sheetFormatPr defaultRowHeight="14.4" x14ac:dyDescent="0.3"/>
  <sheetData>
    <row r="1" spans="1:2" x14ac:dyDescent="0.3">
      <c r="A1" t="s">
        <v>83</v>
      </c>
    </row>
    <row r="2" spans="1:2" x14ac:dyDescent="0.3">
      <c r="A2">
        <v>0.10100000000000001</v>
      </c>
      <c r="B2">
        <f>A2*12</f>
        <v>1.2120000000000002</v>
      </c>
    </row>
    <row r="3" spans="1:2" x14ac:dyDescent="0.3">
      <c r="A3">
        <v>0.41</v>
      </c>
      <c r="B3">
        <f t="shared" ref="B3:B11" si="0">A3*12</f>
        <v>4.92</v>
      </c>
    </row>
    <row r="4" spans="1:2" x14ac:dyDescent="0.3">
      <c r="A4">
        <v>0.94199999999999995</v>
      </c>
      <c r="B4">
        <f t="shared" si="0"/>
        <v>11.303999999999998</v>
      </c>
    </row>
    <row r="5" spans="1:2" x14ac:dyDescent="0.3">
      <c r="A5">
        <v>1.72</v>
      </c>
      <c r="B5">
        <f t="shared" si="0"/>
        <v>20.64</v>
      </c>
    </row>
    <row r="6" spans="1:2" x14ac:dyDescent="0.3">
      <c r="A6">
        <v>2.79</v>
      </c>
      <c r="B6">
        <f t="shared" si="0"/>
        <v>33.480000000000004</v>
      </c>
    </row>
    <row r="7" spans="1:2" x14ac:dyDescent="0.3">
      <c r="A7">
        <v>4.2</v>
      </c>
      <c r="B7">
        <f t="shared" si="0"/>
        <v>50.400000000000006</v>
      </c>
    </row>
    <row r="8" spans="1:2" x14ac:dyDescent="0.3">
      <c r="A8">
        <v>6.03</v>
      </c>
      <c r="B8">
        <f t="shared" si="0"/>
        <v>72.36</v>
      </c>
    </row>
    <row r="9" spans="1:2" x14ac:dyDescent="0.3">
      <c r="A9">
        <v>8.35</v>
      </c>
      <c r="B9">
        <f t="shared" si="0"/>
        <v>100.19999999999999</v>
      </c>
    </row>
    <row r="10" spans="1:2" x14ac:dyDescent="0.3">
      <c r="A10">
        <v>11.3</v>
      </c>
      <c r="B10">
        <f t="shared" si="0"/>
        <v>135.60000000000002</v>
      </c>
    </row>
    <row r="11" spans="1:2" x14ac:dyDescent="0.3">
      <c r="A11">
        <v>15</v>
      </c>
      <c r="B11">
        <f t="shared" si="0"/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Лист1</vt:lpstr>
      <vt:lpstr>basic_param</vt:lpstr>
      <vt:lpstr>Sheet1</vt:lpstr>
      <vt:lpstr>Input_variation</vt:lpstr>
      <vt:lpstr>Basic_Input_Veriation</vt:lpstr>
      <vt:lpstr>Sheet2</vt:lpstr>
      <vt:lpstr>delta_Ha_Verification</vt:lpstr>
      <vt:lpstr>delta_sub_Ha_calcualtion</vt:lpstr>
      <vt:lpstr>Sheet3</vt:lpstr>
      <vt:lpstr>Whieney_del_Ha_Calcualtion</vt:lpstr>
      <vt:lpstr>del_sub_Ha_2</vt:lpstr>
      <vt:lpstr>del_sub_Ha_3</vt:lpstr>
      <vt:lpstr>Sheet5</vt:lpstr>
      <vt:lpstr>del_Sub_HA_3rd</vt:lpstr>
      <vt:lpstr>del_Sub_HA_Aswani</vt:lpstr>
      <vt:lpstr>y_c</vt:lpstr>
      <vt:lpstr>g_from_N</vt:lpstr>
      <vt:lpstr>Thrust_coeficient_from_graph</vt:lpstr>
      <vt:lpstr>Quarter_Point_Moment_From_Graph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2022-07-26T15:51:24Z</dcterms:modified>
</cp:coreProperties>
</file>