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8" activeTab="13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  <sheet name="Sheet3" sheetId="9" r:id="rId9"/>
    <sheet name="Whieney_del_Ha_Calcualtion" sheetId="10" r:id="rId10"/>
    <sheet name="del_sub_Ha_2" sheetId="11" r:id="rId11"/>
    <sheet name="del_sub_Ha_3" sheetId="12" r:id="rId12"/>
    <sheet name="Sheet5" sheetId="13" r:id="rId13"/>
    <sheet name="del_Sub_HA_3rd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4" l="1"/>
  <c r="D30" i="14"/>
  <c r="E30" i="14"/>
  <c r="F30" i="14"/>
  <c r="G30" i="14"/>
  <c r="H30" i="14"/>
  <c r="I30" i="14"/>
  <c r="J30" i="14"/>
  <c r="K30" i="14"/>
  <c r="B30" i="14"/>
  <c r="B22" i="14"/>
  <c r="C21" i="14"/>
  <c r="D21" i="14"/>
  <c r="E21" i="14"/>
  <c r="F21" i="14"/>
  <c r="G21" i="14"/>
  <c r="H21" i="14"/>
  <c r="I21" i="14"/>
  <c r="J21" i="14"/>
  <c r="K21" i="14"/>
  <c r="B21" i="14"/>
  <c r="B26" i="14"/>
  <c r="C38" i="14" l="1"/>
  <c r="D38" i="14"/>
  <c r="E38" i="14"/>
  <c r="F38" i="14"/>
  <c r="G38" i="14"/>
  <c r="H38" i="14"/>
  <c r="I38" i="14"/>
  <c r="J38" i="14"/>
  <c r="K38" i="14"/>
  <c r="I9" i="14"/>
  <c r="J9" i="14"/>
  <c r="K9" i="14"/>
  <c r="K12" i="14" s="1"/>
  <c r="I11" i="14"/>
  <c r="J11" i="14"/>
  <c r="K11" i="14"/>
  <c r="I12" i="14"/>
  <c r="J12" i="14"/>
  <c r="I13" i="14"/>
  <c r="J13" i="14"/>
  <c r="J29" i="14" s="1"/>
  <c r="K13" i="14"/>
  <c r="I14" i="14"/>
  <c r="J14" i="14"/>
  <c r="K14" i="14"/>
  <c r="I15" i="14"/>
  <c r="J15" i="14"/>
  <c r="I16" i="14"/>
  <c r="J16" i="14"/>
  <c r="K16" i="14"/>
  <c r="I23" i="14"/>
  <c r="I26" i="14" s="1"/>
  <c r="J23" i="14"/>
  <c r="J24" i="14" s="1"/>
  <c r="K23" i="14"/>
  <c r="K26" i="14" s="1"/>
  <c r="K24" i="14"/>
  <c r="K31" i="14" s="1"/>
  <c r="I28" i="14"/>
  <c r="J28" i="14"/>
  <c r="B11" i="14"/>
  <c r="C11" i="14"/>
  <c r="D11" i="14"/>
  <c r="E11" i="14"/>
  <c r="F11" i="14"/>
  <c r="G11" i="14"/>
  <c r="H11" i="14"/>
  <c r="D12" i="14"/>
  <c r="D28" i="14" s="1"/>
  <c r="E12" i="14"/>
  <c r="H12" i="14"/>
  <c r="H28" i="14" s="1"/>
  <c r="C13" i="14"/>
  <c r="C29" i="14" s="1"/>
  <c r="D13" i="14"/>
  <c r="E13" i="14"/>
  <c r="F13" i="14"/>
  <c r="G13" i="14"/>
  <c r="H13" i="14"/>
  <c r="C14" i="14"/>
  <c r="D14" i="14"/>
  <c r="E14" i="14"/>
  <c r="F14" i="14"/>
  <c r="G14" i="14"/>
  <c r="H14" i="14"/>
  <c r="C15" i="14"/>
  <c r="G15" i="14"/>
  <c r="C16" i="14"/>
  <c r="D16" i="14"/>
  <c r="E16" i="14"/>
  <c r="F16" i="14"/>
  <c r="G16" i="14"/>
  <c r="H16" i="14"/>
  <c r="C23" i="14"/>
  <c r="C24" i="14" s="1"/>
  <c r="D23" i="14"/>
  <c r="D24" i="14" s="1"/>
  <c r="D31" i="14" s="1"/>
  <c r="E23" i="14"/>
  <c r="E29" i="14" s="1"/>
  <c r="F23" i="14"/>
  <c r="F24" i="14" s="1"/>
  <c r="G23" i="14"/>
  <c r="G24" i="14" s="1"/>
  <c r="H23" i="14"/>
  <c r="H24" i="14" s="1"/>
  <c r="H31" i="14" s="1"/>
  <c r="H26" i="14"/>
  <c r="C9" i="14"/>
  <c r="C12" i="14" s="1"/>
  <c r="C28" i="14" s="1"/>
  <c r="D9" i="14"/>
  <c r="D15" i="14" s="1"/>
  <c r="E9" i="14"/>
  <c r="E15" i="14" s="1"/>
  <c r="F9" i="14"/>
  <c r="F12" i="14" s="1"/>
  <c r="G9" i="14"/>
  <c r="G12" i="14" s="1"/>
  <c r="H9" i="14"/>
  <c r="H15" i="14" s="1"/>
  <c r="B38" i="14"/>
  <c r="B15" i="14"/>
  <c r="B13" i="14"/>
  <c r="B23" i="14"/>
  <c r="B29" i="14" s="1"/>
  <c r="B16" i="14"/>
  <c r="B14" i="14"/>
  <c r="B9" i="14"/>
  <c r="B12" i="14" s="1"/>
  <c r="B28" i="14" l="1"/>
  <c r="K29" i="14"/>
  <c r="J26" i="14"/>
  <c r="J32" i="14" s="1"/>
  <c r="G29" i="14"/>
  <c r="F29" i="14"/>
  <c r="E24" i="14"/>
  <c r="E31" i="14" s="1"/>
  <c r="E26" i="14"/>
  <c r="E32" i="14" s="1"/>
  <c r="D26" i="14"/>
  <c r="K28" i="14"/>
  <c r="H32" i="14"/>
  <c r="H34" i="14" s="1"/>
  <c r="H36" i="14" s="1"/>
  <c r="H40" i="14" s="1"/>
  <c r="H42" i="14" s="1"/>
  <c r="F15" i="14"/>
  <c r="D29" i="14"/>
  <c r="G26" i="14"/>
  <c r="G32" i="14" s="1"/>
  <c r="C26" i="14"/>
  <c r="C32" i="14" s="1"/>
  <c r="C34" i="14" s="1"/>
  <c r="C36" i="14" s="1"/>
  <c r="C40" i="14" s="1"/>
  <c r="C42" i="14" s="1"/>
  <c r="G31" i="14"/>
  <c r="C31" i="14"/>
  <c r="E28" i="14"/>
  <c r="J31" i="14"/>
  <c r="K15" i="14"/>
  <c r="K32" i="14" s="1"/>
  <c r="G28" i="14"/>
  <c r="F28" i="14"/>
  <c r="D32" i="14"/>
  <c r="H29" i="14"/>
  <c r="F26" i="14"/>
  <c r="I32" i="14"/>
  <c r="I29" i="14"/>
  <c r="I24" i="14"/>
  <c r="I31" i="14" s="1"/>
  <c r="F31" i="14"/>
  <c r="B32" i="14"/>
  <c r="B24" i="14"/>
  <c r="B31" i="14" s="1"/>
  <c r="E34" i="13"/>
  <c r="F34" i="13"/>
  <c r="G34" i="13"/>
  <c r="H34" i="13"/>
  <c r="I34" i="13"/>
  <c r="J34" i="13"/>
  <c r="K34" i="13"/>
  <c r="E35" i="13"/>
  <c r="F35" i="13"/>
  <c r="G35" i="13"/>
  <c r="G37" i="13" s="1"/>
  <c r="G40" i="13" s="1"/>
  <c r="H35" i="13"/>
  <c r="I35" i="13"/>
  <c r="J35" i="13"/>
  <c r="K35" i="13"/>
  <c r="E37" i="13"/>
  <c r="F37" i="13"/>
  <c r="H37" i="13"/>
  <c r="I37" i="13"/>
  <c r="J37" i="13"/>
  <c r="K37" i="13"/>
  <c r="D39" i="13"/>
  <c r="E39" i="13"/>
  <c r="F39" i="13"/>
  <c r="G39" i="13"/>
  <c r="H39" i="13"/>
  <c r="I39" i="13"/>
  <c r="J39" i="13"/>
  <c r="K39" i="13"/>
  <c r="E40" i="13"/>
  <c r="F40" i="13"/>
  <c r="H40" i="13"/>
  <c r="I40" i="13"/>
  <c r="J40" i="13"/>
  <c r="K40" i="13"/>
  <c r="K7" i="13"/>
  <c r="K8" i="13"/>
  <c r="K9" i="13"/>
  <c r="K11" i="13"/>
  <c r="K12" i="13" s="1"/>
  <c r="K15" i="13"/>
  <c r="K28" i="13" s="1"/>
  <c r="K29" i="13" s="1"/>
  <c r="K30" i="13" s="1"/>
  <c r="K17" i="13"/>
  <c r="K18" i="13" s="1"/>
  <c r="K21" i="13"/>
  <c r="K23" i="13"/>
  <c r="K26" i="13"/>
  <c r="K27" i="13" s="1"/>
  <c r="K32" i="13"/>
  <c r="D7" i="13"/>
  <c r="E7" i="13"/>
  <c r="F7" i="13"/>
  <c r="F9" i="13" s="1"/>
  <c r="G7" i="13"/>
  <c r="G9" i="13" s="1"/>
  <c r="G13" i="13" s="1"/>
  <c r="H7" i="13"/>
  <c r="I7" i="13"/>
  <c r="J7" i="13"/>
  <c r="J9" i="13" s="1"/>
  <c r="D8" i="13"/>
  <c r="D22" i="13" s="1"/>
  <c r="E8" i="13"/>
  <c r="F8" i="13"/>
  <c r="G8" i="13"/>
  <c r="H8" i="13"/>
  <c r="H22" i="13" s="1"/>
  <c r="I8" i="13"/>
  <c r="J8" i="13"/>
  <c r="D9" i="13"/>
  <c r="E9" i="13"/>
  <c r="H9" i="13"/>
  <c r="I9" i="13"/>
  <c r="D11" i="13"/>
  <c r="D12" i="13" s="1"/>
  <c r="D13" i="13" s="1"/>
  <c r="E11" i="13"/>
  <c r="E12" i="13" s="1"/>
  <c r="F11" i="13"/>
  <c r="F12" i="13" s="1"/>
  <c r="G11" i="13"/>
  <c r="H11" i="13"/>
  <c r="H12" i="13" s="1"/>
  <c r="H13" i="13" s="1"/>
  <c r="I11" i="13"/>
  <c r="I12" i="13" s="1"/>
  <c r="J11" i="13"/>
  <c r="J12" i="13" s="1"/>
  <c r="G12" i="13"/>
  <c r="D15" i="13"/>
  <c r="D28" i="13" s="1"/>
  <c r="D29" i="13" s="1"/>
  <c r="D30" i="13" s="1"/>
  <c r="E15" i="13"/>
  <c r="E28" i="13" s="1"/>
  <c r="E29" i="13" s="1"/>
  <c r="E30" i="13" s="1"/>
  <c r="F15" i="13"/>
  <c r="G15" i="13"/>
  <c r="H15" i="13"/>
  <c r="I15" i="13"/>
  <c r="I28" i="13" s="1"/>
  <c r="I29" i="13" s="1"/>
  <c r="I30" i="13" s="1"/>
  <c r="J15" i="13"/>
  <c r="D17" i="13"/>
  <c r="D18" i="13" s="1"/>
  <c r="E17" i="13"/>
  <c r="E18" i="13" s="1"/>
  <c r="F17" i="13"/>
  <c r="F25" i="13" s="1"/>
  <c r="G17" i="13"/>
  <c r="H17" i="13"/>
  <c r="H18" i="13" s="1"/>
  <c r="I17" i="13"/>
  <c r="I18" i="13" s="1"/>
  <c r="J17" i="13"/>
  <c r="J25" i="13" s="1"/>
  <c r="G18" i="13"/>
  <c r="G19" i="13" s="1"/>
  <c r="D21" i="13"/>
  <c r="E21" i="13"/>
  <c r="F21" i="13"/>
  <c r="G21" i="13"/>
  <c r="H21" i="13"/>
  <c r="I21" i="13"/>
  <c r="J21" i="13"/>
  <c r="D23" i="13"/>
  <c r="E23" i="13"/>
  <c r="F23" i="13"/>
  <c r="G23" i="13"/>
  <c r="H23" i="13"/>
  <c r="I23" i="13"/>
  <c r="J23" i="13"/>
  <c r="D25" i="13"/>
  <c r="E25" i="13"/>
  <c r="H25" i="13"/>
  <c r="I25" i="13"/>
  <c r="D26" i="13"/>
  <c r="D27" i="13" s="1"/>
  <c r="E26" i="13"/>
  <c r="E27" i="13" s="1"/>
  <c r="F26" i="13"/>
  <c r="F27" i="13" s="1"/>
  <c r="G26" i="13"/>
  <c r="H26" i="13"/>
  <c r="H27" i="13" s="1"/>
  <c r="I26" i="13"/>
  <c r="I27" i="13" s="1"/>
  <c r="J26" i="13"/>
  <c r="J27" i="13" s="1"/>
  <c r="G27" i="13"/>
  <c r="H28" i="13"/>
  <c r="H29" i="13" s="1"/>
  <c r="H30" i="13" s="1"/>
  <c r="D32" i="13"/>
  <c r="E32" i="13"/>
  <c r="F32" i="13"/>
  <c r="G32" i="13"/>
  <c r="H32" i="13"/>
  <c r="I32" i="13"/>
  <c r="J32" i="13"/>
  <c r="C23" i="13"/>
  <c r="C39" i="13"/>
  <c r="C15" i="13"/>
  <c r="C7" i="13"/>
  <c r="C8" i="13"/>
  <c r="C9" i="13"/>
  <c r="C11" i="13"/>
  <c r="C12" i="13" s="1"/>
  <c r="C28" i="13"/>
  <c r="C29" i="13" s="1"/>
  <c r="C30" i="13" s="1"/>
  <c r="C17" i="13"/>
  <c r="C18" i="13" s="1"/>
  <c r="C21" i="13"/>
  <c r="C26" i="13"/>
  <c r="C27" i="13" s="1"/>
  <c r="C32" i="13"/>
  <c r="B25" i="13"/>
  <c r="B39" i="13"/>
  <c r="B32" i="13"/>
  <c r="B27" i="13"/>
  <c r="B26" i="13"/>
  <c r="B23" i="13"/>
  <c r="B24" i="13" s="1"/>
  <c r="B21" i="13"/>
  <c r="B17" i="13"/>
  <c r="B18" i="13" s="1"/>
  <c r="B15" i="13"/>
  <c r="B19" i="13" s="1"/>
  <c r="B41" i="12"/>
  <c r="B8" i="13"/>
  <c r="B11" i="13"/>
  <c r="B12" i="13" s="1"/>
  <c r="B7" i="13"/>
  <c r="B9" i="13" s="1"/>
  <c r="B38" i="12"/>
  <c r="B39" i="12"/>
  <c r="C39" i="12"/>
  <c r="D39" i="12"/>
  <c r="E39" i="12"/>
  <c r="F39" i="12"/>
  <c r="G39" i="12"/>
  <c r="H39" i="12"/>
  <c r="I39" i="12"/>
  <c r="J39" i="12"/>
  <c r="K39" i="12"/>
  <c r="B35" i="12"/>
  <c r="B34" i="12"/>
  <c r="B33" i="12"/>
  <c r="B32" i="12"/>
  <c r="B44" i="12"/>
  <c r="K29" i="12"/>
  <c r="K31" i="12" s="1"/>
  <c r="K38" i="12" s="1"/>
  <c r="K41" i="12" s="1"/>
  <c r="K44" i="12" s="1"/>
  <c r="C29" i="12"/>
  <c r="D29" i="12"/>
  <c r="E29" i="12"/>
  <c r="F29" i="12"/>
  <c r="F31" i="12" s="1"/>
  <c r="F38" i="12" s="1"/>
  <c r="G29" i="12"/>
  <c r="H29" i="12"/>
  <c r="I29" i="12"/>
  <c r="J29" i="12"/>
  <c r="J31" i="12" s="1"/>
  <c r="J38" i="12" s="1"/>
  <c r="B29" i="12"/>
  <c r="B31" i="12"/>
  <c r="C31" i="12"/>
  <c r="C38" i="12" s="1"/>
  <c r="C41" i="12" s="1"/>
  <c r="C44" i="12" s="1"/>
  <c r="D31" i="12"/>
  <c r="E31" i="12"/>
  <c r="E38" i="12" s="1"/>
  <c r="G31" i="12"/>
  <c r="G38" i="12" s="1"/>
  <c r="G41" i="12" s="1"/>
  <c r="G44" i="12" s="1"/>
  <c r="H31" i="12"/>
  <c r="I31" i="12"/>
  <c r="B36" i="12"/>
  <c r="B28" i="12"/>
  <c r="B27" i="12"/>
  <c r="B26" i="12"/>
  <c r="B25" i="12"/>
  <c r="C42" i="12"/>
  <c r="D42" i="12"/>
  <c r="E42" i="12"/>
  <c r="F42" i="12"/>
  <c r="G42" i="12"/>
  <c r="H42" i="12"/>
  <c r="I42" i="12"/>
  <c r="J42" i="12"/>
  <c r="K42" i="12"/>
  <c r="B42" i="12"/>
  <c r="D38" i="12"/>
  <c r="D41" i="12" s="1"/>
  <c r="D44" i="12" s="1"/>
  <c r="H38" i="12"/>
  <c r="H41" i="12" s="1"/>
  <c r="H44" i="12" s="1"/>
  <c r="I38" i="12"/>
  <c r="I41" i="12" s="1"/>
  <c r="I44" i="12" s="1"/>
  <c r="C36" i="12"/>
  <c r="D36" i="12"/>
  <c r="E36" i="12"/>
  <c r="F36" i="12"/>
  <c r="G36" i="12"/>
  <c r="H36" i="12"/>
  <c r="I36" i="12"/>
  <c r="J36" i="12"/>
  <c r="K36" i="12"/>
  <c r="C35" i="12"/>
  <c r="D35" i="12"/>
  <c r="E35" i="12"/>
  <c r="F35" i="12"/>
  <c r="G35" i="12"/>
  <c r="H35" i="12"/>
  <c r="I35" i="12"/>
  <c r="J35" i="12"/>
  <c r="K35" i="12"/>
  <c r="C34" i="12"/>
  <c r="D34" i="12"/>
  <c r="E34" i="12"/>
  <c r="F34" i="12"/>
  <c r="G34" i="12"/>
  <c r="H34" i="12"/>
  <c r="I34" i="12"/>
  <c r="J34" i="12"/>
  <c r="K34" i="12"/>
  <c r="C33" i="12"/>
  <c r="D33" i="12"/>
  <c r="E33" i="12"/>
  <c r="F33" i="12"/>
  <c r="G33" i="12"/>
  <c r="H33" i="12"/>
  <c r="I33" i="12"/>
  <c r="J33" i="12"/>
  <c r="K33" i="12"/>
  <c r="C32" i="12"/>
  <c r="D32" i="12"/>
  <c r="E32" i="12"/>
  <c r="F32" i="12"/>
  <c r="G32" i="12"/>
  <c r="H32" i="12"/>
  <c r="I32" i="12"/>
  <c r="J32" i="12"/>
  <c r="K32" i="12"/>
  <c r="C25" i="12"/>
  <c r="D25" i="12"/>
  <c r="E25" i="12"/>
  <c r="F25" i="12"/>
  <c r="F26" i="12" s="1"/>
  <c r="F27" i="12" s="1"/>
  <c r="G25" i="12"/>
  <c r="H25" i="12"/>
  <c r="I25" i="12"/>
  <c r="J25" i="12"/>
  <c r="J26" i="12" s="1"/>
  <c r="J27" i="12" s="1"/>
  <c r="K25" i="12"/>
  <c r="K26" i="12" s="1"/>
  <c r="K27" i="12" s="1"/>
  <c r="C26" i="12"/>
  <c r="D26" i="12"/>
  <c r="E26" i="12"/>
  <c r="E27" i="12" s="1"/>
  <c r="G26" i="12"/>
  <c r="H26" i="12"/>
  <c r="I26" i="12"/>
  <c r="I27" i="12" s="1"/>
  <c r="C27" i="12"/>
  <c r="D27" i="12"/>
  <c r="G27" i="12"/>
  <c r="H27" i="12"/>
  <c r="C28" i="12"/>
  <c r="D28" i="12"/>
  <c r="E28" i="12"/>
  <c r="F28" i="12"/>
  <c r="G28" i="12"/>
  <c r="H28" i="12"/>
  <c r="I28" i="12"/>
  <c r="J28" i="12"/>
  <c r="K28" i="12"/>
  <c r="K11" i="12"/>
  <c r="K12" i="12"/>
  <c r="K13" i="12"/>
  <c r="K14" i="12"/>
  <c r="K16" i="12" s="1"/>
  <c r="K15" i="12"/>
  <c r="K17" i="12"/>
  <c r="K18" i="12"/>
  <c r="K19" i="12"/>
  <c r="K20" i="12"/>
  <c r="K21" i="12"/>
  <c r="K22" i="12"/>
  <c r="B11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B15" i="12"/>
  <c r="C15" i="12"/>
  <c r="D15" i="12"/>
  <c r="E15" i="12"/>
  <c r="F15" i="12"/>
  <c r="G15" i="12"/>
  <c r="H15" i="12"/>
  <c r="I15" i="12"/>
  <c r="J15" i="12"/>
  <c r="C16" i="12"/>
  <c r="D16" i="12"/>
  <c r="E16" i="12"/>
  <c r="G16" i="12"/>
  <c r="H16" i="12"/>
  <c r="I16" i="12"/>
  <c r="B17" i="12"/>
  <c r="C17" i="12"/>
  <c r="D17" i="12"/>
  <c r="E17" i="12"/>
  <c r="F17" i="12"/>
  <c r="G17" i="12"/>
  <c r="H17" i="12"/>
  <c r="I17" i="12"/>
  <c r="J17" i="12"/>
  <c r="B18" i="12"/>
  <c r="C18" i="12"/>
  <c r="D18" i="12"/>
  <c r="E18" i="12"/>
  <c r="F18" i="12"/>
  <c r="G18" i="12"/>
  <c r="H18" i="12"/>
  <c r="I18" i="12"/>
  <c r="J18" i="12"/>
  <c r="B19" i="12"/>
  <c r="C19" i="12"/>
  <c r="D19" i="12"/>
  <c r="E19" i="12"/>
  <c r="F19" i="12"/>
  <c r="G19" i="12"/>
  <c r="H19" i="12"/>
  <c r="I19" i="12"/>
  <c r="J19" i="12"/>
  <c r="B20" i="12"/>
  <c r="B21" i="12" s="1"/>
  <c r="B22" i="12" s="1"/>
  <c r="C20" i="12"/>
  <c r="D20" i="12"/>
  <c r="D21" i="12" s="1"/>
  <c r="E20" i="12"/>
  <c r="E21" i="12" s="1"/>
  <c r="F20" i="12"/>
  <c r="F21" i="12" s="1"/>
  <c r="F22" i="12" s="1"/>
  <c r="G20" i="12"/>
  <c r="G21" i="12" s="1"/>
  <c r="H20" i="12"/>
  <c r="H21" i="12" s="1"/>
  <c r="I20" i="12"/>
  <c r="J20" i="12"/>
  <c r="J21" i="12" s="1"/>
  <c r="J22" i="12" s="1"/>
  <c r="C21" i="12"/>
  <c r="I21" i="12"/>
  <c r="E34" i="14" l="1"/>
  <c r="E36" i="14" s="1"/>
  <c r="E40" i="14" s="1"/>
  <c r="E42" i="14" s="1"/>
  <c r="K34" i="14"/>
  <c r="K36" i="14" s="1"/>
  <c r="K40" i="14" s="1"/>
  <c r="K42" i="14" s="1"/>
  <c r="J34" i="14"/>
  <c r="J36" i="14" s="1"/>
  <c r="J40" i="14" s="1"/>
  <c r="J42" i="14" s="1"/>
  <c r="G34" i="14"/>
  <c r="G36" i="14" s="1"/>
  <c r="G40" i="14" s="1"/>
  <c r="G42" i="14" s="1"/>
  <c r="F32" i="14"/>
  <c r="F34" i="14" s="1"/>
  <c r="F36" i="14" s="1"/>
  <c r="F40" i="14" s="1"/>
  <c r="F42" i="14" s="1"/>
  <c r="D34" i="14"/>
  <c r="D36" i="14" s="1"/>
  <c r="D40" i="14" s="1"/>
  <c r="D42" i="14" s="1"/>
  <c r="B34" i="14"/>
  <c r="I34" i="14"/>
  <c r="I36" i="14" s="1"/>
  <c r="I40" i="14" s="1"/>
  <c r="I42" i="14" s="1"/>
  <c r="B28" i="13"/>
  <c r="B29" i="13" s="1"/>
  <c r="B30" i="13" s="1"/>
  <c r="B31" i="13" s="1"/>
  <c r="B22" i="13"/>
  <c r="K22" i="13"/>
  <c r="K13" i="13"/>
  <c r="K19" i="13"/>
  <c r="K24" i="13"/>
  <c r="K25" i="13"/>
  <c r="K31" i="13" s="1"/>
  <c r="I19" i="13"/>
  <c r="I24" i="13"/>
  <c r="E19" i="13"/>
  <c r="E24" i="13"/>
  <c r="G22" i="13"/>
  <c r="J13" i="13"/>
  <c r="J22" i="13"/>
  <c r="F13" i="13"/>
  <c r="F22" i="13"/>
  <c r="D31" i="13"/>
  <c r="E13" i="13"/>
  <c r="I31" i="13"/>
  <c r="H31" i="13"/>
  <c r="H19" i="13"/>
  <c r="H24" i="13"/>
  <c r="D19" i="13"/>
  <c r="D24" i="13"/>
  <c r="I13" i="13"/>
  <c r="F31" i="13"/>
  <c r="E31" i="13"/>
  <c r="G28" i="13"/>
  <c r="G29" i="13" s="1"/>
  <c r="G30" i="13" s="1"/>
  <c r="G24" i="13"/>
  <c r="I22" i="13"/>
  <c r="E22" i="13"/>
  <c r="J18" i="13"/>
  <c r="F18" i="13"/>
  <c r="J28" i="13"/>
  <c r="J29" i="13" s="1"/>
  <c r="J30" i="13" s="1"/>
  <c r="J31" i="13" s="1"/>
  <c r="F28" i="13"/>
  <c r="F29" i="13" s="1"/>
  <c r="F30" i="13" s="1"/>
  <c r="G25" i="13"/>
  <c r="G31" i="13" s="1"/>
  <c r="C13" i="13"/>
  <c r="C19" i="13"/>
  <c r="C24" i="13"/>
  <c r="C25" i="13"/>
  <c r="C31" i="13" s="1"/>
  <c r="C22" i="13"/>
  <c r="B13" i="13"/>
  <c r="E41" i="12"/>
  <c r="E44" i="12" s="1"/>
  <c r="J41" i="12"/>
  <c r="J44" i="12" s="1"/>
  <c r="F41" i="12"/>
  <c r="F44" i="12" s="1"/>
  <c r="L41" i="12"/>
  <c r="G22" i="12"/>
  <c r="C22" i="12"/>
  <c r="H22" i="12"/>
  <c r="D22" i="12"/>
  <c r="I22" i="12"/>
  <c r="E22" i="12"/>
  <c r="J16" i="12"/>
  <c r="F16" i="12"/>
  <c r="B16" i="12"/>
  <c r="B37" i="11"/>
  <c r="B22" i="11"/>
  <c r="B26" i="11"/>
  <c r="B27" i="11"/>
  <c r="C13" i="11"/>
  <c r="D13" i="11"/>
  <c r="E13" i="11"/>
  <c r="F13" i="11"/>
  <c r="F27" i="11" s="1"/>
  <c r="G13" i="11"/>
  <c r="H13" i="11"/>
  <c r="I13" i="11"/>
  <c r="J13" i="11"/>
  <c r="J27" i="11" s="1"/>
  <c r="B13" i="11"/>
  <c r="B38" i="11"/>
  <c r="B39" i="11"/>
  <c r="B12" i="11"/>
  <c r="B11" i="11"/>
  <c r="E39" i="11"/>
  <c r="I39" i="11"/>
  <c r="K38" i="11"/>
  <c r="C38" i="11"/>
  <c r="C39" i="11" s="1"/>
  <c r="D38" i="11"/>
  <c r="D39" i="11" s="1"/>
  <c r="E38" i="11"/>
  <c r="G38" i="11"/>
  <c r="G39" i="11" s="1"/>
  <c r="H38" i="11"/>
  <c r="H39" i="11" s="1"/>
  <c r="I38" i="11"/>
  <c r="C37" i="11"/>
  <c r="D37" i="11"/>
  <c r="E37" i="11"/>
  <c r="F37" i="11"/>
  <c r="G37" i="11"/>
  <c r="H37" i="11"/>
  <c r="I37" i="11"/>
  <c r="J37" i="11"/>
  <c r="C35" i="11"/>
  <c r="D35" i="11"/>
  <c r="E35" i="11"/>
  <c r="F35" i="11"/>
  <c r="G35" i="11"/>
  <c r="H35" i="11"/>
  <c r="I35" i="11"/>
  <c r="J35" i="11"/>
  <c r="B35" i="11"/>
  <c r="C32" i="11"/>
  <c r="D32" i="11"/>
  <c r="E32" i="11"/>
  <c r="F32" i="11"/>
  <c r="G32" i="11"/>
  <c r="H32" i="11"/>
  <c r="I32" i="11"/>
  <c r="J32" i="11"/>
  <c r="B32" i="11"/>
  <c r="C27" i="11"/>
  <c r="D27" i="11"/>
  <c r="E27" i="11"/>
  <c r="G27" i="11"/>
  <c r="H27" i="11"/>
  <c r="I27" i="11"/>
  <c r="B20" i="11"/>
  <c r="C20" i="11"/>
  <c r="D20" i="11"/>
  <c r="E20" i="11"/>
  <c r="F20" i="11"/>
  <c r="F21" i="11" s="1"/>
  <c r="F22" i="11" s="1"/>
  <c r="G20" i="11"/>
  <c r="H20" i="11"/>
  <c r="H21" i="11" s="1"/>
  <c r="I20" i="11"/>
  <c r="J20" i="11"/>
  <c r="J21" i="11" s="1"/>
  <c r="J22" i="11" s="1"/>
  <c r="C21" i="11"/>
  <c r="C22" i="11" s="1"/>
  <c r="D21" i="11"/>
  <c r="E21" i="11"/>
  <c r="E22" i="11" s="1"/>
  <c r="G21" i="11"/>
  <c r="G22" i="11" s="1"/>
  <c r="I21" i="11"/>
  <c r="D11" i="11"/>
  <c r="E11" i="11"/>
  <c r="F11" i="11"/>
  <c r="G11" i="11"/>
  <c r="H11" i="11"/>
  <c r="I11" i="11"/>
  <c r="J11" i="11"/>
  <c r="D12" i="11"/>
  <c r="E12" i="11"/>
  <c r="F12" i="11"/>
  <c r="G12" i="11"/>
  <c r="H12" i="11"/>
  <c r="I12" i="11"/>
  <c r="J12" i="11"/>
  <c r="D14" i="11"/>
  <c r="E14" i="11"/>
  <c r="E16" i="11" s="1"/>
  <c r="F14" i="11"/>
  <c r="F16" i="11" s="1"/>
  <c r="G14" i="11"/>
  <c r="G16" i="11" s="1"/>
  <c r="H14" i="11"/>
  <c r="H16" i="11" s="1"/>
  <c r="I14" i="11"/>
  <c r="J14" i="11"/>
  <c r="J16" i="11" s="1"/>
  <c r="D15" i="11"/>
  <c r="E15" i="11"/>
  <c r="F15" i="11"/>
  <c r="G15" i="11"/>
  <c r="H15" i="11"/>
  <c r="I15" i="11"/>
  <c r="J15" i="11"/>
  <c r="D16" i="11"/>
  <c r="I16" i="11"/>
  <c r="D17" i="11"/>
  <c r="E17" i="11"/>
  <c r="F17" i="11"/>
  <c r="G17" i="11"/>
  <c r="H17" i="11"/>
  <c r="I17" i="11"/>
  <c r="J17" i="11"/>
  <c r="D18" i="11"/>
  <c r="E18" i="11"/>
  <c r="F18" i="11"/>
  <c r="G18" i="11"/>
  <c r="H18" i="11"/>
  <c r="I18" i="11"/>
  <c r="J18" i="11"/>
  <c r="D19" i="11"/>
  <c r="E19" i="11"/>
  <c r="F19" i="11"/>
  <c r="G19" i="11"/>
  <c r="H19" i="11"/>
  <c r="I19" i="11"/>
  <c r="J19" i="11"/>
  <c r="I22" i="11"/>
  <c r="C11" i="11"/>
  <c r="C12" i="11"/>
  <c r="C14" i="11"/>
  <c r="C16" i="11" s="1"/>
  <c r="C15" i="11"/>
  <c r="C17" i="11"/>
  <c r="C18" i="11"/>
  <c r="C19" i="11"/>
  <c r="B30" i="11"/>
  <c r="B25" i="11"/>
  <c r="B19" i="11"/>
  <c r="B21" i="11"/>
  <c r="B18" i="11"/>
  <c r="B17" i="11"/>
  <c r="B16" i="11"/>
  <c r="B15" i="11"/>
  <c r="B14" i="11"/>
  <c r="H3" i="10"/>
  <c r="H4" i="10"/>
  <c r="H5" i="10"/>
  <c r="H6" i="10"/>
  <c r="H7" i="10"/>
  <c r="H8" i="10"/>
  <c r="H9" i="10"/>
  <c r="H10" i="10"/>
  <c r="H11" i="10"/>
  <c r="H2" i="10"/>
  <c r="F3" i="10"/>
  <c r="F4" i="10"/>
  <c r="F5" i="10"/>
  <c r="F6" i="10"/>
  <c r="F7" i="10"/>
  <c r="F8" i="10"/>
  <c r="F9" i="10"/>
  <c r="F10" i="10"/>
  <c r="F11" i="10"/>
  <c r="F2" i="10"/>
  <c r="B3" i="10"/>
  <c r="B4" i="10"/>
  <c r="B5" i="10"/>
  <c r="B6" i="10"/>
  <c r="B7" i="10"/>
  <c r="B8" i="10"/>
  <c r="B9" i="10"/>
  <c r="B10" i="10"/>
  <c r="B11" i="10"/>
  <c r="B2" i="10"/>
  <c r="K59" i="8"/>
  <c r="C13" i="8"/>
  <c r="C15" i="8"/>
  <c r="C16" i="8"/>
  <c r="C17" i="8"/>
  <c r="C18" i="8"/>
  <c r="C20" i="8"/>
  <c r="C21" i="8"/>
  <c r="B3" i="9"/>
  <c r="B4" i="9"/>
  <c r="B5" i="9"/>
  <c r="B6" i="9"/>
  <c r="B7" i="9"/>
  <c r="B8" i="9"/>
  <c r="B9" i="9"/>
  <c r="B10" i="9"/>
  <c r="B11" i="9"/>
  <c r="B2" i="9"/>
  <c r="B36" i="14" l="1"/>
  <c r="B40" i="14" s="1"/>
  <c r="B42" i="14" s="1"/>
  <c r="B34" i="13"/>
  <c r="B35" i="13" s="1"/>
  <c r="B37" i="13" s="1"/>
  <c r="B40" i="13" s="1"/>
  <c r="D34" i="13"/>
  <c r="D35" i="13"/>
  <c r="D37" i="13" s="1"/>
  <c r="D40" i="13" s="1"/>
  <c r="F19" i="13"/>
  <c r="F24" i="13"/>
  <c r="J19" i="13"/>
  <c r="J24" i="13"/>
  <c r="C34" i="13"/>
  <c r="C35" i="13" s="1"/>
  <c r="C37" i="13" s="1"/>
  <c r="C40" i="13" s="1"/>
  <c r="J38" i="11"/>
  <c r="J39" i="11" s="1"/>
  <c r="F38" i="11"/>
  <c r="F39" i="11" s="1"/>
  <c r="F25" i="11"/>
  <c r="J25" i="11"/>
  <c r="J26" i="11" s="1"/>
  <c r="J30" i="11" s="1"/>
  <c r="I25" i="11"/>
  <c r="I26" i="11" s="1"/>
  <c r="I30" i="11" s="1"/>
  <c r="H22" i="11"/>
  <c r="H25" i="11" s="1"/>
  <c r="H26" i="11" s="1"/>
  <c r="H30" i="11" s="1"/>
  <c r="D22" i="11"/>
  <c r="D25" i="11" s="1"/>
  <c r="E25" i="11"/>
  <c r="E26" i="11" s="1"/>
  <c r="E30" i="11" s="1"/>
  <c r="D26" i="11"/>
  <c r="D30" i="11" s="1"/>
  <c r="G25" i="11"/>
  <c r="G26" i="11" s="1"/>
  <c r="G30" i="11" s="1"/>
  <c r="F26" i="11"/>
  <c r="F30" i="11" s="1"/>
  <c r="C25" i="11"/>
  <c r="C26" i="11" s="1"/>
  <c r="C30" i="11" s="1"/>
  <c r="F59" i="8"/>
  <c r="G59" i="8"/>
  <c r="H59" i="8"/>
  <c r="I59" i="8"/>
  <c r="J59" i="8"/>
  <c r="L59" i="8"/>
  <c r="B59" i="8"/>
  <c r="B15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D15" i="8"/>
  <c r="E15" i="8"/>
  <c r="F15" i="8"/>
  <c r="G15" i="8"/>
  <c r="H15" i="8"/>
  <c r="I15" i="8"/>
  <c r="J15" i="8"/>
  <c r="K15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25" i="8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42" i="8"/>
  <c r="D21" i="8"/>
  <c r="D42" i="8" s="1"/>
  <c r="E21" i="8"/>
  <c r="E42" i="8" s="1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D32" i="8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D37" i="8" s="1"/>
  <c r="D38" i="8" s="1"/>
  <c r="D39" i="8" s="1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D45" i="8" l="1"/>
  <c r="D46" i="8" s="1"/>
  <c r="C45" i="8"/>
  <c r="C46" i="8" s="1"/>
  <c r="J26" i="8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C49" i="8" l="1"/>
  <c r="D50" i="8"/>
  <c r="D52" i="8" s="1"/>
  <c r="D57" i="8" s="1"/>
  <c r="D59" i="8" s="1"/>
  <c r="K48" i="8"/>
  <c r="K50" i="8" s="1"/>
  <c r="K52" i="8" s="1"/>
  <c r="K57" i="8" s="1"/>
  <c r="K53" i="8"/>
  <c r="E50" i="8"/>
  <c r="E52" i="8" s="1"/>
  <c r="E57" i="8" s="1"/>
  <c r="E59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9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<sst xmlns="http://schemas.openxmlformats.org/spreadsheetml/2006/main" count="248" uniqueCount="129">
  <si>
    <t>parameters</t>
  </si>
  <si>
    <t>unit</t>
  </si>
  <si>
    <t>values</t>
  </si>
  <si>
    <t>Arch Span</t>
  </si>
  <si>
    <t>feet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</si>
  <si>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</si>
  <si>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</si>
  <si>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</si>
  <si>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</si>
  <si>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</si>
  <si>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</si>
  <si>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</si>
  <si>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</si>
  <si>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</si>
  <si>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</si>
  <si>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</si>
  <si>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</si>
  <si>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</si>
  <si>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</si>
  <si>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</si>
  <si>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</si>
  <si>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</si>
  <si>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</si>
  <si>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</si>
  <si>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</si>
  <si>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</si>
  <si>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</si>
  <si>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</si>
  <si>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</si>
  <si>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</si>
  <si>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</si>
  <si>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</si>
  <si>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</si>
  <si>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</si>
  <si>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</si>
  <si>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</si>
  <si>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</si>
  <si>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</si>
  <si>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</si>
  <si>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</si>
  <si>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</si>
  <si>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</si>
  <si>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</si>
  <si>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</si>
  <si>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</si>
  <si>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</si>
  <si>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</si>
  <si>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</si>
  <si>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</si>
  <si>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</si>
  <si>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</si>
  <si>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</si>
  <si>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</si>
  <si>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</si>
  <si>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</si>
  <si>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</si>
  <si>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</si>
  <si>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</si>
  <si>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</si>
  <si>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</si>
  <si>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</si>
  <si>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</si>
  <si>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</si>
  <si>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</si>
  <si>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</si>
  <si>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</si>
  <si>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</si>
  <si>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</si>
  <si>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</si>
  <si>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</si>
  <si>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</si>
  <si>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</si>
  <si>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</si>
  <si>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</si>
  <si>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</si>
  <si>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</si>
  <si>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</si>
  <si>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</si>
  <si>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</si>
  <si>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</si>
  <si>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</si>
  <si>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</si>
  <si>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</si>
  <si>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</si>
  <si>
    <t>y0 (feet)</t>
  </si>
  <si>
    <t>Whiteney H</t>
  </si>
  <si>
    <t>Z</t>
  </si>
  <si>
    <t>whiteney_y0</t>
  </si>
  <si>
    <t>del_sub_HL</t>
  </si>
  <si>
    <t>del_sub_Ha</t>
  </si>
  <si>
    <t>Tbr3</t>
  </si>
  <si>
    <t>Tbr2</t>
  </si>
  <si>
    <t>T2-T3</t>
  </si>
  <si>
    <t>Happ</t>
  </si>
  <si>
    <t>T2-T3-(1-m)*Tbr3</t>
  </si>
  <si>
    <t>Happ2</t>
  </si>
  <si>
    <t>t1=(1/k)*sqrt((y0/r*(g-1))^2-1)</t>
  </si>
  <si>
    <t>t2=sqrt(t1^2-1)</t>
  </si>
  <si>
    <t>t5</t>
  </si>
  <si>
    <t>t3=(1/k)*term_in_br</t>
  </si>
  <si>
    <t>t4=sqrt(g^2-1)/k</t>
  </si>
  <si>
    <t>1-z^2</t>
  </si>
  <si>
    <t>(1-Z^2)/2</t>
  </si>
  <si>
    <t>yc/r</t>
  </si>
  <si>
    <t>1/(g-1)</t>
  </si>
  <si>
    <t>y0/r</t>
  </si>
  <si>
    <t>k^2</t>
  </si>
  <si>
    <t>1/k^2</t>
  </si>
  <si>
    <t>1-m</t>
  </si>
  <si>
    <t>z*(y0/r)</t>
  </si>
  <si>
    <t>2/(k^2)*(g-1)</t>
  </si>
  <si>
    <t>sqrt(g^2-1)/k</t>
  </si>
  <si>
    <t>(y0/r)*(g-1)</t>
  </si>
  <si>
    <t>sqrt(1+(y0/r*(g-1))^2-1</t>
  </si>
  <si>
    <t>(1/k)*()</t>
  </si>
  <si>
    <t>I</t>
  </si>
  <si>
    <t>TC5</t>
  </si>
  <si>
    <t>TC1</t>
  </si>
  <si>
    <t>TC2</t>
  </si>
  <si>
    <t>TC3</t>
  </si>
  <si>
    <t>TC4</t>
  </si>
  <si>
    <t>TC6</t>
  </si>
  <si>
    <t>Variblae Terms</t>
  </si>
  <si>
    <t>TV1=1-Z^2</t>
  </si>
  <si>
    <t>TV2=y0/r</t>
  </si>
  <si>
    <t>TV3=Z*(y0/r)</t>
  </si>
  <si>
    <t>TS=sqrt({1+(y0/r)*(g-1)}^2-1</t>
  </si>
  <si>
    <t>sum_in_bracket</t>
  </si>
  <si>
    <t>TV2=1-Z^3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</si>
</sst>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5" zoomScaleNormal="175" workbookViewId="0">
      <selection activeCell="C2" sqref="C2"/>
    </sheetView>
  </sheetViews>
  <sheetFormatPr defaultRowHeight="14.4" x14ac:dyDescent="0.3"/>
  <cols>
    <col min="3" max="3" width="16.21875" customWidth="1"/>
    <col min="4" max="4" width="18.109375" customWidth="1"/>
    <col min="5" max="5" width="13.44140625" customWidth="1"/>
    <col min="6" max="6" width="15.44140625" customWidth="1"/>
  </cols>
  <sheetData>
    <row r="1" spans="1:10" x14ac:dyDescent="0.3">
      <c r="A1" s="8" t="s">
        <v>41</v>
      </c>
      <c r="B1" s="8" t="s">
        <v>86</v>
      </c>
      <c r="C1" s="8" t="s">
        <v>87</v>
      </c>
      <c r="D1" s="8" t="s">
        <v>85</v>
      </c>
      <c r="E1" s="8" t="s">
        <v>88</v>
      </c>
      <c r="F1" s="8" t="s">
        <v>89</v>
      </c>
    </row>
    <row r="2" spans="1:10" x14ac:dyDescent="0.3">
      <c r="A2" s="8">
        <v>1</v>
      </c>
      <c r="B2" s="8">
        <f>A2/10</f>
        <v>0.1</v>
      </c>
      <c r="C2" s="8">
        <v>11.3</v>
      </c>
      <c r="D2" s="8">
        <v>5.1999999999999998E-2</v>
      </c>
      <c r="E2" s="8">
        <v>1.2459999999999999E-4</v>
      </c>
      <c r="F2" s="8">
        <f>D2*E2</f>
        <v>6.4791999999999997E-6</v>
      </c>
      <c r="G2">
        <v>2.81338915599064E-5</v>
      </c>
      <c r="H2" s="8">
        <f>G2/F2</f>
        <v>4.3421860044305474</v>
      </c>
      <c r="I2" s="8"/>
      <c r="J2" s="8"/>
    </row>
    <row r="3" spans="1:10" x14ac:dyDescent="0.3">
      <c r="A3" s="8">
        <v>2</v>
      </c>
      <c r="B3" s="8">
        <f t="shared" ref="B3:B11" si="0">A3/10</f>
        <v>0.2</v>
      </c>
      <c r="C3" s="8">
        <v>8.35</v>
      </c>
      <c r="D3" s="8">
        <v>0.191</v>
      </c>
      <c r="E3" s="8">
        <v>1.2459999999999999E-4</v>
      </c>
      <c r="F3" s="8">
        <f t="shared" ref="F3:F11" si="1">D3*E3</f>
        <v>2.3798599999999999E-5</v>
      </c>
      <c r="G3">
        <v>5.8220775442665817E-5</v>
      </c>
      <c r="H3" s="8">
        <f t="shared" ref="H3:H11" si="2">G3/F3</f>
        <v>2.4463949746063136</v>
      </c>
      <c r="I3" s="8"/>
    </row>
    <row r="4" spans="1:10" x14ac:dyDescent="0.3">
      <c r="A4" s="8">
        <v>3</v>
      </c>
      <c r="B4" s="8">
        <f t="shared" si="0"/>
        <v>0.3</v>
      </c>
      <c r="C4" s="8">
        <v>6.03</v>
      </c>
      <c r="D4" s="8">
        <v>0.39800000000000002</v>
      </c>
      <c r="E4" s="8">
        <v>1.2459999999999999E-4</v>
      </c>
      <c r="F4" s="8">
        <f t="shared" si="1"/>
        <v>4.95908E-5</v>
      </c>
      <c r="G4">
        <v>8.9030306389610805E-5</v>
      </c>
      <c r="H4" s="8">
        <f t="shared" si="2"/>
        <v>1.7952988536101617</v>
      </c>
      <c r="I4" s="8"/>
    </row>
    <row r="5" spans="1:10" x14ac:dyDescent="0.3">
      <c r="A5" s="8">
        <v>4</v>
      </c>
      <c r="B5" s="8">
        <f t="shared" si="0"/>
        <v>0.4</v>
      </c>
      <c r="C5" s="8">
        <v>4.2</v>
      </c>
      <c r="D5" s="8">
        <v>0.64800000000000002</v>
      </c>
      <c r="E5" s="8">
        <v>1.2459999999999999E-4</v>
      </c>
      <c r="F5" s="8">
        <f t="shared" si="1"/>
        <v>8.0740800000000005E-5</v>
      </c>
      <c r="G5">
        <v>1.191333645044549E-4</v>
      </c>
      <c r="H5" s="8">
        <f t="shared" si="2"/>
        <v>1.4755038902816777</v>
      </c>
      <c r="I5" s="8"/>
    </row>
    <row r="6" spans="1:10" x14ac:dyDescent="0.3">
      <c r="A6" s="8">
        <v>5</v>
      </c>
      <c r="B6" s="8">
        <f t="shared" si="0"/>
        <v>0.5</v>
      </c>
      <c r="C6" s="8">
        <v>2.79</v>
      </c>
      <c r="D6" s="8">
        <v>0.91600000000000004</v>
      </c>
      <c r="E6" s="8">
        <v>1.2459999999999999E-4</v>
      </c>
      <c r="F6" s="8">
        <f t="shared" si="1"/>
        <v>1.141336E-4</v>
      </c>
      <c r="G6">
        <v>1.4708216722142029E-4</v>
      </c>
      <c r="H6" s="8">
        <f t="shared" si="2"/>
        <v>1.2886842018601032</v>
      </c>
      <c r="I6" s="8"/>
    </row>
    <row r="7" spans="1:10" x14ac:dyDescent="0.3">
      <c r="A7" s="8">
        <v>6</v>
      </c>
      <c r="B7" s="8">
        <f t="shared" si="0"/>
        <v>0.6</v>
      </c>
      <c r="C7" s="8">
        <v>1.72</v>
      </c>
      <c r="D7" s="8">
        <v>1.1739999999999999</v>
      </c>
      <c r="E7" s="8">
        <v>1.2459999999999999E-4</v>
      </c>
      <c r="F7" s="8">
        <f t="shared" si="1"/>
        <v>1.4628039999999999E-4</v>
      </c>
      <c r="G7">
        <v>1.7154310385249111E-4</v>
      </c>
      <c r="H7" s="8">
        <f t="shared" si="2"/>
        <v>1.1727005385033888</v>
      </c>
      <c r="I7" s="8"/>
    </row>
    <row r="8" spans="1:10" x14ac:dyDescent="0.3">
      <c r="A8" s="8">
        <v>7</v>
      </c>
      <c r="B8" s="8">
        <f t="shared" si="0"/>
        <v>0.7</v>
      </c>
      <c r="C8" s="8">
        <v>0.94</v>
      </c>
      <c r="D8" s="8">
        <v>1.4059999999999999</v>
      </c>
      <c r="E8" s="8">
        <v>1.2459999999999999E-4</v>
      </c>
      <c r="F8" s="8">
        <f t="shared" si="1"/>
        <v>1.7518759999999998E-4</v>
      </c>
      <c r="G8">
        <v>1.9139913440412111E-4</v>
      </c>
      <c r="H8" s="8">
        <f t="shared" si="2"/>
        <v>1.0925381385675763</v>
      </c>
      <c r="I8" s="8"/>
    </row>
    <row r="9" spans="1:10" x14ac:dyDescent="0.3">
      <c r="A9" s="8">
        <v>8</v>
      </c>
      <c r="B9" s="8">
        <f t="shared" si="0"/>
        <v>0.8</v>
      </c>
      <c r="C9" s="8">
        <v>0.41</v>
      </c>
      <c r="D9" s="8">
        <v>1.59</v>
      </c>
      <c r="E9" s="8">
        <v>1.2459999999999999E-4</v>
      </c>
      <c r="F9" s="8">
        <f t="shared" si="1"/>
        <v>1.9811399999999999E-4</v>
      </c>
      <c r="G9">
        <v>2.058352761364025E-4</v>
      </c>
      <c r="H9" s="8">
        <f t="shared" si="2"/>
        <v>1.0389739046024133</v>
      </c>
      <c r="I9" s="8"/>
    </row>
    <row r="10" spans="1:10" x14ac:dyDescent="0.3">
      <c r="A10" s="8">
        <v>9</v>
      </c>
      <c r="B10" s="8">
        <f t="shared" si="0"/>
        <v>0.9</v>
      </c>
      <c r="C10" s="8">
        <v>0.1</v>
      </c>
      <c r="D10" s="8">
        <v>1.71</v>
      </c>
      <c r="E10" s="8">
        <v>1.2459999999999999E-4</v>
      </c>
      <c r="F10" s="8">
        <f t="shared" si="1"/>
        <v>2.1306599999999998E-4</v>
      </c>
      <c r="G10">
        <v>2.1441847696019239E-4</v>
      </c>
      <c r="H10" s="8">
        <f t="shared" si="2"/>
        <v>1.006347690200184</v>
      </c>
      <c r="I10" s="8"/>
    </row>
    <row r="11" spans="1:10" x14ac:dyDescent="0.3">
      <c r="A11" s="8">
        <v>10</v>
      </c>
      <c r="B11" s="8">
        <f t="shared" si="0"/>
        <v>1</v>
      </c>
      <c r="C11" s="8">
        <v>0</v>
      </c>
      <c r="D11" s="8">
        <v>1.7509999999999999</v>
      </c>
      <c r="E11" s="8">
        <v>1.2459999999999999E-4</v>
      </c>
      <c r="F11" s="8">
        <f t="shared" si="1"/>
        <v>2.1817459999999998E-4</v>
      </c>
      <c r="G11">
        <v>2.1718186448472921E-4</v>
      </c>
      <c r="H11" s="8">
        <f t="shared" si="2"/>
        <v>0.995449811686279</v>
      </c>
      <c r="I11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zoomScale="145" zoomScaleNormal="145" workbookViewId="0">
      <selection activeCell="E29" sqref="E29"/>
    </sheetView>
  </sheetViews>
  <sheetFormatPr defaultRowHeight="14.4" x14ac:dyDescent="0.3"/>
  <cols>
    <col min="1" max="1" width="21.5546875" customWidth="1"/>
    <col min="2" max="2" width="15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</cols>
  <sheetData>
    <row r="1" spans="1:10" x14ac:dyDescent="0.3">
      <c r="A1" t="s">
        <v>28</v>
      </c>
      <c r="B1" s="8">
        <v>180</v>
      </c>
      <c r="C1" s="8">
        <v>180</v>
      </c>
      <c r="D1" s="8">
        <v>180</v>
      </c>
      <c r="E1" s="8">
        <v>180</v>
      </c>
      <c r="F1" s="8">
        <v>180</v>
      </c>
      <c r="G1" s="8">
        <v>180</v>
      </c>
      <c r="H1" s="8">
        <v>180</v>
      </c>
      <c r="I1" s="8">
        <v>180</v>
      </c>
      <c r="J1" s="8">
        <v>180</v>
      </c>
    </row>
    <row r="2" spans="1:10" x14ac:dyDescent="0.3">
      <c r="A2" t="s">
        <v>45</v>
      </c>
      <c r="B2" s="8">
        <v>1200</v>
      </c>
      <c r="C2" s="8">
        <v>1200</v>
      </c>
      <c r="D2" s="8">
        <v>1200</v>
      </c>
      <c r="E2" s="8">
        <v>1200</v>
      </c>
      <c r="F2" s="8">
        <v>1200</v>
      </c>
      <c r="G2" s="8">
        <v>1200</v>
      </c>
      <c r="H2" s="8">
        <v>1200</v>
      </c>
      <c r="I2" s="8">
        <v>1200</v>
      </c>
      <c r="J2" s="8">
        <v>1200</v>
      </c>
    </row>
    <row r="3" spans="1:10" x14ac:dyDescent="0.3">
      <c r="A3" t="s">
        <v>12</v>
      </c>
      <c r="B3" s="8">
        <v>2000000</v>
      </c>
      <c r="C3" s="8">
        <v>2000000</v>
      </c>
      <c r="D3" s="8">
        <v>2000000</v>
      </c>
      <c r="E3" s="8">
        <v>2000000</v>
      </c>
      <c r="F3" s="8">
        <v>2000000</v>
      </c>
      <c r="G3" s="8">
        <v>2000000</v>
      </c>
      <c r="H3" s="8">
        <v>2000000</v>
      </c>
      <c r="I3" s="8">
        <v>2000000</v>
      </c>
      <c r="J3" s="8">
        <v>2000000</v>
      </c>
    </row>
    <row r="4" spans="1:10" x14ac:dyDescent="0.3">
      <c r="A4" t="s">
        <v>14</v>
      </c>
      <c r="B4" s="8">
        <v>6399</v>
      </c>
      <c r="C4" s="8">
        <v>6399</v>
      </c>
      <c r="D4" s="8">
        <v>6399</v>
      </c>
      <c r="E4" s="8">
        <v>6399</v>
      </c>
      <c r="F4" s="8">
        <v>6399</v>
      </c>
      <c r="G4" s="8">
        <v>6399</v>
      </c>
      <c r="H4" s="8">
        <v>6399</v>
      </c>
      <c r="I4" s="8">
        <v>6399</v>
      </c>
      <c r="J4" s="8">
        <v>6399</v>
      </c>
    </row>
    <row r="5" spans="1:10" x14ac:dyDescent="0.3">
      <c r="A5" t="s">
        <v>46</v>
      </c>
      <c r="B5" s="8">
        <v>37.85</v>
      </c>
      <c r="C5" s="8">
        <v>37.85</v>
      </c>
      <c r="D5" s="8">
        <v>37.85</v>
      </c>
      <c r="E5" s="8">
        <v>37.85</v>
      </c>
      <c r="F5" s="8">
        <v>37.85</v>
      </c>
      <c r="G5" s="8">
        <v>37.85</v>
      </c>
      <c r="H5" s="8">
        <v>37.85</v>
      </c>
      <c r="I5" s="8">
        <v>37.85</v>
      </c>
      <c r="J5" s="8">
        <v>37.85</v>
      </c>
    </row>
    <row r="6" spans="1:10" x14ac:dyDescent="0.3">
      <c r="A6" t="s">
        <v>27</v>
      </c>
      <c r="B6" s="8">
        <v>4.6950000000000003</v>
      </c>
      <c r="C6" s="8">
        <v>4.6950000000000003</v>
      </c>
      <c r="D6" s="8">
        <v>4.6950000000000003</v>
      </c>
      <c r="E6" s="8">
        <v>4.6950000000000003</v>
      </c>
      <c r="F6" s="8">
        <v>4.6950000000000003</v>
      </c>
      <c r="G6" s="8">
        <v>4.6950000000000003</v>
      </c>
      <c r="H6" s="8">
        <v>4.6950000000000003</v>
      </c>
      <c r="I6" s="8">
        <v>4.6950000000000003</v>
      </c>
      <c r="J6" s="8">
        <v>4.6950000000000003</v>
      </c>
    </row>
    <row r="7" spans="1:10" x14ac:dyDescent="0.3">
      <c r="A7" t="s">
        <v>48</v>
      </c>
      <c r="B7" s="8">
        <v>0.9</v>
      </c>
      <c r="C7" s="8">
        <v>0.8</v>
      </c>
      <c r="D7" s="8">
        <v>0.7</v>
      </c>
      <c r="E7" s="8">
        <v>0.6</v>
      </c>
      <c r="F7" s="8">
        <v>0.5</v>
      </c>
      <c r="G7" s="8">
        <v>0.4</v>
      </c>
      <c r="H7" s="8">
        <v>0.3</v>
      </c>
      <c r="I7" s="8">
        <v>0.2</v>
      </c>
      <c r="J7" s="8">
        <v>0.1</v>
      </c>
    </row>
    <row r="8" spans="1:10" x14ac:dyDescent="0.3">
      <c r="A8" t="s">
        <v>29</v>
      </c>
      <c r="B8" s="8">
        <v>2.2282000000000002</v>
      </c>
      <c r="C8" s="8">
        <v>2.2282000000000002</v>
      </c>
      <c r="D8" s="8">
        <v>2.2282000000000002</v>
      </c>
      <c r="E8" s="8">
        <v>2.2282000000000002</v>
      </c>
      <c r="F8" s="8">
        <v>2.2282000000000002</v>
      </c>
      <c r="G8" s="8">
        <v>2.2282000000000002</v>
      </c>
      <c r="H8" s="8">
        <v>2.2282000000000002</v>
      </c>
      <c r="I8" s="8">
        <v>2.2282000000000002</v>
      </c>
      <c r="J8" s="8">
        <v>2.2282000000000002</v>
      </c>
    </row>
    <row r="9" spans="1:10" x14ac:dyDescent="0.3">
      <c r="A9" t="s">
        <v>47</v>
      </c>
      <c r="B9" s="8">
        <v>135.5</v>
      </c>
      <c r="C9" s="8">
        <v>100.17700000000001</v>
      </c>
      <c r="D9" s="8">
        <v>72.28</v>
      </c>
      <c r="E9" s="8">
        <v>50.41</v>
      </c>
      <c r="F9" s="8">
        <v>33.49</v>
      </c>
      <c r="G9" s="8">
        <v>20.67</v>
      </c>
      <c r="H9" s="8">
        <v>11.3</v>
      </c>
      <c r="I9" s="8">
        <v>4.91</v>
      </c>
      <c r="J9" s="8">
        <v>1.21</v>
      </c>
    </row>
    <row r="10" spans="1:10" x14ac:dyDescent="0.3">
      <c r="A10" t="s">
        <v>18</v>
      </c>
      <c r="B10" s="8">
        <v>0.33860000000000001</v>
      </c>
      <c r="C10" s="8">
        <v>0.33860000000000001</v>
      </c>
      <c r="D10" s="8">
        <v>0.33860000000000001</v>
      </c>
      <c r="E10" s="8">
        <v>0.33860000000000001</v>
      </c>
      <c r="F10" s="8">
        <v>0.33860000000000001</v>
      </c>
      <c r="G10" s="8">
        <v>0.33860000000000001</v>
      </c>
      <c r="H10" s="8">
        <v>0.33860000000000001</v>
      </c>
      <c r="I10" s="8">
        <v>0.33860000000000001</v>
      </c>
      <c r="J10" s="8">
        <v>0.33860000000000001</v>
      </c>
    </row>
    <row r="11" spans="1:10" x14ac:dyDescent="0.3">
      <c r="A11" t="s">
        <v>67</v>
      </c>
      <c r="B11" s="8">
        <f>B2*B1*B1</f>
        <v>38880000</v>
      </c>
      <c r="C11" s="8">
        <f>C2*C1*C1</f>
        <v>38880000</v>
      </c>
      <c r="D11" s="8">
        <f t="shared" ref="D11:J11" si="0">D2*D1*D1</f>
        <v>38880000</v>
      </c>
      <c r="E11" s="8">
        <f t="shared" si="0"/>
        <v>38880000</v>
      </c>
      <c r="F11" s="8">
        <f t="shared" si="0"/>
        <v>38880000</v>
      </c>
      <c r="G11" s="8">
        <f t="shared" si="0"/>
        <v>38880000</v>
      </c>
      <c r="H11" s="8">
        <f t="shared" si="0"/>
        <v>38880000</v>
      </c>
      <c r="I11" s="8">
        <f t="shared" si="0"/>
        <v>38880000</v>
      </c>
      <c r="J11" s="8">
        <f t="shared" si="0"/>
        <v>38880000</v>
      </c>
    </row>
    <row r="12" spans="1:10" x14ac:dyDescent="0.3">
      <c r="A12" t="s">
        <v>68</v>
      </c>
      <c r="B12" s="8">
        <f>4*B3*B4</f>
        <v>51192000000</v>
      </c>
      <c r="C12" s="8">
        <f>4*C3*C4</f>
        <v>51192000000</v>
      </c>
      <c r="D12" s="8">
        <f t="shared" ref="D12:J12" si="1">4*D3*D4</f>
        <v>51192000000</v>
      </c>
      <c r="E12" s="8">
        <f t="shared" si="1"/>
        <v>51192000000</v>
      </c>
      <c r="F12" s="8">
        <f t="shared" si="1"/>
        <v>51192000000</v>
      </c>
      <c r="G12" s="8">
        <f t="shared" si="1"/>
        <v>51192000000</v>
      </c>
      <c r="H12" s="8">
        <f t="shared" si="1"/>
        <v>51192000000</v>
      </c>
      <c r="I12" s="8">
        <f t="shared" si="1"/>
        <v>51192000000</v>
      </c>
      <c r="J12" s="8">
        <f t="shared" si="1"/>
        <v>51192000000</v>
      </c>
    </row>
    <row r="13" spans="1:10" x14ac:dyDescent="0.3">
      <c r="A13" s="10" t="s">
        <v>50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</row>
    <row r="14" spans="1:10" x14ac:dyDescent="0.3">
      <c r="A14" t="s">
        <v>52</v>
      </c>
      <c r="B14" s="11">
        <f>((B5/B1)+(1/(B6-1)))*((1-B7^2)/2)</f>
        <v>4.5686808374680483E-2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</row>
    <row r="15" spans="1:10" x14ac:dyDescent="0.3">
      <c r="A15" t="s">
        <v>53</v>
      </c>
      <c r="B15" s="8">
        <f>(1/(B8^2))*(1-(B9/B1))</f>
        <v>4.9794246636945143E-2</v>
      </c>
      <c r="C15" s="8">
        <f>(1/(C8^2))*(1-(C9/C1))</f>
        <v>8.9319688748334194E-2</v>
      </c>
      <c r="D15" s="8">
        <f t="shared" ref="D15:J15" si="4">(1/(D8^2))*(1-(D9/D1))</f>
        <v>0.12053564601644338</v>
      </c>
      <c r="E15" s="8">
        <f t="shared" si="4"/>
        <v>0.1450075600377915</v>
      </c>
      <c r="F15" s="8">
        <f t="shared" si="4"/>
        <v>0.16394056347817601</v>
      </c>
      <c r="G15" s="8">
        <f t="shared" si="4"/>
        <v>0.17828578239695436</v>
      </c>
      <c r="H15" s="8">
        <f t="shared" si="4"/>
        <v>0.18877054848657629</v>
      </c>
      <c r="I15" s="8">
        <f t="shared" si="4"/>
        <v>0.19592077850927472</v>
      </c>
      <c r="J15" s="8">
        <f t="shared" si="4"/>
        <v>0.20006097429706565</v>
      </c>
    </row>
    <row r="16" spans="1:10" x14ac:dyDescent="0.3">
      <c r="A16" t="s">
        <v>54</v>
      </c>
      <c r="B16" s="8">
        <f>B14/3</f>
        <v>1.5228936124893495E-2</v>
      </c>
      <c r="C16" s="8">
        <f>C14/3</f>
        <v>2.8854826341903464E-2</v>
      </c>
      <c r="D16" s="8">
        <f t="shared" ref="D16:J16" si="5">D14/3</f>
        <v>4.0877670651029922E-2</v>
      </c>
      <c r="E16" s="8">
        <f t="shared" si="5"/>
        <v>5.1297469052272844E-2</v>
      </c>
      <c r="F16" s="8">
        <f t="shared" si="5"/>
        <v>6.0114221545632236E-2</v>
      </c>
      <c r="G16" s="8">
        <f t="shared" si="5"/>
        <v>6.7327928131108106E-2</v>
      </c>
      <c r="H16" s="8">
        <f t="shared" si="5"/>
        <v>7.2938588808700452E-2</v>
      </c>
      <c r="I16" s="8">
        <f t="shared" si="5"/>
        <v>7.6946203578409256E-2</v>
      </c>
      <c r="J16" s="8">
        <f t="shared" si="5"/>
        <v>7.9350772440234543E-2</v>
      </c>
    </row>
    <row r="17" spans="1:10" x14ac:dyDescent="0.3">
      <c r="A17" t="s">
        <v>55</v>
      </c>
      <c r="B17" s="8">
        <f>(1/(B8^2))*(1-B7*(B9/B1))</f>
        <v>6.4956314994936301E-2</v>
      </c>
      <c r="C17" s="8">
        <f>(1/(C8^2))*(1-C7*(C9/C1))</f>
        <v>0.11173873704203871</v>
      </c>
      <c r="D17" s="8">
        <f t="shared" ref="D17:J17" si="6">(1/(D8^2))*(1-D7*(D9/D1))</f>
        <v>0.14479943127656739</v>
      </c>
      <c r="E17" s="8">
        <f t="shared" si="6"/>
        <v>0.16757050810941757</v>
      </c>
      <c r="F17" s="8">
        <f t="shared" si="6"/>
        <v>0.18267774684751636</v>
      </c>
      <c r="G17" s="8">
        <f t="shared" si="6"/>
        <v>0.19216327108889578</v>
      </c>
      <c r="H17" s="8">
        <f t="shared" si="6"/>
        <v>0.19762161569777262</v>
      </c>
      <c r="I17" s="8">
        <f t="shared" si="6"/>
        <v>0.20031609987534035</v>
      </c>
      <c r="J17" s="8">
        <f t="shared" si="6"/>
        <v>0.20127953462487763</v>
      </c>
    </row>
    <row r="18" spans="1:10" x14ac:dyDescent="0.3">
      <c r="A18" t="s">
        <v>56</v>
      </c>
      <c r="B18" s="8">
        <f>2/(B8^2*(B6-1))</f>
        <v>0.10902025992793328</v>
      </c>
      <c r="C18" s="8">
        <f>2/(C8^2*(C6-1))</f>
        <v>0.10902025992793328</v>
      </c>
      <c r="D18" s="8">
        <f t="shared" ref="D18:J18" si="7">2/(D8^2*(D6-1))</f>
        <v>0.10902025992793328</v>
      </c>
      <c r="E18" s="8">
        <f t="shared" si="7"/>
        <v>0.10902025992793328</v>
      </c>
      <c r="F18" s="8">
        <f t="shared" si="7"/>
        <v>0.10902025992793328</v>
      </c>
      <c r="G18" s="8">
        <f t="shared" si="7"/>
        <v>0.10902025992793328</v>
      </c>
      <c r="H18" s="8">
        <f t="shared" si="7"/>
        <v>0.10902025992793328</v>
      </c>
      <c r="I18" s="8">
        <f t="shared" si="7"/>
        <v>0.10902025992793328</v>
      </c>
      <c r="J18" s="8">
        <f t="shared" si="7"/>
        <v>0.10902025992793328</v>
      </c>
    </row>
    <row r="19" spans="1:10" x14ac:dyDescent="0.3">
      <c r="A19" t="s">
        <v>67</v>
      </c>
      <c r="B19" s="8">
        <f>SQRT(B6^2-1)/B8</f>
        <v>2.0587324770174904</v>
      </c>
      <c r="C19" s="8">
        <f>SQRT(C6^2-1)/C8</f>
        <v>2.0587324770174904</v>
      </c>
      <c r="D19" s="8">
        <f t="shared" ref="D19:J19" si="8">SQRT(D6^2-1)/D8</f>
        <v>2.0587324770174904</v>
      </c>
      <c r="E19" s="8">
        <f t="shared" si="8"/>
        <v>2.0587324770174904</v>
      </c>
      <c r="F19" s="8">
        <f t="shared" si="8"/>
        <v>2.0587324770174904</v>
      </c>
      <c r="G19" s="8">
        <f t="shared" si="8"/>
        <v>2.0587324770174904</v>
      </c>
      <c r="H19" s="8">
        <f t="shared" si="8"/>
        <v>2.0587324770174904</v>
      </c>
      <c r="I19" s="8">
        <f t="shared" si="8"/>
        <v>2.0587324770174904</v>
      </c>
      <c r="J19" s="8">
        <f t="shared" si="8"/>
        <v>2.0587324770174904</v>
      </c>
    </row>
    <row r="20" spans="1:10" x14ac:dyDescent="0.3">
      <c r="A20" t="s">
        <v>68</v>
      </c>
      <c r="B20" s="8">
        <f>(1+(B9/B1)*(B6-1))^2-1</f>
        <v>13.299847291859569</v>
      </c>
      <c r="C20" s="8">
        <f t="shared" ref="C20:J20" si="9">(1+(C9/C1)*(C6-1))^2-1</f>
        <v>8.3416493895253172</v>
      </c>
      <c r="D20" s="8">
        <f t="shared" si="9"/>
        <v>5.1690030236160496</v>
      </c>
      <c r="E20" s="8">
        <f t="shared" si="9"/>
        <v>3.1404325184723003</v>
      </c>
      <c r="F20" s="8">
        <f t="shared" si="9"/>
        <v>1.8475728131111882</v>
      </c>
      <c r="G20" s="8">
        <f t="shared" si="9"/>
        <v>1.0286566022506944</v>
      </c>
      <c r="H20" s="8">
        <f t="shared" si="9"/>
        <v>0.51773502352623457</v>
      </c>
      <c r="I20" s="8">
        <f t="shared" si="9"/>
        <v>0.2117416818519291</v>
      </c>
      <c r="J20" s="8">
        <f t="shared" si="9"/>
        <v>5.0294178824151325E-2</v>
      </c>
    </row>
    <row r="21" spans="1:10" x14ac:dyDescent="0.3">
      <c r="A21" t="s">
        <v>69</v>
      </c>
      <c r="B21" s="8">
        <f>(1/B8)*SQRT(B20)</f>
        <v>1.6367002823317243</v>
      </c>
      <c r="C21" s="8">
        <f t="shared" ref="C21:J21" si="10">(1/C8)*SQRT(C20)</f>
        <v>1.2961993402577889</v>
      </c>
      <c r="D21" s="8">
        <f t="shared" si="10"/>
        <v>1.0203501277955269</v>
      </c>
      <c r="E21" s="8">
        <f t="shared" si="10"/>
        <v>0.79531754448072256</v>
      </c>
      <c r="F21" s="8">
        <f t="shared" si="10"/>
        <v>0.610023564482022</v>
      </c>
      <c r="G21" s="8">
        <f t="shared" si="10"/>
        <v>0.45517776500992729</v>
      </c>
      <c r="H21" s="8">
        <f t="shared" si="10"/>
        <v>0.32292346405047623</v>
      </c>
      <c r="I21" s="8">
        <f t="shared" si="10"/>
        <v>0.20651376727522594</v>
      </c>
      <c r="J21" s="8">
        <f t="shared" si="10"/>
        <v>0.10064789375928615</v>
      </c>
    </row>
    <row r="22" spans="1:10" x14ac:dyDescent="0.3">
      <c r="A22" t="s">
        <v>57</v>
      </c>
      <c r="B22" s="8">
        <f>1-B7-B19+B21</f>
        <v>-0.32203219468576605</v>
      </c>
      <c r="C22" s="8">
        <f>1-C7-C19+C21</f>
        <v>-0.56253313675970151</v>
      </c>
      <c r="D22" s="8">
        <f t="shared" ref="D22:J22" si="11">1-D7-D19+D21</f>
        <v>-0.73838234922196344</v>
      </c>
      <c r="E22" s="8">
        <f t="shared" si="11"/>
        <v>-0.86341493253676793</v>
      </c>
      <c r="F22" s="8">
        <f t="shared" si="11"/>
        <v>-0.94870891253546841</v>
      </c>
      <c r="G22" s="8">
        <f t="shared" si="11"/>
        <v>-1.003554712007563</v>
      </c>
      <c r="H22" s="8">
        <f t="shared" si="11"/>
        <v>-1.0358090129670141</v>
      </c>
      <c r="I22" s="8">
        <f t="shared" si="11"/>
        <v>-1.0522187097422644</v>
      </c>
      <c r="J22" s="8">
        <f t="shared" si="11"/>
        <v>-1.0580845832582044</v>
      </c>
    </row>
    <row r="23" spans="1:10" x14ac:dyDescent="0.3"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t="s">
        <v>90</v>
      </c>
      <c r="B25" s="8">
        <f>(B16-B17-B18*B22)</f>
        <v>-1.4619345300237778E-2</v>
      </c>
      <c r="C25" s="8">
        <f>(C16-C17-C18*C22)</f>
        <v>-2.1556401912516947E-2</v>
      </c>
      <c r="D25" s="8">
        <f t="shared" ref="D25:J25" si="12">(D16-D17-D18*D22)</f>
        <v>-2.3423124987160995E-2</v>
      </c>
      <c r="E25" s="8">
        <f t="shared" si="12"/>
        <v>-2.214331868632731E-2</v>
      </c>
      <c r="F25" s="8">
        <f t="shared" si="12"/>
        <v>-1.9135033061320444E-2</v>
      </c>
      <c r="G25" s="8">
        <f t="shared" si="12"/>
        <v>-1.5427547402820929E-2</v>
      </c>
      <c r="H25" s="8">
        <f t="shared" si="12"/>
        <v>-1.1758859059712273E-2</v>
      </c>
      <c r="I25" s="8">
        <f t="shared" si="12"/>
        <v>-8.6567390597948463E-3</v>
      </c>
      <c r="J25" s="8">
        <f t="shared" si="12"/>
        <v>-6.5761058920946747E-3</v>
      </c>
    </row>
    <row r="26" spans="1:10" x14ac:dyDescent="0.3">
      <c r="A26" t="s">
        <v>91</v>
      </c>
      <c r="B26" s="8">
        <f>(B14-B15-(1-B10)*B25)</f>
        <v>5.5617967193126068E-3</v>
      </c>
      <c r="C26" s="8">
        <f>(C14-C15-(1-C10)*C25)</f>
        <v>1.1502194502314905E-2</v>
      </c>
      <c r="D26" s="8">
        <f t="shared" ref="D26:J26" si="13">(D14-D15-(1-D10)*D25)</f>
        <v>1.7589420803154655E-2</v>
      </c>
      <c r="E26" s="8">
        <f t="shared" si="13"/>
        <v>2.3530438098163922E-2</v>
      </c>
      <c r="F26" s="8">
        <f t="shared" si="13"/>
        <v>2.9058012025478048E-2</v>
      </c>
      <c r="G26" s="8">
        <f t="shared" si="13"/>
        <v>3.3901781848595713E-2</v>
      </c>
      <c r="H26" s="8">
        <f t="shared" si="13"/>
        <v>3.7822527321618754E-2</v>
      </c>
      <c r="I26" s="8">
        <f t="shared" si="13"/>
        <v>4.0643399440101355E-2</v>
      </c>
      <c r="J26" s="8">
        <f t="shared" si="13"/>
        <v>4.2340779460669407E-2</v>
      </c>
    </row>
    <row r="27" spans="1:10" x14ac:dyDescent="0.3">
      <c r="A27" s="10" t="s">
        <v>89</v>
      </c>
      <c r="B27" s="11">
        <f>B13*B26</f>
        <v>2.816099604715244E-5</v>
      </c>
      <c r="C27" s="11">
        <f t="shared" ref="C27:J27" si="14">C13*C26</f>
        <v>5.8238959505391929E-5</v>
      </c>
      <c r="D27" s="11">
        <f t="shared" si="14"/>
        <v>8.9060358496985601E-5</v>
      </c>
      <c r="E27" s="11">
        <f t="shared" si="14"/>
        <v>1.1914145872488062E-4</v>
      </c>
      <c r="F27" s="11">
        <f t="shared" si="14"/>
        <v>1.4712917481254708E-4</v>
      </c>
      <c r="G27" s="11">
        <f t="shared" si="14"/>
        <v>1.7165459163845931E-4</v>
      </c>
      <c r="H27" s="11">
        <f t="shared" si="14"/>
        <v>1.9150646745123419E-4</v>
      </c>
      <c r="I27" s="11">
        <f t="shared" si="14"/>
        <v>2.0578936425367776E-4</v>
      </c>
      <c r="J27" s="11">
        <f t="shared" si="14"/>
        <v>2.1438369347174383E-4</v>
      </c>
    </row>
    <row r="28" spans="1:10" x14ac:dyDescent="0.3">
      <c r="A28" t="s">
        <v>88</v>
      </c>
      <c r="B28" s="8">
        <v>1.2459999999999999E-4</v>
      </c>
      <c r="C28" s="8">
        <v>1.2459999999999999E-4</v>
      </c>
      <c r="D28" s="8">
        <v>1.2459999999999999E-4</v>
      </c>
      <c r="E28" s="8">
        <v>1.2459999999999999E-4</v>
      </c>
      <c r="F28" s="8">
        <v>1.2459999999999999E-4</v>
      </c>
      <c r="G28" s="8">
        <v>1.2459999999999999E-4</v>
      </c>
      <c r="H28" s="8">
        <v>1.2459999999999999E-4</v>
      </c>
      <c r="I28" s="8">
        <v>1.2459999999999999E-4</v>
      </c>
      <c r="J28" s="8">
        <v>1.2459999999999999E-4</v>
      </c>
    </row>
    <row r="29" spans="1:10" x14ac:dyDescent="0.3"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t="s">
        <v>38</v>
      </c>
      <c r="B30" s="8">
        <f>B27/B28</f>
        <v>0.22601120423075796</v>
      </c>
      <c r="C30" s="8">
        <f>C27/C28</f>
        <v>0.46740737965804119</v>
      </c>
      <c r="D30" s="8">
        <f t="shared" ref="D30:J30" si="15">D27/D28</f>
        <v>0.71477013239956344</v>
      </c>
      <c r="E30" s="8">
        <f t="shared" si="15"/>
        <v>0.9561914825431832</v>
      </c>
      <c r="F30" s="8">
        <f t="shared" si="15"/>
        <v>1.180811996890426</v>
      </c>
      <c r="G30" s="8">
        <f t="shared" si="15"/>
        <v>1.377645197740444</v>
      </c>
      <c r="H30" s="8">
        <f t="shared" si="15"/>
        <v>1.5369700437498732</v>
      </c>
      <c r="I30" s="8">
        <f t="shared" si="15"/>
        <v>1.6516000341386659</v>
      </c>
      <c r="J30" s="8">
        <f t="shared" si="15"/>
        <v>1.7205753890188109</v>
      </c>
    </row>
    <row r="32" spans="1:10" x14ac:dyDescent="0.3">
      <c r="A32" t="s">
        <v>92</v>
      </c>
      <c r="B32">
        <f>B14-B15</f>
        <v>-4.1074382622646594E-3</v>
      </c>
      <c r="C32">
        <f t="shared" ref="C32:J32" si="16">C14-C15</f>
        <v>-2.7552097226238026E-3</v>
      </c>
      <c r="D32">
        <f t="shared" si="16"/>
        <v>2.0973659366463754E-3</v>
      </c>
      <c r="E32">
        <f t="shared" si="16"/>
        <v>8.8848471190270395E-3</v>
      </c>
      <c r="F32">
        <f t="shared" si="16"/>
        <v>1.6402101158720706E-2</v>
      </c>
      <c r="G32">
        <f t="shared" si="16"/>
        <v>2.3698001996369955E-2</v>
      </c>
      <c r="H32">
        <f t="shared" si="16"/>
        <v>3.0045217939525054E-2</v>
      </c>
      <c r="I32">
        <f t="shared" si="16"/>
        <v>3.4917832225953044E-2</v>
      </c>
      <c r="J32">
        <f t="shared" si="16"/>
        <v>3.7991343023637991E-2</v>
      </c>
    </row>
    <row r="35" spans="1:11" x14ac:dyDescent="0.3">
      <c r="A35" t="s">
        <v>93</v>
      </c>
      <c r="B35">
        <f>B32/B28</f>
        <v>-32.964994079170623</v>
      </c>
      <c r="C35">
        <f t="shared" ref="C35:J35" si="17">C32/C28</f>
        <v>-22.112437581250422</v>
      </c>
      <c r="D35">
        <f t="shared" si="17"/>
        <v>16.832792428943623</v>
      </c>
      <c r="E35">
        <f t="shared" si="17"/>
        <v>71.306959221725847</v>
      </c>
      <c r="F35">
        <f t="shared" si="17"/>
        <v>131.63805103307149</v>
      </c>
      <c r="G35">
        <f t="shared" si="17"/>
        <v>190.19263239462245</v>
      </c>
      <c r="H35">
        <f t="shared" si="17"/>
        <v>241.13337030116418</v>
      </c>
      <c r="I35">
        <f t="shared" si="17"/>
        <v>280.23942396431016</v>
      </c>
      <c r="J35">
        <f t="shared" si="17"/>
        <v>304.90644481250393</v>
      </c>
    </row>
    <row r="37" spans="1:11" x14ac:dyDescent="0.3">
      <c r="A37" t="s">
        <v>94</v>
      </c>
      <c r="B37">
        <f>B32-(1-B10)*B25</f>
        <v>5.5617967193126068E-3</v>
      </c>
      <c r="C37">
        <f t="shared" ref="C37:J37" si="18">C32-(1-C10)*C25</f>
        <v>1.1502194502314905E-2</v>
      </c>
      <c r="D37">
        <f t="shared" si="18"/>
        <v>1.7589420803154655E-2</v>
      </c>
      <c r="E37">
        <f t="shared" si="18"/>
        <v>2.3530438098163922E-2</v>
      </c>
      <c r="F37">
        <f t="shared" si="18"/>
        <v>2.9058012025478048E-2</v>
      </c>
      <c r="G37">
        <f t="shared" si="18"/>
        <v>3.3901781848595713E-2</v>
      </c>
      <c r="H37">
        <f t="shared" si="18"/>
        <v>3.7822527321618754E-2</v>
      </c>
      <c r="I37">
        <f t="shared" si="18"/>
        <v>4.0643399440101355E-2</v>
      </c>
      <c r="J37">
        <f t="shared" si="18"/>
        <v>4.2340779460669407E-2</v>
      </c>
    </row>
    <row r="38" spans="1:11" x14ac:dyDescent="0.3">
      <c r="A38" t="s">
        <v>95</v>
      </c>
      <c r="B38">
        <f>(B37/B28)*B13</f>
        <v>0.22601120423075793</v>
      </c>
      <c r="C38">
        <f t="shared" ref="C38:J38" si="19">(C37/C28)*C13</f>
        <v>0.46740737965804119</v>
      </c>
      <c r="D38">
        <f t="shared" si="19"/>
        <v>0.71477013239956344</v>
      </c>
      <c r="E38">
        <f t="shared" si="19"/>
        <v>0.9561914825431832</v>
      </c>
      <c r="F38">
        <f t="shared" si="19"/>
        <v>1.180811996890426</v>
      </c>
      <c r="G38">
        <f t="shared" si="19"/>
        <v>1.3776451977404438</v>
      </c>
      <c r="H38">
        <f t="shared" si="19"/>
        <v>1.5369700437498732</v>
      </c>
      <c r="I38">
        <f t="shared" si="19"/>
        <v>1.6516000341386659</v>
      </c>
      <c r="J38">
        <f t="shared" si="19"/>
        <v>1.7205753890188109</v>
      </c>
      <c r="K38">
        <f>1.751</f>
        <v>1.7509999999999999</v>
      </c>
    </row>
    <row r="39" spans="1:11" x14ac:dyDescent="0.3">
      <c r="B39">
        <f>B38*6.785</f>
        <v>1.5334860207056926</v>
      </c>
      <c r="C39">
        <f t="shared" ref="C39:J39" si="20">C38*6.785</f>
        <v>3.1713590709798094</v>
      </c>
      <c r="D39">
        <f t="shared" si="20"/>
        <v>4.8497153483310385</v>
      </c>
      <c r="E39">
        <f t="shared" si="20"/>
        <v>6.4877592090554979</v>
      </c>
      <c r="F39">
        <f t="shared" si="20"/>
        <v>8.0118093989015406</v>
      </c>
      <c r="G39">
        <f t="shared" si="20"/>
        <v>9.3473226666689122</v>
      </c>
      <c r="H39">
        <f t="shared" si="20"/>
        <v>10.428341746842889</v>
      </c>
      <c r="I39">
        <f t="shared" si="20"/>
        <v>11.206106231630848</v>
      </c>
      <c r="J39">
        <f t="shared" si="20"/>
        <v>11.674104014492633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="145" zoomScaleNormal="145" workbookViewId="0">
      <selection activeCell="B42" sqref="B42"/>
    </sheetView>
  </sheetViews>
  <sheetFormatPr defaultRowHeight="14.4" x14ac:dyDescent="0.3"/>
  <cols>
    <col min="1" max="1" width="30.44140625" customWidth="1"/>
    <col min="2" max="2" width="15" style="9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  <col min="11" max="11" width="18.109375" customWidth="1"/>
  </cols>
  <sheetData>
    <row r="1" spans="1:11" x14ac:dyDescent="0.3">
      <c r="A1" t="s">
        <v>28</v>
      </c>
      <c r="B1" s="9">
        <v>180</v>
      </c>
      <c r="C1" s="9">
        <v>180</v>
      </c>
      <c r="D1" s="9">
        <v>180</v>
      </c>
      <c r="E1" s="9">
        <v>180</v>
      </c>
      <c r="F1" s="9">
        <v>180</v>
      </c>
      <c r="G1" s="9">
        <v>180</v>
      </c>
      <c r="H1" s="9">
        <v>180</v>
      </c>
      <c r="I1" s="9">
        <v>180</v>
      </c>
      <c r="J1" s="9">
        <v>180</v>
      </c>
      <c r="K1" s="9">
        <v>180</v>
      </c>
    </row>
    <row r="2" spans="1:11" x14ac:dyDescent="0.3">
      <c r="A2" t="s">
        <v>45</v>
      </c>
      <c r="B2" s="9">
        <v>1200</v>
      </c>
      <c r="C2" s="9">
        <v>1200</v>
      </c>
      <c r="D2" s="9">
        <v>1200</v>
      </c>
      <c r="E2" s="9">
        <v>1200</v>
      </c>
      <c r="F2" s="9">
        <v>1200</v>
      </c>
      <c r="G2" s="9">
        <v>1200</v>
      </c>
      <c r="H2" s="9">
        <v>1200</v>
      </c>
      <c r="I2" s="9">
        <v>1200</v>
      </c>
      <c r="J2" s="9">
        <v>1200</v>
      </c>
      <c r="K2" s="9">
        <v>1200</v>
      </c>
    </row>
    <row r="3" spans="1:11" x14ac:dyDescent="0.3">
      <c r="A3" t="s">
        <v>12</v>
      </c>
      <c r="B3" s="9">
        <v>2000000</v>
      </c>
      <c r="C3" s="9">
        <v>2000000</v>
      </c>
      <c r="D3" s="9">
        <v>2000000</v>
      </c>
      <c r="E3" s="9">
        <v>2000000</v>
      </c>
      <c r="F3" s="9">
        <v>2000000</v>
      </c>
      <c r="G3" s="9">
        <v>2000000</v>
      </c>
      <c r="H3" s="9">
        <v>2000000</v>
      </c>
      <c r="I3" s="9">
        <v>2000000</v>
      </c>
      <c r="J3" s="9">
        <v>2000000</v>
      </c>
      <c r="K3" s="9">
        <v>2000000</v>
      </c>
    </row>
    <row r="4" spans="1:11" x14ac:dyDescent="0.3">
      <c r="A4" t="s">
        <v>14</v>
      </c>
      <c r="B4" s="9">
        <v>6399</v>
      </c>
      <c r="C4" s="9">
        <v>6399</v>
      </c>
      <c r="D4" s="9">
        <v>6399</v>
      </c>
      <c r="E4" s="9">
        <v>6399</v>
      </c>
      <c r="F4" s="9">
        <v>6399</v>
      </c>
      <c r="G4" s="9">
        <v>6399</v>
      </c>
      <c r="H4" s="9">
        <v>6399</v>
      </c>
      <c r="I4" s="9">
        <v>6399</v>
      </c>
      <c r="J4" s="9">
        <v>6399</v>
      </c>
      <c r="K4" s="9">
        <v>6399</v>
      </c>
    </row>
    <row r="5" spans="1:11" x14ac:dyDescent="0.3">
      <c r="A5" t="s">
        <v>46</v>
      </c>
      <c r="B5" s="9">
        <v>37.85</v>
      </c>
      <c r="C5" s="9">
        <v>37.85</v>
      </c>
      <c r="D5" s="9">
        <v>37.85</v>
      </c>
      <c r="E5" s="9">
        <v>37.85</v>
      </c>
      <c r="F5" s="9">
        <v>37.85</v>
      </c>
      <c r="G5" s="9">
        <v>37.85</v>
      </c>
      <c r="H5" s="9">
        <v>37.85</v>
      </c>
      <c r="I5" s="9">
        <v>37.85</v>
      </c>
      <c r="J5" s="9">
        <v>37.85</v>
      </c>
      <c r="K5" s="9">
        <v>37.85</v>
      </c>
    </row>
    <row r="6" spans="1:11" x14ac:dyDescent="0.3">
      <c r="A6" t="s">
        <v>27</v>
      </c>
      <c r="B6" s="9">
        <v>4.6950000000000003</v>
      </c>
      <c r="C6" s="9">
        <v>4.6950000000000003</v>
      </c>
      <c r="D6" s="9">
        <v>4.6950000000000003</v>
      </c>
      <c r="E6" s="9">
        <v>4.6950000000000003</v>
      </c>
      <c r="F6" s="9">
        <v>4.6950000000000003</v>
      </c>
      <c r="G6" s="9">
        <v>4.6950000000000003</v>
      </c>
      <c r="H6" s="9">
        <v>4.6950000000000003</v>
      </c>
      <c r="I6" s="9">
        <v>4.6950000000000003</v>
      </c>
      <c r="J6" s="9">
        <v>4.6950000000000003</v>
      </c>
      <c r="K6" s="9">
        <v>4.6950000000000003</v>
      </c>
    </row>
    <row r="7" spans="1:11" x14ac:dyDescent="0.3">
      <c r="A7" t="s">
        <v>48</v>
      </c>
      <c r="B7" s="9">
        <v>0.9</v>
      </c>
      <c r="C7" s="9">
        <v>0.8</v>
      </c>
      <c r="D7" s="9">
        <v>0.7</v>
      </c>
      <c r="E7" s="9">
        <v>0.6</v>
      </c>
      <c r="F7" s="9">
        <v>0.5</v>
      </c>
      <c r="G7" s="9">
        <v>0.4</v>
      </c>
      <c r="H7" s="9">
        <v>0.3</v>
      </c>
      <c r="I7" s="9">
        <v>0.2</v>
      </c>
      <c r="J7" s="9">
        <v>0.1</v>
      </c>
      <c r="K7" s="9">
        <v>0</v>
      </c>
    </row>
    <row r="8" spans="1:11" x14ac:dyDescent="0.3">
      <c r="A8" t="s">
        <v>29</v>
      </c>
      <c r="B8" s="9">
        <v>2.2282000000000002</v>
      </c>
      <c r="C8" s="9">
        <v>2.2282000000000002</v>
      </c>
      <c r="D8" s="9">
        <v>2.2282000000000002</v>
      </c>
      <c r="E8" s="9">
        <v>2.2282000000000002</v>
      </c>
      <c r="F8" s="9">
        <v>2.2282000000000002</v>
      </c>
      <c r="G8" s="9">
        <v>2.2282000000000002</v>
      </c>
      <c r="H8" s="9">
        <v>2.2282000000000002</v>
      </c>
      <c r="I8" s="9">
        <v>2.2282000000000002</v>
      </c>
      <c r="J8" s="9">
        <v>2.2282000000000002</v>
      </c>
      <c r="K8" s="9">
        <v>2.2282000000000002</v>
      </c>
    </row>
    <row r="9" spans="1:11" x14ac:dyDescent="0.3">
      <c r="A9" t="s">
        <v>47</v>
      </c>
      <c r="B9" s="9">
        <v>135.5</v>
      </c>
      <c r="C9" s="9">
        <v>100.17700000000001</v>
      </c>
      <c r="D9" s="9">
        <v>72.28</v>
      </c>
      <c r="E9" s="9">
        <v>50.41</v>
      </c>
      <c r="F9" s="9">
        <v>33.49</v>
      </c>
      <c r="G9" s="9">
        <v>20.67</v>
      </c>
      <c r="H9" s="9">
        <v>11.3</v>
      </c>
      <c r="I9" s="9">
        <v>4.91</v>
      </c>
      <c r="J9" s="9">
        <v>1.21</v>
      </c>
      <c r="K9" s="9">
        <v>0</v>
      </c>
    </row>
    <row r="10" spans="1:11" x14ac:dyDescent="0.3">
      <c r="A10" t="s">
        <v>18</v>
      </c>
      <c r="B10" s="9">
        <v>0.33900000000000002</v>
      </c>
      <c r="C10" s="9">
        <v>0.33900000000000002</v>
      </c>
      <c r="D10" s="9">
        <v>0.33900000000000002</v>
      </c>
      <c r="E10" s="9">
        <v>0.33900000000000002</v>
      </c>
      <c r="F10" s="9">
        <v>0.33900000000000002</v>
      </c>
      <c r="G10" s="9">
        <v>0.33900000000000002</v>
      </c>
      <c r="H10" s="9">
        <v>0.33900000000000002</v>
      </c>
      <c r="I10" s="9">
        <v>0.33900000000000002</v>
      </c>
      <c r="J10" s="9">
        <v>0.33900000000000002</v>
      </c>
      <c r="K10" s="9">
        <v>0.33900000000000002</v>
      </c>
    </row>
    <row r="11" spans="1:11" x14ac:dyDescent="0.3">
      <c r="A11" t="s">
        <v>67</v>
      </c>
      <c r="B11" s="9">
        <f>B2*B1*B1</f>
        <v>38880000</v>
      </c>
      <c r="C11" s="9">
        <f>C2*C1*C1</f>
        <v>38880000</v>
      </c>
      <c r="D11" s="9">
        <f t="shared" ref="D11:J11" si="0">D2*D1*D1</f>
        <v>38880000</v>
      </c>
      <c r="E11" s="9">
        <f t="shared" si="0"/>
        <v>38880000</v>
      </c>
      <c r="F11" s="9">
        <f t="shared" si="0"/>
        <v>38880000</v>
      </c>
      <c r="G11" s="9">
        <f t="shared" si="0"/>
        <v>38880000</v>
      </c>
      <c r="H11" s="9">
        <f t="shared" si="0"/>
        <v>38880000</v>
      </c>
      <c r="I11" s="9">
        <f t="shared" si="0"/>
        <v>38880000</v>
      </c>
      <c r="J11" s="9">
        <f t="shared" si="0"/>
        <v>38880000</v>
      </c>
      <c r="K11" s="9">
        <f t="shared" ref="K11" si="1">K2*K1*K1</f>
        <v>38880000</v>
      </c>
    </row>
    <row r="12" spans="1:11" x14ac:dyDescent="0.3">
      <c r="A12" t="s">
        <v>68</v>
      </c>
      <c r="B12" s="9">
        <f>4*B3*B4</f>
        <v>51192000000</v>
      </c>
      <c r="C12" s="9">
        <f>4*C3*C4</f>
        <v>51192000000</v>
      </c>
      <c r="D12" s="9">
        <f t="shared" ref="D12:J12" si="2">4*D3*D4</f>
        <v>51192000000</v>
      </c>
      <c r="E12" s="9">
        <f t="shared" si="2"/>
        <v>51192000000</v>
      </c>
      <c r="F12" s="9">
        <f t="shared" si="2"/>
        <v>51192000000</v>
      </c>
      <c r="G12" s="9">
        <f t="shared" si="2"/>
        <v>51192000000</v>
      </c>
      <c r="H12" s="9">
        <f t="shared" si="2"/>
        <v>51192000000</v>
      </c>
      <c r="I12" s="9">
        <f t="shared" si="2"/>
        <v>51192000000</v>
      </c>
      <c r="J12" s="9">
        <f t="shared" si="2"/>
        <v>51192000000</v>
      </c>
      <c r="K12" s="9">
        <f t="shared" ref="K12" si="3">4*K3*K4</f>
        <v>51192000000</v>
      </c>
    </row>
    <row r="13" spans="1:11" x14ac:dyDescent="0.3">
      <c r="A13" s="10" t="s">
        <v>50</v>
      </c>
      <c r="B13" s="11">
        <f>(B2*B2*B1)/(4*B3*B4)</f>
        <v>5.0632911392405064E-3</v>
      </c>
      <c r="C13" s="11">
        <f t="shared" ref="C13:J13" si="4">(C2*C2*C1)/(4*C3*C4)</f>
        <v>5.0632911392405064E-3</v>
      </c>
      <c r="D13" s="11">
        <f t="shared" si="4"/>
        <v>5.0632911392405064E-3</v>
      </c>
      <c r="E13" s="11">
        <f t="shared" si="4"/>
        <v>5.0632911392405064E-3</v>
      </c>
      <c r="F13" s="11">
        <f t="shared" si="4"/>
        <v>5.0632911392405064E-3</v>
      </c>
      <c r="G13" s="11">
        <f t="shared" si="4"/>
        <v>5.0632911392405064E-3</v>
      </c>
      <c r="H13" s="11">
        <f t="shared" si="4"/>
        <v>5.0632911392405064E-3</v>
      </c>
      <c r="I13" s="11">
        <f t="shared" si="4"/>
        <v>5.0632911392405064E-3</v>
      </c>
      <c r="J13" s="11">
        <f t="shared" si="4"/>
        <v>5.0632911392405064E-3</v>
      </c>
      <c r="K13" s="11">
        <f t="shared" ref="K13" si="5">(K2*K2*K1)/(4*K3*K4)</f>
        <v>5.0632911392405064E-3</v>
      </c>
    </row>
    <row r="14" spans="1:11" x14ac:dyDescent="0.3">
      <c r="A14" t="s">
        <v>52</v>
      </c>
      <c r="B14" s="11">
        <v>4.5502000000000001E-2</v>
      </c>
      <c r="C14" s="11">
        <f>((C5/C1)+(1/(C6-1)))*((1-C7^2)/2)</f>
        <v>8.6564479025710392E-2</v>
      </c>
      <c r="D14" s="11">
        <f t="shared" ref="D14:J14" si="6">((D5/D1)+(1/(D6-1)))*((1-D7^2)/2)</f>
        <v>0.12263301195308976</v>
      </c>
      <c r="E14" s="11">
        <f t="shared" si="6"/>
        <v>0.15389240715681854</v>
      </c>
      <c r="F14" s="11">
        <f t="shared" si="6"/>
        <v>0.18034266463689672</v>
      </c>
      <c r="G14" s="11">
        <f t="shared" si="6"/>
        <v>0.20198378439332432</v>
      </c>
      <c r="H14" s="11">
        <f t="shared" si="6"/>
        <v>0.21881576642610134</v>
      </c>
      <c r="I14" s="11">
        <f t="shared" si="6"/>
        <v>0.23083861073522777</v>
      </c>
      <c r="J14" s="11">
        <f t="shared" si="6"/>
        <v>0.23805231732070364</v>
      </c>
      <c r="K14" s="11">
        <f t="shared" ref="K14" si="7">((K5/K1)+(1/(K6-1)))*((1-K7^2)/2)</f>
        <v>0.24045688618252894</v>
      </c>
    </row>
    <row r="15" spans="1:11" x14ac:dyDescent="0.3">
      <c r="A15" t="s">
        <v>53</v>
      </c>
      <c r="B15" s="9">
        <f>(1/(B8^2))*(1-(B9/B1))</f>
        <v>4.9794246636945143E-2</v>
      </c>
      <c r="C15" s="9">
        <f>(1/(C8^2))*(1-(C9/C1))</f>
        <v>8.9319688748334194E-2</v>
      </c>
      <c r="D15" s="9">
        <f t="shared" ref="D15:J15" si="8">(1/(D8^2))*(1-(D9/D1))</f>
        <v>0.12053564601644338</v>
      </c>
      <c r="E15" s="9">
        <f t="shared" si="8"/>
        <v>0.1450075600377915</v>
      </c>
      <c r="F15" s="9">
        <f t="shared" si="8"/>
        <v>0.16394056347817601</v>
      </c>
      <c r="G15" s="9">
        <f t="shared" si="8"/>
        <v>0.17828578239695436</v>
      </c>
      <c r="H15" s="9">
        <f t="shared" si="8"/>
        <v>0.18877054848657629</v>
      </c>
      <c r="I15" s="9">
        <f t="shared" si="8"/>
        <v>0.19592077850927472</v>
      </c>
      <c r="J15" s="9">
        <f t="shared" si="8"/>
        <v>0.20006097429706565</v>
      </c>
      <c r="K15" s="9">
        <f t="shared" ref="K15" si="9">(1/(K8^2))*(1-(K9/K1))</f>
        <v>0.20141493021685675</v>
      </c>
    </row>
    <row r="16" spans="1:11" x14ac:dyDescent="0.3">
      <c r="A16" t="s">
        <v>54</v>
      </c>
      <c r="B16" s="9">
        <f>B14/3</f>
        <v>1.5167333333333333E-2</v>
      </c>
      <c r="C16" s="9">
        <f>C14/3</f>
        <v>2.8854826341903464E-2</v>
      </c>
      <c r="D16" s="9">
        <f t="shared" ref="D16:J16" si="10">D14/3</f>
        <v>4.0877670651029922E-2</v>
      </c>
      <c r="E16" s="9">
        <f t="shared" si="10"/>
        <v>5.1297469052272844E-2</v>
      </c>
      <c r="F16" s="9">
        <f t="shared" si="10"/>
        <v>6.0114221545632236E-2</v>
      </c>
      <c r="G16" s="9">
        <f t="shared" si="10"/>
        <v>6.7327928131108106E-2</v>
      </c>
      <c r="H16" s="9">
        <f t="shared" si="10"/>
        <v>7.2938588808700452E-2</v>
      </c>
      <c r="I16" s="9">
        <f t="shared" si="10"/>
        <v>7.6946203578409256E-2</v>
      </c>
      <c r="J16" s="9">
        <f t="shared" si="10"/>
        <v>7.9350772440234543E-2</v>
      </c>
      <c r="K16" s="9">
        <f t="shared" ref="K16" si="11">K14/3</f>
        <v>8.0152295394176315E-2</v>
      </c>
    </row>
    <row r="17" spans="1:11" x14ac:dyDescent="0.3">
      <c r="A17" t="s">
        <v>55</v>
      </c>
      <c r="B17" s="9">
        <f>(1/(B8^2))*(1-B7*(B9/B1))</f>
        <v>6.4956314994936301E-2</v>
      </c>
      <c r="C17" s="9">
        <f>(1/(C8^2))*(1-C7*(C9/C1))</f>
        <v>0.11173873704203871</v>
      </c>
      <c r="D17" s="9">
        <f t="shared" ref="D17:J17" si="12">(1/(D8^2))*(1-D7*(D9/D1))</f>
        <v>0.14479943127656739</v>
      </c>
      <c r="E17" s="9">
        <f t="shared" si="12"/>
        <v>0.16757050810941757</v>
      </c>
      <c r="F17" s="9">
        <f t="shared" si="12"/>
        <v>0.18267774684751636</v>
      </c>
      <c r="G17" s="9">
        <f t="shared" si="12"/>
        <v>0.19216327108889578</v>
      </c>
      <c r="H17" s="9">
        <f t="shared" si="12"/>
        <v>0.19762161569777262</v>
      </c>
      <c r="I17" s="9">
        <f t="shared" si="12"/>
        <v>0.20031609987534035</v>
      </c>
      <c r="J17" s="9">
        <f t="shared" si="12"/>
        <v>0.20127953462487763</v>
      </c>
      <c r="K17" s="9">
        <f t="shared" ref="K17" si="13">(1/(K8^2))*(1-K7*(K9/K1))</f>
        <v>0.20141493021685675</v>
      </c>
    </row>
    <row r="18" spans="1:11" x14ac:dyDescent="0.3">
      <c r="A18" t="s">
        <v>56</v>
      </c>
      <c r="B18" s="9">
        <f>2/(B8^2*(B6-1))</f>
        <v>0.10902025992793328</v>
      </c>
      <c r="C18" s="9">
        <f>2/(C8^2*(C6-1))</f>
        <v>0.10902025992793328</v>
      </c>
      <c r="D18" s="9">
        <f t="shared" ref="D18:J18" si="14">2/(D8^2*(D6-1))</f>
        <v>0.10902025992793328</v>
      </c>
      <c r="E18" s="9">
        <f t="shared" si="14"/>
        <v>0.10902025992793328</v>
      </c>
      <c r="F18" s="9">
        <f t="shared" si="14"/>
        <v>0.10902025992793328</v>
      </c>
      <c r="G18" s="9">
        <f t="shared" si="14"/>
        <v>0.10902025992793328</v>
      </c>
      <c r="H18" s="9">
        <f t="shared" si="14"/>
        <v>0.10902025992793328</v>
      </c>
      <c r="I18" s="9">
        <f t="shared" si="14"/>
        <v>0.10902025992793328</v>
      </c>
      <c r="J18" s="9">
        <f t="shared" si="14"/>
        <v>0.10902025992793328</v>
      </c>
      <c r="K18" s="9">
        <f t="shared" ref="K18" si="15">2/(K8^2*(K6-1))</f>
        <v>0.10902025992793328</v>
      </c>
    </row>
    <row r="19" spans="1:11" x14ac:dyDescent="0.3">
      <c r="A19" t="s">
        <v>67</v>
      </c>
      <c r="B19" s="9">
        <f>SQRT(B6^2-1)/B8</f>
        <v>2.0587324770174904</v>
      </c>
      <c r="C19" s="9">
        <f>SQRT(C6^2-1)/C8</f>
        <v>2.0587324770174904</v>
      </c>
      <c r="D19" s="9">
        <f t="shared" ref="D19:J19" si="16">SQRT(D6^2-1)/D8</f>
        <v>2.0587324770174904</v>
      </c>
      <c r="E19" s="9">
        <f t="shared" si="16"/>
        <v>2.0587324770174904</v>
      </c>
      <c r="F19" s="9">
        <f t="shared" si="16"/>
        <v>2.0587324770174904</v>
      </c>
      <c r="G19" s="9">
        <f t="shared" si="16"/>
        <v>2.0587324770174904</v>
      </c>
      <c r="H19" s="9">
        <f t="shared" si="16"/>
        <v>2.0587324770174904</v>
      </c>
      <c r="I19" s="9">
        <f t="shared" si="16"/>
        <v>2.0587324770174904</v>
      </c>
      <c r="J19" s="9">
        <f t="shared" si="16"/>
        <v>2.0587324770174904</v>
      </c>
      <c r="K19" s="9">
        <f t="shared" ref="K19" si="17">SQRT(K6^2-1)/K8</f>
        <v>2.0587324770174904</v>
      </c>
    </row>
    <row r="20" spans="1:11" x14ac:dyDescent="0.3">
      <c r="A20" t="s">
        <v>68</v>
      </c>
      <c r="B20" s="9">
        <f>(1+(B9/B1)*(B6-1))^2-1</f>
        <v>13.299847291859569</v>
      </c>
      <c r="C20" s="9">
        <f t="shared" ref="C20:J20" si="18">(1+(C9/C1)*(C6-1))^2-1</f>
        <v>8.3416493895253172</v>
      </c>
      <c r="D20" s="9">
        <f t="shared" si="18"/>
        <v>5.1690030236160496</v>
      </c>
      <c r="E20" s="9">
        <f t="shared" si="18"/>
        <v>3.1404325184723003</v>
      </c>
      <c r="F20" s="9">
        <f t="shared" si="18"/>
        <v>1.8475728131111882</v>
      </c>
      <c r="G20" s="9">
        <f t="shared" si="18"/>
        <v>1.0286566022506944</v>
      </c>
      <c r="H20" s="9">
        <f t="shared" si="18"/>
        <v>0.51773502352623457</v>
      </c>
      <c r="I20" s="9">
        <f t="shared" si="18"/>
        <v>0.2117416818519291</v>
      </c>
      <c r="J20" s="9">
        <f t="shared" si="18"/>
        <v>5.0294178824151325E-2</v>
      </c>
      <c r="K20" s="9">
        <f t="shared" ref="K20" si="19">(1+(K9/K1)*(K6-1))^2-1</f>
        <v>0</v>
      </c>
    </row>
    <row r="21" spans="1:11" x14ac:dyDescent="0.3">
      <c r="A21" t="s">
        <v>69</v>
      </c>
      <c r="B21" s="9">
        <f>(1/B8)*SQRT(B20)</f>
        <v>1.6367002823317243</v>
      </c>
      <c r="C21" s="9">
        <f t="shared" ref="C21:J21" si="20">(1/C8)*SQRT(C20)</f>
        <v>1.2961993402577889</v>
      </c>
      <c r="D21" s="9">
        <f t="shared" si="20"/>
        <v>1.0203501277955269</v>
      </c>
      <c r="E21" s="9">
        <f t="shared" si="20"/>
        <v>0.79531754448072256</v>
      </c>
      <c r="F21" s="9">
        <f t="shared" si="20"/>
        <v>0.610023564482022</v>
      </c>
      <c r="G21" s="9">
        <f t="shared" si="20"/>
        <v>0.45517776500992729</v>
      </c>
      <c r="H21" s="9">
        <f t="shared" si="20"/>
        <v>0.32292346405047623</v>
      </c>
      <c r="I21" s="9">
        <f t="shared" si="20"/>
        <v>0.20651376727522594</v>
      </c>
      <c r="J21" s="9">
        <f t="shared" si="20"/>
        <v>0.10064789375928615</v>
      </c>
      <c r="K21" s="9">
        <f t="shared" ref="K21" si="21">(1/K8)*SQRT(K20)</f>
        <v>0</v>
      </c>
    </row>
    <row r="22" spans="1:11" x14ac:dyDescent="0.3">
      <c r="A22" t="s">
        <v>57</v>
      </c>
      <c r="B22" s="9">
        <f>1-B7-B19+B21</f>
        <v>-0.32203219468576605</v>
      </c>
      <c r="C22" s="9">
        <f>1-C7-C19+C21</f>
        <v>-0.56253313675970151</v>
      </c>
      <c r="D22" s="9">
        <f t="shared" ref="D22:J22" si="22">1-D7-D19+D21</f>
        <v>-0.73838234922196344</v>
      </c>
      <c r="E22" s="9">
        <f t="shared" si="22"/>
        <v>-0.86341493253676793</v>
      </c>
      <c r="F22" s="9">
        <f t="shared" si="22"/>
        <v>-0.94870891253546841</v>
      </c>
      <c r="G22" s="9">
        <f t="shared" si="22"/>
        <v>-1.003554712007563</v>
      </c>
      <c r="H22" s="9">
        <f t="shared" si="22"/>
        <v>-1.0358090129670141</v>
      </c>
      <c r="I22" s="9">
        <f t="shared" si="22"/>
        <v>-1.0522187097422644</v>
      </c>
      <c r="J22" s="9">
        <f t="shared" si="22"/>
        <v>-1.0580845832582044</v>
      </c>
      <c r="K22" s="9">
        <f t="shared" ref="K22" si="23">1-K7-K19+K21</f>
        <v>-1.0587324770174904</v>
      </c>
    </row>
    <row r="23" spans="1:11" x14ac:dyDescent="0.3">
      <c r="C23" s="9"/>
      <c r="D23" s="9"/>
      <c r="E23" s="9"/>
      <c r="F23" s="9"/>
      <c r="G23" s="9"/>
      <c r="H23" s="9"/>
      <c r="I23" s="9"/>
      <c r="J23" s="9"/>
    </row>
    <row r="24" spans="1:11" x14ac:dyDescent="0.3">
      <c r="C24" s="9"/>
      <c r="D24" s="9"/>
      <c r="E24" s="9"/>
      <c r="F24" s="9"/>
      <c r="G24" s="9"/>
      <c r="H24" s="9"/>
      <c r="I24" s="9"/>
      <c r="J24" s="9"/>
    </row>
    <row r="25" spans="1:11" x14ac:dyDescent="0.3">
      <c r="A25" t="s">
        <v>96</v>
      </c>
      <c r="B25" s="9">
        <f>1+(B9/B1)*(B6-1)</f>
        <v>3.7815138888888891</v>
      </c>
      <c r="C25">
        <f t="shared" ref="C25:K25" si="24">1+(C9/C1)*(C6-1)</f>
        <v>3.0564111944444448</v>
      </c>
      <c r="D25">
        <f t="shared" si="24"/>
        <v>2.4837477777777779</v>
      </c>
      <c r="E25">
        <f t="shared" si="24"/>
        <v>2.0348052777777781</v>
      </c>
      <c r="F25">
        <f t="shared" si="24"/>
        <v>1.6874752777777777</v>
      </c>
      <c r="G25">
        <f t="shared" si="24"/>
        <v>1.4243091666666667</v>
      </c>
      <c r="H25">
        <f t="shared" si="24"/>
        <v>1.2319638888888889</v>
      </c>
      <c r="I25">
        <f t="shared" si="24"/>
        <v>1.1007913888888889</v>
      </c>
      <c r="J25">
        <f t="shared" si="24"/>
        <v>1.0248386111111112</v>
      </c>
      <c r="K25">
        <f t="shared" si="24"/>
        <v>1</v>
      </c>
    </row>
    <row r="26" spans="1:11" x14ac:dyDescent="0.3">
      <c r="A26" t="s">
        <v>97</v>
      </c>
      <c r="B26" s="9">
        <f>SQRT(B25^2-1)</f>
        <v>3.6468955690915483</v>
      </c>
      <c r="C26">
        <f t="shared" ref="C26:K26" si="25">SQRT(C25^2-1)</f>
        <v>2.8881913699624056</v>
      </c>
      <c r="D26">
        <f t="shared" si="25"/>
        <v>2.2735441547539934</v>
      </c>
      <c r="E26">
        <f t="shared" si="25"/>
        <v>1.7721265526119461</v>
      </c>
      <c r="F26">
        <f t="shared" si="25"/>
        <v>1.3592545063788415</v>
      </c>
      <c r="G26">
        <f t="shared" si="25"/>
        <v>1.0142270959951201</v>
      </c>
      <c r="H26">
        <f t="shared" si="25"/>
        <v>0.71953806259727116</v>
      </c>
      <c r="I26">
        <f t="shared" si="25"/>
        <v>0.46015397624265847</v>
      </c>
      <c r="J26">
        <f t="shared" si="25"/>
        <v>0.22426363687444142</v>
      </c>
      <c r="K26">
        <f t="shared" si="25"/>
        <v>0</v>
      </c>
    </row>
    <row r="27" spans="1:11" x14ac:dyDescent="0.3">
      <c r="A27" t="s">
        <v>99</v>
      </c>
      <c r="B27" s="9">
        <f>(1/B8)*B26</f>
        <v>1.6367002823317243</v>
      </c>
      <c r="C27">
        <f t="shared" ref="C27:K27" si="26">(1/C8)*C26</f>
        <v>1.2961993402577889</v>
      </c>
      <c r="D27">
        <f t="shared" si="26"/>
        <v>1.0203501277955269</v>
      </c>
      <c r="E27">
        <f t="shared" si="26"/>
        <v>0.79531754448072256</v>
      </c>
      <c r="F27">
        <f t="shared" si="26"/>
        <v>0.610023564482022</v>
      </c>
      <c r="G27">
        <f t="shared" si="26"/>
        <v>0.45517776500992729</v>
      </c>
      <c r="H27">
        <f t="shared" si="26"/>
        <v>0.32292346405047623</v>
      </c>
      <c r="I27">
        <f t="shared" si="26"/>
        <v>0.20651376727522594</v>
      </c>
      <c r="J27">
        <f t="shared" si="26"/>
        <v>0.10064789375928615</v>
      </c>
      <c r="K27">
        <f t="shared" si="26"/>
        <v>0</v>
      </c>
    </row>
    <row r="28" spans="1:11" x14ac:dyDescent="0.3">
      <c r="A28" t="s">
        <v>100</v>
      </c>
      <c r="B28" s="9">
        <f>SQRT(B6^2-1)/B8</f>
        <v>2.0587324770174904</v>
      </c>
      <c r="C28">
        <f t="shared" ref="C28:K28" si="27">SQRT(C6^2-1)/C8</f>
        <v>2.0587324770174904</v>
      </c>
      <c r="D28">
        <f t="shared" si="27"/>
        <v>2.0587324770174904</v>
      </c>
      <c r="E28">
        <f t="shared" si="27"/>
        <v>2.0587324770174904</v>
      </c>
      <c r="F28">
        <f t="shared" si="27"/>
        <v>2.0587324770174904</v>
      </c>
      <c r="G28">
        <f t="shared" si="27"/>
        <v>2.0587324770174904</v>
      </c>
      <c r="H28">
        <f t="shared" si="27"/>
        <v>2.0587324770174904</v>
      </c>
      <c r="I28">
        <f t="shared" si="27"/>
        <v>2.0587324770174904</v>
      </c>
      <c r="J28">
        <f t="shared" si="27"/>
        <v>2.0587324770174904</v>
      </c>
      <c r="K28">
        <f t="shared" si="27"/>
        <v>2.0587324770174904</v>
      </c>
    </row>
    <row r="29" spans="1:11" x14ac:dyDescent="0.3">
      <c r="A29" t="s">
        <v>98</v>
      </c>
      <c r="B29" s="9">
        <f>2/(B8^2*(B6-1))</f>
        <v>0.10902025992793328</v>
      </c>
      <c r="C29">
        <f t="shared" ref="C29:J29" si="28">2/(C8^2*(C6-1))</f>
        <v>0.10902025992793328</v>
      </c>
      <c r="D29">
        <f t="shared" si="28"/>
        <v>0.10902025992793328</v>
      </c>
      <c r="E29">
        <f t="shared" si="28"/>
        <v>0.10902025992793328</v>
      </c>
      <c r="F29">
        <f t="shared" si="28"/>
        <v>0.10902025992793328</v>
      </c>
      <c r="G29">
        <f t="shared" si="28"/>
        <v>0.10902025992793328</v>
      </c>
      <c r="H29">
        <f t="shared" si="28"/>
        <v>0.10902025992793328</v>
      </c>
      <c r="I29">
        <f t="shared" si="28"/>
        <v>0.10902025992793328</v>
      </c>
      <c r="J29">
        <f t="shared" si="28"/>
        <v>0.10902025992793328</v>
      </c>
      <c r="K29">
        <f>2/(K8^2*(K6-1))</f>
        <v>0.10902025992793328</v>
      </c>
    </row>
    <row r="31" spans="1:11" x14ac:dyDescent="0.3">
      <c r="A31" t="s">
        <v>56</v>
      </c>
      <c r="B31" s="9">
        <f>B29*(1-B7-B28+B27)</f>
        <v>-3.5108033569805026E-2</v>
      </c>
      <c r="C31">
        <f t="shared" ref="C31:K31" si="29">C29*(1-C7-C28+C27)</f>
        <v>-6.13275087876183E-2</v>
      </c>
      <c r="D31">
        <f t="shared" si="29"/>
        <v>-8.0498635638376462E-2</v>
      </c>
      <c r="E31">
        <f t="shared" si="29"/>
        <v>-9.4129720370817418E-2</v>
      </c>
      <c r="F31">
        <f t="shared" si="29"/>
        <v>-0.10342849224056369</v>
      </c>
      <c r="G31">
        <f t="shared" si="29"/>
        <v>-0.10940779555496674</v>
      </c>
      <c r="H31">
        <f t="shared" si="29"/>
        <v>-0.11292416782935989</v>
      </c>
      <c r="I31">
        <f t="shared" si="29"/>
        <v>-0.11471315723713625</v>
      </c>
      <c r="J31">
        <f t="shared" si="29"/>
        <v>-0.11535265629254841</v>
      </c>
      <c r="K31">
        <f t="shared" si="29"/>
        <v>-0.11542328983859144</v>
      </c>
    </row>
    <row r="32" spans="1:11" x14ac:dyDescent="0.3">
      <c r="A32" t="s">
        <v>55</v>
      </c>
      <c r="B32" s="9">
        <f>(1/B8^2)*(1-B7*(B9/B1))</f>
        <v>6.4956314994936301E-2</v>
      </c>
      <c r="C32">
        <f t="shared" ref="C32:K32" si="30">(1/C8^2)*(1-C7*(C9/C1))</f>
        <v>0.11173873704203871</v>
      </c>
      <c r="D32">
        <f t="shared" si="30"/>
        <v>0.14479943127656739</v>
      </c>
      <c r="E32">
        <f t="shared" si="30"/>
        <v>0.16757050810941757</v>
      </c>
      <c r="F32">
        <f t="shared" si="30"/>
        <v>0.18267774684751636</v>
      </c>
      <c r="G32">
        <f t="shared" si="30"/>
        <v>0.19216327108889578</v>
      </c>
      <c r="H32">
        <f t="shared" si="30"/>
        <v>0.19762161569777262</v>
      </c>
      <c r="I32">
        <f t="shared" si="30"/>
        <v>0.20031609987534035</v>
      </c>
      <c r="J32">
        <f t="shared" si="30"/>
        <v>0.20127953462487763</v>
      </c>
      <c r="K32">
        <f t="shared" si="30"/>
        <v>0.20141493021685675</v>
      </c>
    </row>
    <row r="33" spans="1:12" x14ac:dyDescent="0.3">
      <c r="A33" t="s">
        <v>54</v>
      </c>
      <c r="B33" s="9">
        <f>((B5/B1)+(1/(B6-1)))*((1-B7^2)/6)</f>
        <v>1.5228936124893495E-2</v>
      </c>
      <c r="C33">
        <f t="shared" ref="C33:K33" si="31">((C5/C1)+(1/(C6-1)))*((1-C7^2)/6)</f>
        <v>2.8854826341903464E-2</v>
      </c>
      <c r="D33">
        <f t="shared" si="31"/>
        <v>4.0877670651029922E-2</v>
      </c>
      <c r="E33">
        <f t="shared" si="31"/>
        <v>5.1297469052272844E-2</v>
      </c>
      <c r="F33">
        <f t="shared" si="31"/>
        <v>6.0114221545632236E-2</v>
      </c>
      <c r="G33">
        <f t="shared" si="31"/>
        <v>6.7327928131108092E-2</v>
      </c>
      <c r="H33">
        <f t="shared" si="31"/>
        <v>7.2938588808700452E-2</v>
      </c>
      <c r="I33">
        <f t="shared" si="31"/>
        <v>7.694620357840927E-2</v>
      </c>
      <c r="J33">
        <f t="shared" si="31"/>
        <v>7.9350772440234557E-2</v>
      </c>
      <c r="K33">
        <f t="shared" si="31"/>
        <v>8.0152295394176315E-2</v>
      </c>
    </row>
    <row r="34" spans="1:12" x14ac:dyDescent="0.3">
      <c r="A34" t="s">
        <v>53</v>
      </c>
      <c r="B34" s="9">
        <f>(1/B8^2)*(1-(B9/B1))</f>
        <v>4.9794246636945143E-2</v>
      </c>
      <c r="C34">
        <f t="shared" ref="C34:K34" si="32">(1/C8^2)*(1-(C9/C1))</f>
        <v>8.9319688748334194E-2</v>
      </c>
      <c r="D34">
        <f t="shared" si="32"/>
        <v>0.12053564601644338</v>
      </c>
      <c r="E34">
        <f t="shared" si="32"/>
        <v>0.1450075600377915</v>
      </c>
      <c r="F34">
        <f t="shared" si="32"/>
        <v>0.16394056347817601</v>
      </c>
      <c r="G34">
        <f t="shared" si="32"/>
        <v>0.17828578239695436</v>
      </c>
      <c r="H34">
        <f t="shared" si="32"/>
        <v>0.18877054848657629</v>
      </c>
      <c r="I34">
        <f t="shared" si="32"/>
        <v>0.19592077850927472</v>
      </c>
      <c r="J34">
        <f t="shared" si="32"/>
        <v>0.20006097429706565</v>
      </c>
      <c r="K34">
        <f t="shared" si="32"/>
        <v>0.20141493021685675</v>
      </c>
    </row>
    <row r="35" spans="1:12" x14ac:dyDescent="0.3">
      <c r="A35" t="s">
        <v>52</v>
      </c>
      <c r="B35" s="9">
        <f>3*B33</f>
        <v>4.5686808374680483E-2</v>
      </c>
      <c r="C35">
        <f t="shared" ref="C35:K35" si="33">3*C33</f>
        <v>8.6564479025710392E-2</v>
      </c>
      <c r="D35">
        <f t="shared" si="33"/>
        <v>0.12263301195308976</v>
      </c>
      <c r="E35">
        <f t="shared" si="33"/>
        <v>0.15389240715681854</v>
      </c>
      <c r="F35">
        <f t="shared" si="33"/>
        <v>0.18034266463689672</v>
      </c>
      <c r="G35">
        <f t="shared" si="33"/>
        <v>0.20198378439332426</v>
      </c>
      <c r="H35">
        <f t="shared" si="33"/>
        <v>0.21881576642610134</v>
      </c>
      <c r="I35">
        <f t="shared" si="33"/>
        <v>0.23083861073522782</v>
      </c>
      <c r="J35">
        <f t="shared" si="33"/>
        <v>0.23805231732070367</v>
      </c>
      <c r="K35">
        <f t="shared" si="33"/>
        <v>0.24045688618252894</v>
      </c>
    </row>
    <row r="36" spans="1:12" x14ac:dyDescent="0.3">
      <c r="A36" t="s">
        <v>50</v>
      </c>
      <c r="B36" s="9">
        <f>(B1*B2*B2)/(4*B3*B4)</f>
        <v>5.0632911392405064E-3</v>
      </c>
      <c r="C36">
        <f t="shared" ref="C36:K36" si="34">(C1*C2*C2)/(4*C3*C4)</f>
        <v>5.0632911392405064E-3</v>
      </c>
      <c r="D36">
        <f t="shared" si="34"/>
        <v>5.0632911392405064E-3</v>
      </c>
      <c r="E36">
        <f t="shared" si="34"/>
        <v>5.0632911392405064E-3</v>
      </c>
      <c r="F36">
        <f t="shared" si="34"/>
        <v>5.0632911392405064E-3</v>
      </c>
      <c r="G36">
        <f t="shared" si="34"/>
        <v>5.0632911392405064E-3</v>
      </c>
      <c r="H36">
        <f t="shared" si="34"/>
        <v>5.0632911392405064E-3</v>
      </c>
      <c r="I36">
        <f t="shared" si="34"/>
        <v>5.0632911392405064E-3</v>
      </c>
      <c r="J36">
        <f t="shared" si="34"/>
        <v>5.0632911392405064E-3</v>
      </c>
      <c r="K36">
        <f t="shared" si="34"/>
        <v>5.0632911392405064E-3</v>
      </c>
    </row>
    <row r="38" spans="1:12" x14ac:dyDescent="0.3">
      <c r="A38" t="s">
        <v>90</v>
      </c>
      <c r="B38" s="9">
        <f>(1-B10)*(B33-B32-B31)</f>
        <v>-9.6633872434571718E-3</v>
      </c>
      <c r="C38">
        <f t="shared" ref="C38:K38" si="35">(1-C10)*(C33-C32-C31)</f>
        <v>-1.4248781664173702E-2</v>
      </c>
      <c r="D38">
        <f t="shared" si="35"/>
        <v>-1.5482685616513418E-2</v>
      </c>
      <c r="E38">
        <f t="shared" si="35"/>
        <v>-1.4636733651662352E-2</v>
      </c>
      <c r="F38">
        <f t="shared" si="35"/>
        <v>-1.2648256853532814E-2</v>
      </c>
      <c r="G38">
        <f t="shared" si="35"/>
        <v>-1.0197608833264643E-2</v>
      </c>
      <c r="H38">
        <f t="shared" si="35"/>
        <v>-7.7726058384698128E-3</v>
      </c>
      <c r="I38">
        <f t="shared" si="35"/>
        <v>-5.7221045185243844E-3</v>
      </c>
      <c r="J38">
        <f t="shared" si="35"/>
        <v>-4.3468059946745706E-3</v>
      </c>
      <c r="K38">
        <f t="shared" si="35"/>
        <v>-3.8598070344828205E-3</v>
      </c>
    </row>
    <row r="39" spans="1:12" x14ac:dyDescent="0.3">
      <c r="A39" t="s">
        <v>91</v>
      </c>
      <c r="B39" s="9">
        <f>(B35-B34-B38)</f>
        <v>5.5559489811925124E-3</v>
      </c>
      <c r="C39">
        <f t="shared" ref="C39:K39" si="36">(C35-C34-C38)</f>
        <v>1.14935719415499E-2</v>
      </c>
      <c r="D39">
        <f t="shared" si="36"/>
        <v>1.7580051553159795E-2</v>
      </c>
      <c r="E39">
        <f t="shared" si="36"/>
        <v>2.3521580770689391E-2</v>
      </c>
      <c r="F39">
        <f t="shared" si="36"/>
        <v>2.9050358012253519E-2</v>
      </c>
      <c r="G39">
        <f t="shared" si="36"/>
        <v>3.3895610829634541E-2</v>
      </c>
      <c r="H39">
        <f t="shared" si="36"/>
        <v>3.7817823777994863E-2</v>
      </c>
      <c r="I39">
        <f t="shared" si="36"/>
        <v>4.0639936744477481E-2</v>
      </c>
      <c r="J39">
        <f t="shared" si="36"/>
        <v>4.2338149018312593E-2</v>
      </c>
      <c r="K39">
        <f t="shared" si="36"/>
        <v>4.2901763000155017E-2</v>
      </c>
    </row>
    <row r="41" spans="1:12" x14ac:dyDescent="0.3">
      <c r="A41" t="s">
        <v>89</v>
      </c>
      <c r="B41" s="9">
        <f>B36*B39</f>
        <v>2.8131387246544366E-5</v>
      </c>
      <c r="C41" s="9">
        <f t="shared" ref="C41:K41" si="37">C36*C39</f>
        <v>5.8195300969872913E-5</v>
      </c>
      <c r="D41" s="9">
        <f t="shared" si="37"/>
        <v>8.9012919256505288E-5</v>
      </c>
      <c r="E41" s="9">
        <f t="shared" si="37"/>
        <v>1.1909661149716147E-4</v>
      </c>
      <c r="F41" s="9">
        <f t="shared" si="37"/>
        <v>1.4709042031520769E-4</v>
      </c>
      <c r="G41" s="9">
        <f t="shared" si="37"/>
        <v>1.7162334597283313E-4</v>
      </c>
      <c r="H41" s="9">
        <f t="shared" si="37"/>
        <v>1.9148265204048032E-4</v>
      </c>
      <c r="I41" s="9">
        <f t="shared" si="37"/>
        <v>2.0577183161760751E-4</v>
      </c>
      <c r="J41" s="9">
        <f t="shared" si="37"/>
        <v>2.143703747762663E-4</v>
      </c>
      <c r="K41" s="9">
        <f t="shared" si="37"/>
        <v>2.1722411645648112E-4</v>
      </c>
      <c r="L41" s="9">
        <f>K41/B41</f>
        <v>7.7217705103812371</v>
      </c>
    </row>
    <row r="42" spans="1:12" x14ac:dyDescent="0.3">
      <c r="A42" t="s">
        <v>88</v>
      </c>
      <c r="B42" s="9">
        <f>0.0001246</f>
        <v>1.2459999999999999E-4</v>
      </c>
      <c r="C42" s="9">
        <f t="shared" ref="C42:K42" si="38">0.0001246</f>
        <v>1.2459999999999999E-4</v>
      </c>
      <c r="D42" s="9">
        <f t="shared" si="38"/>
        <v>1.2459999999999999E-4</v>
      </c>
      <c r="E42" s="9">
        <f t="shared" si="38"/>
        <v>1.2459999999999999E-4</v>
      </c>
      <c r="F42" s="9">
        <f t="shared" si="38"/>
        <v>1.2459999999999999E-4</v>
      </c>
      <c r="G42" s="9">
        <f t="shared" si="38"/>
        <v>1.2459999999999999E-4</v>
      </c>
      <c r="H42" s="9">
        <f t="shared" si="38"/>
        <v>1.2459999999999999E-4</v>
      </c>
      <c r="I42" s="9">
        <f t="shared" si="38"/>
        <v>1.2459999999999999E-4</v>
      </c>
      <c r="J42" s="9">
        <f t="shared" si="38"/>
        <v>1.2459999999999999E-4</v>
      </c>
      <c r="K42" s="9">
        <f t="shared" si="38"/>
        <v>1.2459999999999999E-4</v>
      </c>
    </row>
    <row r="43" spans="1:12" x14ac:dyDescent="0.3">
      <c r="C43" s="9"/>
      <c r="D43" s="9"/>
      <c r="E43" s="9"/>
      <c r="F43" s="9"/>
      <c r="G43" s="9"/>
      <c r="H43" s="9"/>
      <c r="I43" s="9"/>
      <c r="J43" s="9"/>
      <c r="K43" s="9"/>
    </row>
    <row r="44" spans="1:12" x14ac:dyDescent="0.3">
      <c r="A44" t="s">
        <v>38</v>
      </c>
      <c r="B44" s="9">
        <f>B41/B42</f>
        <v>0.22577357340725818</v>
      </c>
      <c r="C44" s="9">
        <f t="shared" ref="C44:K44" si="39">C41/C42</f>
        <v>0.46705699012739099</v>
      </c>
      <c r="D44" s="9">
        <f t="shared" si="39"/>
        <v>0.71438940013246621</v>
      </c>
      <c r="E44" s="9">
        <f t="shared" si="39"/>
        <v>0.9558315529467214</v>
      </c>
      <c r="F44" s="9">
        <f t="shared" si="39"/>
        <v>1.1805009656116188</v>
      </c>
      <c r="G44" s="9">
        <f t="shared" si="39"/>
        <v>1.3773944299585323</v>
      </c>
      <c r="H44" s="9">
        <f t="shared" si="39"/>
        <v>1.5367789088321053</v>
      </c>
      <c r="I44" s="9">
        <f t="shared" si="39"/>
        <v>1.6514593227737362</v>
      </c>
      <c r="J44" s="9">
        <f t="shared" si="39"/>
        <v>1.7204684974018163</v>
      </c>
      <c r="K44" s="9">
        <f t="shared" si="39"/>
        <v>1.7433717211595596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zoomScale="190" zoomScaleNormal="190" workbookViewId="0">
      <selection activeCell="B16" sqref="B16"/>
    </sheetView>
  </sheetViews>
  <sheetFormatPr defaultRowHeight="14.4" x14ac:dyDescent="0.3"/>
  <cols>
    <col min="1" max="1" width="26.33203125" customWidth="1"/>
    <col min="2" max="2" width="12" bestFit="1" customWidth="1"/>
  </cols>
  <sheetData>
    <row r="1" spans="1:11" x14ac:dyDescent="0.3">
      <c r="A1" t="s">
        <v>46</v>
      </c>
      <c r="B1" s="13">
        <v>37.5</v>
      </c>
      <c r="C1" s="13">
        <v>37.5</v>
      </c>
      <c r="D1" s="13">
        <v>37.5</v>
      </c>
      <c r="E1" s="13">
        <v>37.5</v>
      </c>
      <c r="F1" s="13">
        <v>37.5</v>
      </c>
      <c r="G1" s="13">
        <v>37.5</v>
      </c>
      <c r="H1" s="13">
        <v>37.5</v>
      </c>
      <c r="I1" s="13">
        <v>37.5</v>
      </c>
      <c r="J1" s="13">
        <v>37.5</v>
      </c>
      <c r="K1" s="13">
        <v>37.5</v>
      </c>
    </row>
    <row r="2" spans="1:11" x14ac:dyDescent="0.3">
      <c r="A2" t="s">
        <v>28</v>
      </c>
      <c r="B2" s="13">
        <v>180</v>
      </c>
      <c r="C2" s="13">
        <v>180</v>
      </c>
      <c r="D2" s="13">
        <v>180</v>
      </c>
      <c r="E2" s="13">
        <v>180</v>
      </c>
      <c r="F2" s="13">
        <v>180</v>
      </c>
      <c r="G2" s="13">
        <v>180</v>
      </c>
      <c r="H2" s="13">
        <v>180</v>
      </c>
      <c r="I2" s="13">
        <v>180</v>
      </c>
      <c r="J2" s="13">
        <v>180</v>
      </c>
      <c r="K2" s="13">
        <v>180</v>
      </c>
    </row>
    <row r="3" spans="1:11" x14ac:dyDescent="0.3">
      <c r="A3" t="s">
        <v>27</v>
      </c>
      <c r="B3" s="13">
        <v>4.6950000000000003</v>
      </c>
      <c r="C3" s="13">
        <v>4.6950000000000003</v>
      </c>
      <c r="D3" s="13">
        <v>4.6950000000000003</v>
      </c>
      <c r="E3" s="13">
        <v>4.6950000000000003</v>
      </c>
      <c r="F3" s="13">
        <v>4.6950000000000003</v>
      </c>
      <c r="G3" s="13">
        <v>4.6950000000000003</v>
      </c>
      <c r="H3" s="13">
        <v>4.6950000000000003</v>
      </c>
      <c r="I3" s="13">
        <v>4.6950000000000003</v>
      </c>
      <c r="J3" s="13">
        <v>4.6950000000000003</v>
      </c>
      <c r="K3" s="13">
        <v>4.6950000000000003</v>
      </c>
    </row>
    <row r="4" spans="1:11" x14ac:dyDescent="0.3">
      <c r="A4" t="s">
        <v>45</v>
      </c>
      <c r="B4" s="13">
        <v>1200</v>
      </c>
      <c r="C4" s="13">
        <v>1200</v>
      </c>
      <c r="D4" s="13">
        <v>1200</v>
      </c>
      <c r="E4" s="13">
        <v>1200</v>
      </c>
      <c r="F4" s="13">
        <v>1200</v>
      </c>
      <c r="G4" s="13">
        <v>1200</v>
      </c>
      <c r="H4" s="13">
        <v>1200</v>
      </c>
      <c r="I4" s="13">
        <v>1200</v>
      </c>
      <c r="J4" s="13">
        <v>1200</v>
      </c>
      <c r="K4" s="13">
        <v>1200</v>
      </c>
    </row>
    <row r="5" spans="1:11" x14ac:dyDescent="0.3">
      <c r="A5" t="s">
        <v>12</v>
      </c>
      <c r="B5" s="13">
        <v>2000000</v>
      </c>
      <c r="C5" s="13">
        <v>2000000</v>
      </c>
      <c r="D5" s="13">
        <v>2000000</v>
      </c>
      <c r="E5" s="13">
        <v>2000000</v>
      </c>
      <c r="F5" s="13">
        <v>2000000</v>
      </c>
      <c r="G5" s="13">
        <v>2000000</v>
      </c>
      <c r="H5" s="13">
        <v>2000000</v>
      </c>
      <c r="I5" s="13">
        <v>2000000</v>
      </c>
      <c r="J5" s="13">
        <v>2000000</v>
      </c>
      <c r="K5" s="13">
        <v>2000000</v>
      </c>
    </row>
    <row r="6" spans="1:11" x14ac:dyDescent="0.3">
      <c r="A6" t="s">
        <v>14</v>
      </c>
      <c r="B6" s="13">
        <v>6399</v>
      </c>
      <c r="C6" s="13">
        <v>6399</v>
      </c>
      <c r="D6" s="13">
        <v>6399</v>
      </c>
      <c r="E6" s="13">
        <v>6399</v>
      </c>
      <c r="F6" s="13">
        <v>6399</v>
      </c>
      <c r="G6" s="13">
        <v>6399</v>
      </c>
      <c r="H6" s="13">
        <v>6399</v>
      </c>
      <c r="I6" s="13">
        <v>6399</v>
      </c>
      <c r="J6" s="13">
        <v>6399</v>
      </c>
      <c r="K6" s="13">
        <v>6399</v>
      </c>
    </row>
    <row r="7" spans="1:11" x14ac:dyDescent="0.3">
      <c r="A7" t="s">
        <v>31</v>
      </c>
      <c r="B7">
        <f>B3-1</f>
        <v>3.6950000000000003</v>
      </c>
      <c r="C7">
        <f>C3-1</f>
        <v>3.6950000000000003</v>
      </c>
      <c r="D7">
        <f t="shared" ref="D7:J7" si="0">D3-1</f>
        <v>3.6950000000000003</v>
      </c>
      <c r="E7">
        <f t="shared" si="0"/>
        <v>3.6950000000000003</v>
      </c>
      <c r="F7">
        <f t="shared" si="0"/>
        <v>3.6950000000000003</v>
      </c>
      <c r="G7">
        <f t="shared" si="0"/>
        <v>3.6950000000000003</v>
      </c>
      <c r="H7">
        <f t="shared" si="0"/>
        <v>3.6950000000000003</v>
      </c>
      <c r="I7">
        <f t="shared" si="0"/>
        <v>3.6950000000000003</v>
      </c>
      <c r="J7">
        <f t="shared" si="0"/>
        <v>3.6950000000000003</v>
      </c>
      <c r="K7">
        <f t="shared" ref="K7" si="1">K3-1</f>
        <v>3.6950000000000003</v>
      </c>
    </row>
    <row r="8" spans="1:11" x14ac:dyDescent="0.3">
      <c r="A8" t="s">
        <v>103</v>
      </c>
      <c r="B8">
        <f>B1/B2</f>
        <v>0.20833333333333334</v>
      </c>
      <c r="C8">
        <f>C1/C2</f>
        <v>0.20833333333333334</v>
      </c>
      <c r="D8">
        <f t="shared" ref="D8:J8" si="2">D1/D2</f>
        <v>0.20833333333333334</v>
      </c>
      <c r="E8">
        <f t="shared" si="2"/>
        <v>0.20833333333333334</v>
      </c>
      <c r="F8">
        <f t="shared" si="2"/>
        <v>0.20833333333333334</v>
      </c>
      <c r="G8">
        <f t="shared" si="2"/>
        <v>0.20833333333333334</v>
      </c>
      <c r="H8">
        <f t="shared" si="2"/>
        <v>0.20833333333333334</v>
      </c>
      <c r="I8">
        <f t="shared" si="2"/>
        <v>0.20833333333333334</v>
      </c>
      <c r="J8">
        <f t="shared" si="2"/>
        <v>0.20833333333333334</v>
      </c>
      <c r="K8">
        <f t="shared" ref="K8" si="3">K1/K2</f>
        <v>0.20833333333333334</v>
      </c>
    </row>
    <row r="9" spans="1:11" x14ac:dyDescent="0.3">
      <c r="A9" t="s">
        <v>104</v>
      </c>
      <c r="B9">
        <f>1/(B7)</f>
        <v>0.2706359945872801</v>
      </c>
      <c r="C9">
        <f>1/(C7)</f>
        <v>0.2706359945872801</v>
      </c>
      <c r="D9">
        <f t="shared" ref="D9:J9" si="4">1/(D7)</f>
        <v>0.2706359945872801</v>
      </c>
      <c r="E9">
        <f t="shared" si="4"/>
        <v>0.2706359945872801</v>
      </c>
      <c r="F9">
        <f t="shared" si="4"/>
        <v>0.2706359945872801</v>
      </c>
      <c r="G9">
        <f t="shared" si="4"/>
        <v>0.2706359945872801</v>
      </c>
      <c r="H9">
        <f t="shared" si="4"/>
        <v>0.2706359945872801</v>
      </c>
      <c r="I9">
        <f t="shared" si="4"/>
        <v>0.2706359945872801</v>
      </c>
      <c r="J9">
        <f t="shared" si="4"/>
        <v>0.2706359945872801</v>
      </c>
      <c r="K9">
        <f t="shared" ref="K9" si="5">1/(K7)</f>
        <v>0.2706359945872801</v>
      </c>
    </row>
    <row r="10" spans="1:11" x14ac:dyDescent="0.3">
      <c r="A10" t="s">
        <v>48</v>
      </c>
      <c r="B10">
        <v>1</v>
      </c>
      <c r="C10">
        <v>0.8</v>
      </c>
      <c r="D10">
        <v>0.7</v>
      </c>
      <c r="E10">
        <v>0.6</v>
      </c>
      <c r="F10">
        <v>0.5</v>
      </c>
      <c r="G10">
        <v>0.4</v>
      </c>
      <c r="H10">
        <v>0.3</v>
      </c>
      <c r="I10">
        <v>0.2</v>
      </c>
      <c r="J10">
        <v>0.1</v>
      </c>
      <c r="K10">
        <v>0</v>
      </c>
    </row>
    <row r="11" spans="1:11" x14ac:dyDescent="0.3">
      <c r="A11" t="s">
        <v>101</v>
      </c>
      <c r="B11">
        <f>1-B10^2</f>
        <v>0</v>
      </c>
      <c r="C11">
        <f>1-C10^2</f>
        <v>0.35999999999999988</v>
      </c>
      <c r="D11">
        <f t="shared" ref="D11:K11" si="6">1-D10^2</f>
        <v>0.51</v>
      </c>
      <c r="E11">
        <f t="shared" si="6"/>
        <v>0.64</v>
      </c>
      <c r="F11">
        <f t="shared" si="6"/>
        <v>0.75</v>
      </c>
      <c r="G11">
        <f t="shared" si="6"/>
        <v>0.84</v>
      </c>
      <c r="H11">
        <f t="shared" si="6"/>
        <v>0.91</v>
      </c>
      <c r="I11">
        <f t="shared" si="6"/>
        <v>0.96</v>
      </c>
      <c r="J11">
        <f t="shared" si="6"/>
        <v>0.99</v>
      </c>
      <c r="K11">
        <f t="shared" si="6"/>
        <v>1</v>
      </c>
    </row>
    <row r="12" spans="1:11" x14ac:dyDescent="0.3">
      <c r="A12" t="s">
        <v>102</v>
      </c>
      <c r="B12">
        <f>B11/2</f>
        <v>0</v>
      </c>
      <c r="C12">
        <f>C11/2</f>
        <v>0.17999999999999994</v>
      </c>
      <c r="D12">
        <f t="shared" ref="D12:K12" si="7">D11/2</f>
        <v>0.255</v>
      </c>
      <c r="E12">
        <f t="shared" si="7"/>
        <v>0.32</v>
      </c>
      <c r="F12">
        <f t="shared" si="7"/>
        <v>0.375</v>
      </c>
      <c r="G12">
        <f t="shared" si="7"/>
        <v>0.42</v>
      </c>
      <c r="H12">
        <f t="shared" si="7"/>
        <v>0.45500000000000002</v>
      </c>
      <c r="I12">
        <f t="shared" si="7"/>
        <v>0.48</v>
      </c>
      <c r="J12">
        <f t="shared" si="7"/>
        <v>0.495</v>
      </c>
      <c r="K12">
        <f t="shared" si="7"/>
        <v>0.5</v>
      </c>
    </row>
    <row r="13" spans="1:11" x14ac:dyDescent="0.3">
      <c r="A13" t="s">
        <v>52</v>
      </c>
      <c r="B13">
        <f>(B8+B9)*B12</f>
        <v>0</v>
      </c>
      <c r="C13">
        <f>(C8+C9)*C12</f>
        <v>8.6214479025710389E-2</v>
      </c>
      <c r="D13">
        <f t="shared" ref="D13:K13" si="8">(D8+D9)*D12</f>
        <v>0.12213717861975643</v>
      </c>
      <c r="E13">
        <f t="shared" si="8"/>
        <v>0.15327018493459629</v>
      </c>
      <c r="F13">
        <f t="shared" si="8"/>
        <v>0.17961349797023002</v>
      </c>
      <c r="G13">
        <f t="shared" si="8"/>
        <v>0.20116711772665763</v>
      </c>
      <c r="H13">
        <f t="shared" si="8"/>
        <v>0.21793104420387913</v>
      </c>
      <c r="I13">
        <f t="shared" si="8"/>
        <v>0.22990527740189443</v>
      </c>
      <c r="J13">
        <f t="shared" si="8"/>
        <v>0.23708981732070364</v>
      </c>
      <c r="K13">
        <f t="shared" si="8"/>
        <v>0.23948466396030671</v>
      </c>
    </row>
    <row r="14" spans="1:11" x14ac:dyDescent="0.3">
      <c r="A14" t="s">
        <v>47</v>
      </c>
      <c r="B14">
        <v>150</v>
      </c>
      <c r="C14">
        <v>100.2</v>
      </c>
      <c r="D14">
        <v>72.36</v>
      </c>
      <c r="E14">
        <v>29.4</v>
      </c>
      <c r="F14">
        <v>-6</v>
      </c>
      <c r="G14">
        <v>-41.4</v>
      </c>
      <c r="H14">
        <v>-76.8</v>
      </c>
      <c r="I14">
        <v>-112.2</v>
      </c>
      <c r="J14">
        <v>-147.6</v>
      </c>
      <c r="K14">
        <v>-146.6</v>
      </c>
    </row>
    <row r="15" spans="1:11" x14ac:dyDescent="0.3">
      <c r="A15" t="s">
        <v>105</v>
      </c>
      <c r="B15">
        <f>B14/B2</f>
        <v>0.83333333333333337</v>
      </c>
      <c r="C15">
        <f>C14/C2</f>
        <v>0.55666666666666664</v>
      </c>
      <c r="D15">
        <f t="shared" ref="D15:K15" si="9">D14/D2</f>
        <v>0.40200000000000002</v>
      </c>
      <c r="E15">
        <f t="shared" si="9"/>
        <v>0.16333333333333333</v>
      </c>
      <c r="F15">
        <f t="shared" si="9"/>
        <v>-3.3333333333333333E-2</v>
      </c>
      <c r="G15">
        <f t="shared" si="9"/>
        <v>-0.22999999999999998</v>
      </c>
      <c r="H15">
        <f t="shared" si="9"/>
        <v>-0.42666666666666664</v>
      </c>
      <c r="I15">
        <f t="shared" si="9"/>
        <v>-0.62333333333333329</v>
      </c>
      <c r="J15">
        <f t="shared" si="9"/>
        <v>-0.82</v>
      </c>
      <c r="K15">
        <f t="shared" si="9"/>
        <v>-0.81444444444444442</v>
      </c>
    </row>
    <row r="16" spans="1:11" x14ac:dyDescent="0.3">
      <c r="A16" t="s">
        <v>29</v>
      </c>
      <c r="B16">
        <v>2.2290000000000001</v>
      </c>
      <c r="C16">
        <v>2.2290000000000001</v>
      </c>
      <c r="D16">
        <v>2.2290000000000001</v>
      </c>
      <c r="E16">
        <v>2.2290000000000001</v>
      </c>
      <c r="F16">
        <v>2.2290000000000001</v>
      </c>
      <c r="G16">
        <v>2.2290000000000001</v>
      </c>
      <c r="H16">
        <v>2.2290000000000001</v>
      </c>
      <c r="I16">
        <v>2.2290000000000001</v>
      </c>
      <c r="J16">
        <v>2.2290000000000001</v>
      </c>
      <c r="K16">
        <v>3.2290000000000001</v>
      </c>
    </row>
    <row r="17" spans="1:11" x14ac:dyDescent="0.3">
      <c r="A17" t="s">
        <v>106</v>
      </c>
      <c r="B17">
        <f>B16^2</f>
        <v>4.9684410000000003</v>
      </c>
      <c r="C17">
        <f>C16^2</f>
        <v>4.9684410000000003</v>
      </c>
      <c r="D17">
        <f t="shared" ref="D17:K17" si="10">D16^2</f>
        <v>4.9684410000000003</v>
      </c>
      <c r="E17">
        <f t="shared" si="10"/>
        <v>4.9684410000000003</v>
      </c>
      <c r="F17">
        <f t="shared" si="10"/>
        <v>4.9684410000000003</v>
      </c>
      <c r="G17">
        <f t="shared" si="10"/>
        <v>4.9684410000000003</v>
      </c>
      <c r="H17">
        <f t="shared" si="10"/>
        <v>4.9684410000000003</v>
      </c>
      <c r="I17">
        <f t="shared" si="10"/>
        <v>4.9684410000000003</v>
      </c>
      <c r="J17">
        <f t="shared" si="10"/>
        <v>4.9684410000000003</v>
      </c>
      <c r="K17">
        <f t="shared" si="10"/>
        <v>10.426441000000001</v>
      </c>
    </row>
    <row r="18" spans="1:11" x14ac:dyDescent="0.3">
      <c r="A18" t="s">
        <v>107</v>
      </c>
      <c r="B18">
        <f>1/B17</f>
        <v>0.2012703783742224</v>
      </c>
      <c r="C18">
        <f>1/C17</f>
        <v>0.2012703783742224</v>
      </c>
      <c r="D18">
        <f t="shared" ref="D18:K18" si="11">1/D17</f>
        <v>0.2012703783742224</v>
      </c>
      <c r="E18">
        <f t="shared" si="11"/>
        <v>0.2012703783742224</v>
      </c>
      <c r="F18">
        <f t="shared" si="11"/>
        <v>0.2012703783742224</v>
      </c>
      <c r="G18">
        <f t="shared" si="11"/>
        <v>0.2012703783742224</v>
      </c>
      <c r="H18">
        <f t="shared" si="11"/>
        <v>0.2012703783742224</v>
      </c>
      <c r="I18">
        <f t="shared" si="11"/>
        <v>0.2012703783742224</v>
      </c>
      <c r="J18">
        <f t="shared" si="11"/>
        <v>0.2012703783742224</v>
      </c>
      <c r="K18">
        <f t="shared" si="11"/>
        <v>9.5910004190308082E-2</v>
      </c>
    </row>
    <row r="19" spans="1:11" x14ac:dyDescent="0.3">
      <c r="A19" t="s">
        <v>53</v>
      </c>
      <c r="B19">
        <f>B18*(1-B15)</f>
        <v>3.3545063062370394E-2</v>
      </c>
      <c r="C19">
        <f>C18*(1-C15)</f>
        <v>8.9229867745905272E-2</v>
      </c>
      <c r="D19">
        <f t="shared" ref="D19:K19" si="12">D18*(1-D15)</f>
        <v>0.120359686267785</v>
      </c>
      <c r="E19">
        <f t="shared" si="12"/>
        <v>0.16839621657309942</v>
      </c>
      <c r="F19">
        <f t="shared" si="12"/>
        <v>0.20797939098669652</v>
      </c>
      <c r="G19">
        <f t="shared" si="12"/>
        <v>0.24756256540029356</v>
      </c>
      <c r="H19">
        <f t="shared" si="12"/>
        <v>0.28714573981389063</v>
      </c>
      <c r="I19">
        <f t="shared" si="12"/>
        <v>0.32672891422748768</v>
      </c>
      <c r="J19">
        <f t="shared" si="12"/>
        <v>0.36631208864108472</v>
      </c>
      <c r="K19">
        <f t="shared" si="12"/>
        <v>0.17402337426974787</v>
      </c>
    </row>
    <row r="20" spans="1:11" x14ac:dyDescent="0.3">
      <c r="A20" t="s">
        <v>18</v>
      </c>
      <c r="B20">
        <v>0.33900000000000002</v>
      </c>
      <c r="C20">
        <v>0.33900000000000002</v>
      </c>
      <c r="D20">
        <v>0.33900000000000002</v>
      </c>
      <c r="E20">
        <v>0.33900000000000002</v>
      </c>
      <c r="F20">
        <v>0.33900000000000002</v>
      </c>
      <c r="G20">
        <v>0.33900000000000002</v>
      </c>
      <c r="H20">
        <v>0.33900000000000002</v>
      </c>
      <c r="I20">
        <v>0.33900000000000002</v>
      </c>
      <c r="J20">
        <v>0.33900000000000002</v>
      </c>
      <c r="K20">
        <v>1.339</v>
      </c>
    </row>
    <row r="21" spans="1:11" x14ac:dyDescent="0.3">
      <c r="A21" t="s">
        <v>108</v>
      </c>
      <c r="B21">
        <f>1-B20</f>
        <v>0.66100000000000003</v>
      </c>
      <c r="C21">
        <f>1-C20</f>
        <v>0.66100000000000003</v>
      </c>
      <c r="D21">
        <f t="shared" ref="D21:K21" si="13">1-D20</f>
        <v>0.66100000000000003</v>
      </c>
      <c r="E21">
        <f t="shared" si="13"/>
        <v>0.66100000000000003</v>
      </c>
      <c r="F21">
        <f t="shared" si="13"/>
        <v>0.66100000000000003</v>
      </c>
      <c r="G21">
        <f t="shared" si="13"/>
        <v>0.66100000000000003</v>
      </c>
      <c r="H21">
        <f t="shared" si="13"/>
        <v>0.66100000000000003</v>
      </c>
      <c r="I21">
        <f t="shared" si="13"/>
        <v>0.66100000000000003</v>
      </c>
      <c r="J21">
        <f t="shared" si="13"/>
        <v>0.66100000000000003</v>
      </c>
      <c r="K21">
        <f t="shared" si="13"/>
        <v>-0.33899999999999997</v>
      </c>
    </row>
    <row r="22" spans="1:11" x14ac:dyDescent="0.3">
      <c r="A22" t="s">
        <v>54</v>
      </c>
      <c r="B22">
        <f>(B8+B9)*(B11/6)</f>
        <v>0</v>
      </c>
      <c r="C22">
        <f>(C8+C9)*(C11/6)</f>
        <v>2.8738159675236793E-2</v>
      </c>
      <c r="D22">
        <f t="shared" ref="D22:J22" si="14">(D8+D9)*(D11/6)</f>
        <v>4.0712392873252144E-2</v>
      </c>
      <c r="E22">
        <f t="shared" si="14"/>
        <v>5.1090061644865438E-2</v>
      </c>
      <c r="F22">
        <f t="shared" si="14"/>
        <v>5.9871165990076677E-2</v>
      </c>
      <c r="G22">
        <f t="shared" si="14"/>
        <v>6.7055705908885876E-2</v>
      </c>
      <c r="H22">
        <f t="shared" si="14"/>
        <v>7.2643681401293042E-2</v>
      </c>
      <c r="I22">
        <f t="shared" si="14"/>
        <v>7.6635092467298147E-2</v>
      </c>
      <c r="J22">
        <f t="shared" si="14"/>
        <v>7.9029939106901217E-2</v>
      </c>
      <c r="K22">
        <f t="shared" ref="K22" si="15">(K8+K9)*(K11/6)</f>
        <v>7.9828221320102227E-2</v>
      </c>
    </row>
    <row r="23" spans="1:11" x14ac:dyDescent="0.3">
      <c r="A23" t="s">
        <v>109</v>
      </c>
      <c r="B23">
        <f>B10*(B14/B2)</f>
        <v>0.83333333333333337</v>
      </c>
      <c r="C23">
        <f>C10*(C14/C2)</f>
        <v>0.44533333333333336</v>
      </c>
      <c r="D23">
        <f t="shared" ref="D23:J23" si="16">D10*(D14/D2)</f>
        <v>0.28139999999999998</v>
      </c>
      <c r="E23">
        <f t="shared" si="16"/>
        <v>9.799999999999999E-2</v>
      </c>
      <c r="F23">
        <f t="shared" si="16"/>
        <v>-1.6666666666666666E-2</v>
      </c>
      <c r="G23">
        <f t="shared" si="16"/>
        <v>-9.1999999999999998E-2</v>
      </c>
      <c r="H23">
        <f t="shared" si="16"/>
        <v>-0.12799999999999997</v>
      </c>
      <c r="I23">
        <f t="shared" si="16"/>
        <v>-0.12466666666666666</v>
      </c>
      <c r="J23">
        <f t="shared" si="16"/>
        <v>-8.2000000000000003E-2</v>
      </c>
      <c r="K23">
        <f t="shared" ref="K23" si="17">K10*(K14/K2)</f>
        <v>0</v>
      </c>
    </row>
    <row r="24" spans="1:11" x14ac:dyDescent="0.3">
      <c r="A24" t="s">
        <v>55</v>
      </c>
      <c r="B24">
        <f>B18*(1-B23)</f>
        <v>3.3545063062370394E-2</v>
      </c>
      <c r="C24">
        <f>C18*(1-C23)</f>
        <v>0.11163796987156868</v>
      </c>
      <c r="D24">
        <f t="shared" ref="D24:K24" si="18">D18*(1-D23)</f>
        <v>0.14463289389971623</v>
      </c>
      <c r="E24">
        <f t="shared" si="18"/>
        <v>0.18154588129354862</v>
      </c>
      <c r="F24">
        <f t="shared" si="18"/>
        <v>0.20462488468045942</v>
      </c>
      <c r="G24">
        <f t="shared" si="18"/>
        <v>0.21978725318465089</v>
      </c>
      <c r="H24">
        <f t="shared" si="18"/>
        <v>0.22703298680612286</v>
      </c>
      <c r="I24">
        <f t="shared" si="18"/>
        <v>0.22636208554487547</v>
      </c>
      <c r="J24">
        <f t="shared" si="18"/>
        <v>0.21777454940090865</v>
      </c>
      <c r="K24">
        <f t="shared" si="18"/>
        <v>9.5910004190308082E-2</v>
      </c>
    </row>
    <row r="25" spans="1:11" x14ac:dyDescent="0.3">
      <c r="A25" t="s">
        <v>110</v>
      </c>
      <c r="B25">
        <f>2/(B17*B7)</f>
        <v>0.10894201806453173</v>
      </c>
      <c r="C25">
        <f>2/(C17*C7)</f>
        <v>0.10894201806453173</v>
      </c>
      <c r="D25">
        <f t="shared" ref="D25:J25" si="19">2/(D17*D7)</f>
        <v>0.10894201806453173</v>
      </c>
      <c r="E25">
        <f t="shared" si="19"/>
        <v>0.10894201806453173</v>
      </c>
      <c r="F25">
        <f t="shared" si="19"/>
        <v>0.10894201806453173</v>
      </c>
      <c r="G25">
        <f t="shared" si="19"/>
        <v>0.10894201806453173</v>
      </c>
      <c r="H25">
        <f t="shared" si="19"/>
        <v>0.10894201806453173</v>
      </c>
      <c r="I25">
        <f t="shared" si="19"/>
        <v>0.10894201806453173</v>
      </c>
      <c r="J25">
        <f t="shared" si="19"/>
        <v>0.10894201806453173</v>
      </c>
      <c r="K25">
        <f t="shared" ref="K25" si="20">2/(K17*K7)</f>
        <v>5.1913398749828456E-2</v>
      </c>
    </row>
    <row r="26" spans="1:11" x14ac:dyDescent="0.3">
      <c r="A26" t="s">
        <v>32</v>
      </c>
      <c r="B26">
        <f>SQRT(B3^2-1)</f>
        <v>4.5872677052903725</v>
      </c>
      <c r="C26">
        <f>SQRT(C3^2-1)</f>
        <v>4.5872677052903725</v>
      </c>
      <c r="D26">
        <f t="shared" ref="D26:J26" si="21">SQRT(D3^2-1)</f>
        <v>4.5872677052903725</v>
      </c>
      <c r="E26">
        <f t="shared" si="21"/>
        <v>4.5872677052903725</v>
      </c>
      <c r="F26">
        <f t="shared" si="21"/>
        <v>4.5872677052903725</v>
      </c>
      <c r="G26">
        <f t="shared" si="21"/>
        <v>4.5872677052903725</v>
      </c>
      <c r="H26">
        <f t="shared" si="21"/>
        <v>4.5872677052903725</v>
      </c>
      <c r="I26">
        <f t="shared" si="21"/>
        <v>4.5872677052903725</v>
      </c>
      <c r="J26">
        <f t="shared" si="21"/>
        <v>4.5872677052903725</v>
      </c>
      <c r="K26">
        <f t="shared" ref="K26" si="22">SQRT(K3^2-1)</f>
        <v>4.5872677052903725</v>
      </c>
    </row>
    <row r="27" spans="1:11" x14ac:dyDescent="0.3">
      <c r="A27" t="s">
        <v>111</v>
      </c>
      <c r="B27">
        <f>B26/B16</f>
        <v>2.0579935869404991</v>
      </c>
      <c r="C27">
        <f>C26/C16</f>
        <v>2.0579935869404991</v>
      </c>
      <c r="D27">
        <f t="shared" ref="D27:K27" si="23">D26/D16</f>
        <v>2.0579935869404991</v>
      </c>
      <c r="E27">
        <f t="shared" si="23"/>
        <v>2.0579935869404991</v>
      </c>
      <c r="F27">
        <f t="shared" si="23"/>
        <v>2.0579935869404991</v>
      </c>
      <c r="G27">
        <f t="shared" si="23"/>
        <v>2.0579935869404991</v>
      </c>
      <c r="H27">
        <f t="shared" si="23"/>
        <v>2.0579935869404991</v>
      </c>
      <c r="I27">
        <f t="shared" si="23"/>
        <v>2.0579935869404991</v>
      </c>
      <c r="J27">
        <f t="shared" si="23"/>
        <v>2.0579935869404991</v>
      </c>
      <c r="K27">
        <f t="shared" si="23"/>
        <v>1.4206465485569442</v>
      </c>
    </row>
    <row r="28" spans="1:11" x14ac:dyDescent="0.3">
      <c r="A28" t="s">
        <v>112</v>
      </c>
      <c r="B28">
        <f>B15*B7</f>
        <v>3.0791666666666671</v>
      </c>
      <c r="C28">
        <f>C15*C7</f>
        <v>2.0568833333333334</v>
      </c>
      <c r="D28">
        <f t="shared" ref="D28:J28" si="24">D15*D7</f>
        <v>1.4853900000000002</v>
      </c>
      <c r="E28">
        <f t="shared" si="24"/>
        <v>0.6035166666666667</v>
      </c>
      <c r="F28">
        <f t="shared" si="24"/>
        <v>-0.12316666666666667</v>
      </c>
      <c r="G28">
        <f t="shared" si="24"/>
        <v>-0.84984999999999999</v>
      </c>
      <c r="H28">
        <f t="shared" si="24"/>
        <v>-1.5765333333333333</v>
      </c>
      <c r="I28">
        <f t="shared" si="24"/>
        <v>-2.3032166666666667</v>
      </c>
      <c r="J28">
        <f t="shared" si="24"/>
        <v>-3.0299</v>
      </c>
      <c r="K28">
        <f t="shared" ref="K28" si="25">K15*K7</f>
        <v>-3.0093722222222223</v>
      </c>
    </row>
    <row r="29" spans="1:11" x14ac:dyDescent="0.3">
      <c r="A29" t="s">
        <v>113</v>
      </c>
      <c r="B29">
        <f>SQRT((1+B28)^2-1)</f>
        <v>3.9546935019599747</v>
      </c>
      <c r="C29">
        <f>SQRT((1+C28)^2-1)</f>
        <v>2.8886910034842965</v>
      </c>
      <c r="D29">
        <f t="shared" ref="D29:K29" si="26">SQRT((1+D28)^2-1)</f>
        <v>2.2753380962177907</v>
      </c>
      <c r="E29">
        <f t="shared" si="26"/>
        <v>1.2535013762568343</v>
      </c>
      <c r="F29" t="e">
        <f t="shared" si="26"/>
        <v>#NUM!</v>
      </c>
      <c r="G29" t="e">
        <f t="shared" si="26"/>
        <v>#NUM!</v>
      </c>
      <c r="H29" t="e">
        <f t="shared" si="26"/>
        <v>#NUM!</v>
      </c>
      <c r="I29">
        <f t="shared" si="26"/>
        <v>0.83568754943326629</v>
      </c>
      <c r="J29">
        <f t="shared" si="26"/>
        <v>1.7664920067750094</v>
      </c>
      <c r="K29">
        <f t="shared" si="26"/>
        <v>1.7428645178091933</v>
      </c>
    </row>
    <row r="30" spans="1:11" x14ac:dyDescent="0.3">
      <c r="A30" t="s">
        <v>114</v>
      </c>
      <c r="B30">
        <f>B29/B16</f>
        <v>1.7742007635531514</v>
      </c>
      <c r="C30">
        <f>C29/C16</f>
        <v>1.2959582788175399</v>
      </c>
      <c r="D30">
        <f t="shared" ref="D30:K30" si="27">D29/D16</f>
        <v>1.0207887376481788</v>
      </c>
      <c r="E30">
        <f t="shared" si="27"/>
        <v>0.56236042003447029</v>
      </c>
      <c r="F30" t="e">
        <f t="shared" si="27"/>
        <v>#NUM!</v>
      </c>
      <c r="G30" t="e">
        <f t="shared" si="27"/>
        <v>#NUM!</v>
      </c>
      <c r="H30" t="e">
        <f t="shared" si="27"/>
        <v>#NUM!</v>
      </c>
      <c r="I30">
        <f t="shared" si="27"/>
        <v>0.3749159037385672</v>
      </c>
      <c r="J30">
        <f t="shared" si="27"/>
        <v>0.79250426504038107</v>
      </c>
      <c r="K30">
        <f t="shared" si="27"/>
        <v>0.5397536444128811</v>
      </c>
    </row>
    <row r="31" spans="1:11" x14ac:dyDescent="0.3">
      <c r="A31" t="s">
        <v>56</v>
      </c>
      <c r="B31">
        <f>B25*(1-B10-B27+B30)</f>
        <v>-3.0916962892048892E-2</v>
      </c>
      <c r="C31">
        <f>C25*(1-C10-C27+C30)</f>
        <v>-6.1229260690436077E-2</v>
      </c>
      <c r="D31">
        <f t="shared" ref="D31:K31" si="28">D25*(1-D10-D27+D30)</f>
        <v>-8.0312584008864346E-2</v>
      </c>
      <c r="E31">
        <f t="shared" si="28"/>
        <v>-0.11936048826117671</v>
      </c>
      <c r="F31" t="e">
        <f t="shared" si="28"/>
        <v>#NUM!</v>
      </c>
      <c r="G31" t="e">
        <f t="shared" si="28"/>
        <v>#NUM!</v>
      </c>
      <c r="H31" t="e">
        <f t="shared" si="28"/>
        <v>#NUM!</v>
      </c>
      <c r="I31">
        <f t="shared" si="28"/>
        <v>-9.620426491576968E-2</v>
      </c>
      <c r="J31">
        <f t="shared" si="28"/>
        <v>-3.9817144308836115E-2</v>
      </c>
      <c r="K31">
        <f t="shared" si="28"/>
        <v>6.1832541611032939E-3</v>
      </c>
    </row>
    <row r="32" spans="1:11" x14ac:dyDescent="0.3">
      <c r="A32" t="s">
        <v>50</v>
      </c>
      <c r="B32">
        <f>(B2*B4*B4)/(4*B5*B6)</f>
        <v>5.0632911392405064E-3</v>
      </c>
      <c r="C32">
        <f>(C2*C4*C4)/(4*C5*C6)</f>
        <v>5.0632911392405064E-3</v>
      </c>
      <c r="D32">
        <f t="shared" ref="D32:J32" si="29">(D2*D4*D4)/(4*D5*D6)</f>
        <v>5.0632911392405064E-3</v>
      </c>
      <c r="E32">
        <f t="shared" si="29"/>
        <v>5.0632911392405064E-3</v>
      </c>
      <c r="F32">
        <f t="shared" si="29"/>
        <v>5.0632911392405064E-3</v>
      </c>
      <c r="G32">
        <f t="shared" si="29"/>
        <v>5.0632911392405064E-3</v>
      </c>
      <c r="H32">
        <f t="shared" si="29"/>
        <v>5.0632911392405064E-3</v>
      </c>
      <c r="I32">
        <f t="shared" si="29"/>
        <v>5.0632911392405064E-3</v>
      </c>
      <c r="J32">
        <f t="shared" si="29"/>
        <v>5.0632911392405064E-3</v>
      </c>
      <c r="K32">
        <f t="shared" ref="K32" si="30">(K2*K4*K4)/(4*K5*K6)</f>
        <v>5.0632911392405064E-3</v>
      </c>
    </row>
    <row r="34" spans="1:11" x14ac:dyDescent="0.3">
      <c r="A34" t="s">
        <v>90</v>
      </c>
      <c r="B34">
        <f>B21*(B22-B24-B31)</f>
        <v>-1.7371742125825123E-3</v>
      </c>
      <c r="C34">
        <f>C21*(C22-C24-C31)</f>
        <v>-1.4324233223397129E-2</v>
      </c>
      <c r="D34">
        <f t="shared" ref="D34:K34" si="31">D21*(D22-D24-D31)</f>
        <v>-1.5604833148633425E-2</v>
      </c>
      <c r="E34">
        <f t="shared" si="31"/>
        <v>-7.3340140471417868E-3</v>
      </c>
      <c r="F34" t="e">
        <f t="shared" si="31"/>
        <v>#NUM!</v>
      </c>
      <c r="G34" t="e">
        <f t="shared" si="31"/>
        <v>#NUM!</v>
      </c>
      <c r="H34" t="e">
        <f t="shared" si="31"/>
        <v>#NUM!</v>
      </c>
      <c r="I34">
        <f t="shared" si="31"/>
        <v>-3.5378523314954842E-2</v>
      </c>
      <c r="J34">
        <f t="shared" si="31"/>
        <v>-6.5391055016198227E-2</v>
      </c>
      <c r="K34">
        <f t="shared" si="31"/>
        <v>7.5478475536138005E-3</v>
      </c>
    </row>
    <row r="35" spans="1:11" x14ac:dyDescent="0.3">
      <c r="A35" t="s">
        <v>91</v>
      </c>
      <c r="B35">
        <f>(B13-B19-B34)</f>
        <v>-3.1807888849787878E-2</v>
      </c>
      <c r="C35">
        <f>(C13-C19-C34)</f>
        <v>1.1308844503202246E-2</v>
      </c>
      <c r="D35">
        <f t="shared" ref="D35:K35" si="32">(D13-D19-D34)</f>
        <v>1.7382325500604853E-2</v>
      </c>
      <c r="E35">
        <f t="shared" si="32"/>
        <v>-7.7920175913613367E-3</v>
      </c>
      <c r="F35" t="e">
        <f t="shared" si="32"/>
        <v>#NUM!</v>
      </c>
      <c r="G35" t="e">
        <f t="shared" si="32"/>
        <v>#NUM!</v>
      </c>
      <c r="H35" t="e">
        <f t="shared" si="32"/>
        <v>#NUM!</v>
      </c>
      <c r="I35">
        <f t="shared" si="32"/>
        <v>-6.1445113510638409E-2</v>
      </c>
      <c r="J35">
        <f t="shared" si="32"/>
        <v>-6.3831216304182856E-2</v>
      </c>
      <c r="K35">
        <f t="shared" si="32"/>
        <v>5.7913442136945034E-2</v>
      </c>
    </row>
    <row r="37" spans="1:11" x14ac:dyDescent="0.3">
      <c r="A37" t="s">
        <v>89</v>
      </c>
      <c r="B37">
        <f>B32*B35</f>
        <v>-1.6105260177107786E-4</v>
      </c>
      <c r="C37">
        <f>C32*C35</f>
        <v>5.7259972168112636E-5</v>
      </c>
      <c r="D37">
        <f t="shared" ref="D37:K37" si="33">D32*D35</f>
        <v>8.8011774686606851E-5</v>
      </c>
      <c r="E37">
        <f t="shared" si="33"/>
        <v>-3.9453253627146008E-5</v>
      </c>
      <c r="F37" t="e">
        <f t="shared" si="33"/>
        <v>#NUM!</v>
      </c>
      <c r="G37" t="e">
        <f t="shared" si="33"/>
        <v>#NUM!</v>
      </c>
      <c r="H37" t="e">
        <f t="shared" si="33"/>
        <v>#NUM!</v>
      </c>
      <c r="I37">
        <f t="shared" si="33"/>
        <v>-3.1111449878804258E-4</v>
      </c>
      <c r="J37">
        <f t="shared" si="33"/>
        <v>-3.2319603191991321E-4</v>
      </c>
      <c r="K37">
        <f t="shared" si="33"/>
        <v>2.9323261841491155E-4</v>
      </c>
    </row>
    <row r="39" spans="1:11" x14ac:dyDescent="0.3">
      <c r="A39" t="s">
        <v>88</v>
      </c>
      <c r="B39">
        <f>0.0001246</f>
        <v>1.2459999999999999E-4</v>
      </c>
      <c r="C39">
        <f>0.0001246</f>
        <v>1.2459999999999999E-4</v>
      </c>
      <c r="D39">
        <f t="shared" ref="D39:K39" si="34">0.0001246</f>
        <v>1.2459999999999999E-4</v>
      </c>
      <c r="E39">
        <f t="shared" si="34"/>
        <v>1.2459999999999999E-4</v>
      </c>
      <c r="F39">
        <f t="shared" si="34"/>
        <v>1.2459999999999999E-4</v>
      </c>
      <c r="G39">
        <f t="shared" si="34"/>
        <v>1.2459999999999999E-4</v>
      </c>
      <c r="H39">
        <f t="shared" si="34"/>
        <v>1.2459999999999999E-4</v>
      </c>
      <c r="I39">
        <f t="shared" si="34"/>
        <v>1.2459999999999999E-4</v>
      </c>
      <c r="J39">
        <f t="shared" si="34"/>
        <v>1.2459999999999999E-4</v>
      </c>
      <c r="K39">
        <f t="shared" si="34"/>
        <v>1.2459999999999999E-4</v>
      </c>
    </row>
    <row r="40" spans="1:11" x14ac:dyDescent="0.3">
      <c r="B40">
        <f>B37/B39</f>
        <v>-1.2925569965576074</v>
      </c>
      <c r="C40">
        <f>C37/C39</f>
        <v>0.4595503384278703</v>
      </c>
      <c r="D40">
        <f t="shared" ref="D40:K40" si="35">D37/D39</f>
        <v>0.70635453199523957</v>
      </c>
      <c r="E40">
        <f t="shared" si="35"/>
        <v>-0.3166392746961959</v>
      </c>
      <c r="F40" t="e">
        <f t="shared" si="35"/>
        <v>#NUM!</v>
      </c>
      <c r="G40" t="e">
        <f t="shared" si="35"/>
        <v>#NUM!</v>
      </c>
      <c r="H40" t="e">
        <f t="shared" si="35"/>
        <v>#NUM!</v>
      </c>
      <c r="I40">
        <f t="shared" si="35"/>
        <v>-2.4969060897916742</v>
      </c>
      <c r="J40">
        <f t="shared" si="35"/>
        <v>-2.5938686349912778</v>
      </c>
      <c r="K40">
        <f t="shared" si="35"/>
        <v>2.3533918010827573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Formulas="1" tabSelected="1" topLeftCell="A31" zoomScale="130" zoomScaleNormal="130" workbookViewId="0">
      <selection activeCell="C46" sqref="C46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2" t="s">
        <v>28</v>
      </c>
      <c r="B1" s="12">
        <v>180</v>
      </c>
      <c r="C1" s="12">
        <v>180</v>
      </c>
      <c r="D1" s="12">
        <v>180</v>
      </c>
      <c r="E1" s="12">
        <v>180</v>
      </c>
      <c r="F1" s="12">
        <v>180</v>
      </c>
      <c r="G1" s="12">
        <v>180</v>
      </c>
      <c r="H1" s="12">
        <v>180</v>
      </c>
      <c r="I1" s="12">
        <v>180</v>
      </c>
      <c r="J1" s="12">
        <v>180</v>
      </c>
      <c r="K1" s="12">
        <v>180</v>
      </c>
    </row>
    <row r="2" spans="1:11" x14ac:dyDescent="0.3">
      <c r="A2" s="12" t="s">
        <v>45</v>
      </c>
      <c r="B2" s="12">
        <v>1200</v>
      </c>
      <c r="C2" s="12">
        <v>1200</v>
      </c>
      <c r="D2" s="12">
        <v>1200</v>
      </c>
      <c r="E2" s="12">
        <v>1200</v>
      </c>
      <c r="F2" s="12">
        <v>1200</v>
      </c>
      <c r="G2" s="12">
        <v>1200</v>
      </c>
      <c r="H2" s="12">
        <v>1200</v>
      </c>
      <c r="I2" s="12">
        <v>1200</v>
      </c>
      <c r="J2" s="12">
        <v>1200</v>
      </c>
      <c r="K2" s="12">
        <v>1200</v>
      </c>
    </row>
    <row r="3" spans="1:11" x14ac:dyDescent="0.3">
      <c r="A3" s="12" t="s">
        <v>12</v>
      </c>
      <c r="B3" s="12">
        <v>2000000</v>
      </c>
      <c r="C3" s="12">
        <v>2000000</v>
      </c>
      <c r="D3" s="12">
        <v>2000000</v>
      </c>
      <c r="E3" s="12">
        <v>2000000</v>
      </c>
      <c r="F3" s="12">
        <v>2000000</v>
      </c>
      <c r="G3" s="12">
        <v>2000000</v>
      </c>
      <c r="H3" s="12">
        <v>2000000</v>
      </c>
      <c r="I3" s="12">
        <v>2000000</v>
      </c>
      <c r="J3" s="12">
        <v>2000000</v>
      </c>
      <c r="K3" s="12">
        <v>2000000</v>
      </c>
    </row>
    <row r="4" spans="1:11" x14ac:dyDescent="0.3">
      <c r="A4" s="12" t="s">
        <v>115</v>
      </c>
      <c r="B4" s="12">
        <v>6399</v>
      </c>
      <c r="C4" s="12">
        <v>6399</v>
      </c>
      <c r="D4" s="12">
        <v>6399</v>
      </c>
      <c r="E4" s="12">
        <v>6399</v>
      </c>
      <c r="F4" s="12">
        <v>6399</v>
      </c>
      <c r="G4" s="12">
        <v>6399</v>
      </c>
      <c r="H4" s="12">
        <v>6399</v>
      </c>
      <c r="I4" s="12">
        <v>6399</v>
      </c>
      <c r="J4" s="12">
        <v>6399</v>
      </c>
      <c r="K4" s="12">
        <v>6399</v>
      </c>
    </row>
    <row r="5" spans="1:11" x14ac:dyDescent="0.3">
      <c r="A5" s="12" t="s">
        <v>18</v>
      </c>
      <c r="B5" s="12">
        <v>0.33900000000000002</v>
      </c>
      <c r="C5" s="12">
        <v>0.33900000000000002</v>
      </c>
      <c r="D5" s="12">
        <v>0.33900000000000002</v>
      </c>
      <c r="E5" s="12">
        <v>0.33900000000000002</v>
      </c>
      <c r="F5" s="12">
        <v>0.33900000000000002</v>
      </c>
      <c r="G5" s="12">
        <v>0.33900000000000002</v>
      </c>
      <c r="H5" s="12">
        <v>0.33900000000000002</v>
      </c>
      <c r="I5" s="12">
        <v>0.33900000000000002</v>
      </c>
      <c r="J5" s="12">
        <v>0.33900000000000002</v>
      </c>
      <c r="K5" s="12">
        <v>0.33900000000000002</v>
      </c>
    </row>
    <row r="6" spans="1:11" x14ac:dyDescent="0.3">
      <c r="A6" s="12" t="s">
        <v>27</v>
      </c>
      <c r="B6" s="12">
        <v>4.7</v>
      </c>
      <c r="C6" s="12">
        <v>4.7</v>
      </c>
      <c r="D6" s="12">
        <v>4.7</v>
      </c>
      <c r="E6" s="12">
        <v>4.7</v>
      </c>
      <c r="F6" s="12">
        <v>4.7</v>
      </c>
      <c r="G6" s="12">
        <v>4.7</v>
      </c>
      <c r="H6" s="12">
        <v>4.7</v>
      </c>
      <c r="I6" s="12">
        <v>4.7</v>
      </c>
      <c r="J6" s="12">
        <v>4.7</v>
      </c>
      <c r="K6" s="12">
        <v>4.7</v>
      </c>
    </row>
    <row r="7" spans="1:11" x14ac:dyDescent="0.3">
      <c r="A7" s="12" t="s">
        <v>29</v>
      </c>
      <c r="B7" s="12">
        <v>2.2292000000000001</v>
      </c>
      <c r="C7" s="12">
        <v>2.2292000000000001</v>
      </c>
      <c r="D7" s="12">
        <v>2.2292000000000001</v>
      </c>
      <c r="E7" s="12">
        <v>2.2292000000000001</v>
      </c>
      <c r="F7" s="12">
        <v>2.2292000000000001</v>
      </c>
      <c r="G7" s="12">
        <v>2.2292000000000001</v>
      </c>
      <c r="H7" s="12">
        <v>2.2292000000000001</v>
      </c>
      <c r="I7" s="12">
        <v>2.2292000000000001</v>
      </c>
      <c r="J7" s="12">
        <v>2.2292000000000001</v>
      </c>
      <c r="K7" s="12">
        <v>2.2292000000000001</v>
      </c>
    </row>
    <row r="8" spans="1:11" x14ac:dyDescent="0.3">
      <c r="A8" s="12" t="s">
        <v>46</v>
      </c>
      <c r="B8" s="12">
        <v>37.799999999999997</v>
      </c>
      <c r="C8" s="12">
        <v>37.799999999999997</v>
      </c>
      <c r="D8" s="12">
        <v>37.799999999999997</v>
      </c>
      <c r="E8" s="12">
        <v>37.799999999999997</v>
      </c>
      <c r="F8" s="12">
        <v>37.799999999999997</v>
      </c>
      <c r="G8" s="12">
        <v>37.799999999999997</v>
      </c>
      <c r="H8" s="12">
        <v>37.799999999999997</v>
      </c>
      <c r="I8" s="12">
        <v>37.799999999999997</v>
      </c>
      <c r="J8" s="12">
        <v>37.799999999999997</v>
      </c>
      <c r="K8" s="12">
        <v>37.799999999999997</v>
      </c>
    </row>
    <row r="9" spans="1:11" x14ac:dyDescent="0.3">
      <c r="A9" s="12" t="s">
        <v>31</v>
      </c>
      <c r="B9" s="12">
        <f>B6-1</f>
        <v>3.7</v>
      </c>
      <c r="C9" s="12">
        <f t="shared" ref="C9:H9" si="0">C6-1</f>
        <v>3.7</v>
      </c>
      <c r="D9" s="12">
        <f t="shared" si="0"/>
        <v>3.7</v>
      </c>
      <c r="E9" s="12">
        <f t="shared" si="0"/>
        <v>3.7</v>
      </c>
      <c r="F9" s="12">
        <f t="shared" si="0"/>
        <v>3.7</v>
      </c>
      <c r="G9" s="12">
        <f t="shared" si="0"/>
        <v>3.7</v>
      </c>
      <c r="H9" s="12">
        <f t="shared" si="0"/>
        <v>3.7</v>
      </c>
      <c r="I9" s="12">
        <f t="shared" ref="I9:K9" si="1">I6-1</f>
        <v>3.7</v>
      </c>
      <c r="J9" s="12">
        <f t="shared" si="1"/>
        <v>3.7</v>
      </c>
      <c r="K9" s="12">
        <f t="shared" si="1"/>
        <v>3.7</v>
      </c>
    </row>
    <row r="10" spans="1:11" x14ac:dyDescent="0.3">
      <c r="A10" s="12"/>
      <c r="B10" s="12"/>
    </row>
    <row r="11" spans="1:11" x14ac:dyDescent="0.3">
      <c r="A11" s="12" t="s">
        <v>117</v>
      </c>
      <c r="B11" s="12">
        <f>(B1*B2^2)/(4*B3*B4)</f>
        <v>5.0632911392405064E-3</v>
      </c>
      <c r="C11" s="12">
        <f t="shared" ref="C11:H11" si="2">(C1*C2^2)/(4*C3*C4)</f>
        <v>5.0632911392405064E-3</v>
      </c>
      <c r="D11" s="12">
        <f t="shared" si="2"/>
        <v>5.0632911392405064E-3</v>
      </c>
      <c r="E11" s="12">
        <f t="shared" si="2"/>
        <v>5.0632911392405064E-3</v>
      </c>
      <c r="F11" s="12">
        <f t="shared" si="2"/>
        <v>5.0632911392405064E-3</v>
      </c>
      <c r="G11" s="12">
        <f t="shared" si="2"/>
        <v>5.0632911392405064E-3</v>
      </c>
      <c r="H11" s="12">
        <f t="shared" si="2"/>
        <v>5.0632911392405064E-3</v>
      </c>
      <c r="I11" s="12">
        <f t="shared" ref="I11:K11" si="3">(I1*I2^2)/(4*I3*I4)</f>
        <v>5.0632911392405064E-3</v>
      </c>
      <c r="J11" s="12">
        <f t="shared" si="3"/>
        <v>5.0632911392405064E-3</v>
      </c>
      <c r="K11" s="12">
        <f t="shared" si="3"/>
        <v>5.0632911392405064E-3</v>
      </c>
    </row>
    <row r="12" spans="1:11" x14ac:dyDescent="0.3">
      <c r="A12" s="12" t="s">
        <v>118</v>
      </c>
      <c r="B12" s="12">
        <f>(B8/B1)+(1/B9)</f>
        <v>0.48027027027027025</v>
      </c>
      <c r="C12" s="12">
        <f t="shared" ref="C12:H12" si="4">(C8/C1)+(1/C9)</f>
        <v>0.48027027027027025</v>
      </c>
      <c r="D12" s="12">
        <f t="shared" si="4"/>
        <v>0.48027027027027025</v>
      </c>
      <c r="E12" s="12">
        <f t="shared" si="4"/>
        <v>0.48027027027027025</v>
      </c>
      <c r="F12" s="12">
        <f t="shared" si="4"/>
        <v>0.48027027027027025</v>
      </c>
      <c r="G12" s="12">
        <f t="shared" si="4"/>
        <v>0.48027027027027025</v>
      </c>
      <c r="H12" s="12">
        <f t="shared" si="4"/>
        <v>0.48027027027027025</v>
      </c>
      <c r="I12" s="12">
        <f t="shared" ref="I12:K12" si="5">(I8/I1)+(1/I9)</f>
        <v>0.48027027027027025</v>
      </c>
      <c r="J12" s="12">
        <f t="shared" si="5"/>
        <v>0.48027027027027025</v>
      </c>
      <c r="K12" s="12">
        <f t="shared" si="5"/>
        <v>0.48027027027027025</v>
      </c>
    </row>
    <row r="13" spans="1:11" x14ac:dyDescent="0.3">
      <c r="A13" s="12" t="s">
        <v>119</v>
      </c>
      <c r="B13" s="12">
        <f>1/B7^2</f>
        <v>0.2012342647281507</v>
      </c>
      <c r="C13" s="12">
        <f t="shared" ref="C13:H13" si="6">1/C7^2</f>
        <v>0.2012342647281507</v>
      </c>
      <c r="D13" s="12">
        <f t="shared" si="6"/>
        <v>0.2012342647281507</v>
      </c>
      <c r="E13" s="12">
        <f t="shared" si="6"/>
        <v>0.2012342647281507</v>
      </c>
      <c r="F13" s="12">
        <f t="shared" si="6"/>
        <v>0.2012342647281507</v>
      </c>
      <c r="G13" s="12">
        <f t="shared" si="6"/>
        <v>0.2012342647281507</v>
      </c>
      <c r="H13" s="12">
        <f t="shared" si="6"/>
        <v>0.2012342647281507</v>
      </c>
      <c r="I13" s="12">
        <f t="shared" ref="I13:K13" si="7">1/I7^2</f>
        <v>0.2012342647281507</v>
      </c>
      <c r="J13" s="12">
        <f t="shared" si="7"/>
        <v>0.2012342647281507</v>
      </c>
      <c r="K13" s="12">
        <f t="shared" si="7"/>
        <v>0.2012342647281507</v>
      </c>
    </row>
    <row r="14" spans="1:11" x14ac:dyDescent="0.3">
      <c r="A14" s="12" t="s">
        <v>120</v>
      </c>
      <c r="B14" s="12">
        <f>1-B5</f>
        <v>0.66100000000000003</v>
      </c>
      <c r="C14" s="12">
        <f t="shared" ref="C14:H14" si="8">1-C5</f>
        <v>0.66100000000000003</v>
      </c>
      <c r="D14" s="12">
        <f t="shared" si="8"/>
        <v>0.66100000000000003</v>
      </c>
      <c r="E14" s="12">
        <f t="shared" si="8"/>
        <v>0.66100000000000003</v>
      </c>
      <c r="F14" s="12">
        <f t="shared" si="8"/>
        <v>0.66100000000000003</v>
      </c>
      <c r="G14" s="12">
        <f t="shared" si="8"/>
        <v>0.66100000000000003</v>
      </c>
      <c r="H14" s="12">
        <f t="shared" si="8"/>
        <v>0.66100000000000003</v>
      </c>
      <c r="I14" s="12">
        <f t="shared" ref="I14:K14" si="9">1-I5</f>
        <v>0.66100000000000003</v>
      </c>
      <c r="J14" s="12">
        <f t="shared" si="9"/>
        <v>0.66100000000000003</v>
      </c>
      <c r="K14" s="12">
        <f t="shared" si="9"/>
        <v>0.66100000000000003</v>
      </c>
    </row>
    <row r="15" spans="1:11" x14ac:dyDescent="0.3">
      <c r="A15" s="12" t="s">
        <v>116</v>
      </c>
      <c r="B15" s="12">
        <f>(2/(B7*B7*B9))</f>
        <v>0.10877527823143281</v>
      </c>
      <c r="C15" s="12">
        <f t="shared" ref="C15:H15" si="10">(2/(C7*C7*C9))</f>
        <v>0.10877527823143281</v>
      </c>
      <c r="D15" s="12">
        <f t="shared" si="10"/>
        <v>0.10877527823143281</v>
      </c>
      <c r="E15" s="12">
        <f t="shared" si="10"/>
        <v>0.10877527823143281</v>
      </c>
      <c r="F15" s="12">
        <f t="shared" si="10"/>
        <v>0.10877527823143281</v>
      </c>
      <c r="G15" s="12">
        <f t="shared" si="10"/>
        <v>0.10877527823143281</v>
      </c>
      <c r="H15" s="12">
        <f t="shared" si="10"/>
        <v>0.10877527823143281</v>
      </c>
      <c r="I15" s="12">
        <f t="shared" ref="I15:K15" si="11">(2/(I7*I7*I9))</f>
        <v>0.10877527823143281</v>
      </c>
      <c r="J15" s="12">
        <f t="shared" si="11"/>
        <v>0.10877527823143281</v>
      </c>
      <c r="K15" s="12">
        <f t="shared" si="11"/>
        <v>0.10877527823143281</v>
      </c>
    </row>
    <row r="16" spans="1:11" x14ac:dyDescent="0.3">
      <c r="A16" s="12" t="s">
        <v>121</v>
      </c>
      <c r="B16" s="12">
        <f>SQRT(B6^2-1)/B7</f>
        <v>2.0601045223766437</v>
      </c>
      <c r="C16" s="12">
        <f t="shared" ref="C16:H16" si="12">SQRT(C6^2-1)/C7</f>
        <v>2.0601045223766437</v>
      </c>
      <c r="D16" s="12">
        <f t="shared" si="12"/>
        <v>2.0601045223766437</v>
      </c>
      <c r="E16" s="12">
        <f t="shared" si="12"/>
        <v>2.0601045223766437</v>
      </c>
      <c r="F16" s="12">
        <f t="shared" si="12"/>
        <v>2.0601045223766437</v>
      </c>
      <c r="G16" s="12">
        <f t="shared" si="12"/>
        <v>2.0601045223766437</v>
      </c>
      <c r="H16" s="12">
        <f t="shared" si="12"/>
        <v>2.0601045223766437</v>
      </c>
      <c r="I16" s="12">
        <f t="shared" ref="I16:K16" si="13">SQRT(I6^2-1)/I7</f>
        <v>2.0601045223766437</v>
      </c>
      <c r="J16" s="12">
        <f t="shared" si="13"/>
        <v>2.0601045223766437</v>
      </c>
      <c r="K16" s="12">
        <f t="shared" si="13"/>
        <v>2.0601045223766437</v>
      </c>
    </row>
    <row r="18" spans="1:11" x14ac:dyDescent="0.3">
      <c r="A18" t="s">
        <v>122</v>
      </c>
    </row>
    <row r="19" spans="1:11" x14ac:dyDescent="0.3">
      <c r="A19" s="12" t="s">
        <v>48</v>
      </c>
      <c r="B19" s="12">
        <v>0.9</v>
      </c>
      <c r="C19" s="12">
        <v>0.8</v>
      </c>
      <c r="D19" s="12">
        <v>0.7</v>
      </c>
      <c r="E19" s="12">
        <v>0.6</v>
      </c>
      <c r="F19" s="12">
        <v>0.5</v>
      </c>
      <c r="G19" s="12">
        <v>0.4</v>
      </c>
      <c r="H19" s="12">
        <v>0.3</v>
      </c>
      <c r="I19" s="12">
        <v>0.2</v>
      </c>
      <c r="J19" s="12">
        <v>0.1</v>
      </c>
      <c r="K19" s="12">
        <v>0</v>
      </c>
    </row>
    <row r="20" spans="1:11" x14ac:dyDescent="0.3">
      <c r="A20" s="12" t="s">
        <v>47</v>
      </c>
      <c r="B20" s="12">
        <v>135.6</v>
      </c>
      <c r="C20" s="12">
        <v>100.2</v>
      </c>
      <c r="D20" s="12">
        <v>72.36</v>
      </c>
      <c r="E20" s="12">
        <v>50.4</v>
      </c>
      <c r="F20" s="12">
        <v>33.479999999999997</v>
      </c>
      <c r="G20" s="12">
        <v>20.64</v>
      </c>
      <c r="H20" s="12">
        <v>11.28</v>
      </c>
      <c r="I20" s="12">
        <v>4.92</v>
      </c>
      <c r="J20" s="12">
        <v>1.2</v>
      </c>
      <c r="K20" s="12">
        <v>0</v>
      </c>
    </row>
    <row r="21" spans="1:11" x14ac:dyDescent="0.3">
      <c r="A21" s="12" t="s">
        <v>123</v>
      </c>
      <c r="B21" s="12">
        <f>1-B19^2</f>
        <v>0.18999999999999995</v>
      </c>
      <c r="C21" s="14">
        <f t="shared" ref="C21:K21" si="14">1-C19^2</f>
        <v>0.35999999999999988</v>
      </c>
      <c r="D21" s="14">
        <f t="shared" si="14"/>
        <v>0.51</v>
      </c>
      <c r="E21" s="14">
        <f t="shared" si="14"/>
        <v>0.64</v>
      </c>
      <c r="F21" s="14">
        <f t="shared" si="14"/>
        <v>0.75</v>
      </c>
      <c r="G21" s="14">
        <f t="shared" si="14"/>
        <v>0.84</v>
      </c>
      <c r="H21" s="14">
        <f t="shared" si="14"/>
        <v>0.91</v>
      </c>
      <c r="I21" s="14">
        <f t="shared" si="14"/>
        <v>0.96</v>
      </c>
      <c r="J21" s="14">
        <f t="shared" si="14"/>
        <v>0.99</v>
      </c>
      <c r="K21" s="14">
        <f t="shared" si="14"/>
        <v>1</v>
      </c>
    </row>
    <row r="22" spans="1:11" x14ac:dyDescent="0.3">
      <c r="A22" s="14" t="s">
        <v>128</v>
      </c>
      <c r="B22" s="14">
        <f>1-B19^3</f>
        <v>0.27099999999999991</v>
      </c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3">
      <c r="A23" s="12" t="s">
        <v>124</v>
      </c>
      <c r="B23" s="12">
        <f>B20/B1</f>
        <v>0.7533333333333333</v>
      </c>
      <c r="C23" s="12">
        <f t="shared" ref="C23:H23" si="15">C20/C1</f>
        <v>0.55666666666666664</v>
      </c>
      <c r="D23" s="12">
        <f t="shared" si="15"/>
        <v>0.40200000000000002</v>
      </c>
      <c r="E23" s="12">
        <f t="shared" si="15"/>
        <v>0.27999999999999997</v>
      </c>
      <c r="F23" s="12">
        <f t="shared" si="15"/>
        <v>0.18599999999999997</v>
      </c>
      <c r="G23" s="12">
        <f t="shared" si="15"/>
        <v>0.11466666666666667</v>
      </c>
      <c r="H23" s="12">
        <f t="shared" si="15"/>
        <v>6.2666666666666662E-2</v>
      </c>
      <c r="I23" s="12">
        <f>I20/I1</f>
        <v>2.7333333333333334E-2</v>
      </c>
      <c r="J23" s="12">
        <f t="shared" ref="J23:K23" si="16">J20/J1</f>
        <v>6.6666666666666662E-3</v>
      </c>
      <c r="K23" s="12">
        <f t="shared" si="16"/>
        <v>0</v>
      </c>
    </row>
    <row r="24" spans="1:11" x14ac:dyDescent="0.3">
      <c r="A24" s="12" t="s">
        <v>125</v>
      </c>
      <c r="B24" s="12">
        <f>B23*B19</f>
        <v>0.67799999999999994</v>
      </c>
      <c r="C24" s="12">
        <f t="shared" ref="C24:H24" si="17">C23*C19</f>
        <v>0.44533333333333336</v>
      </c>
      <c r="D24" s="12">
        <f t="shared" si="17"/>
        <v>0.28139999999999998</v>
      </c>
      <c r="E24" s="12">
        <f t="shared" si="17"/>
        <v>0.16799999999999998</v>
      </c>
      <c r="F24" s="12">
        <f t="shared" si="17"/>
        <v>9.2999999999999985E-2</v>
      </c>
      <c r="G24" s="12">
        <f t="shared" si="17"/>
        <v>4.5866666666666667E-2</v>
      </c>
      <c r="H24" s="12">
        <f t="shared" si="17"/>
        <v>1.8799999999999997E-2</v>
      </c>
      <c r="I24" s="12">
        <f>I23*I19</f>
        <v>5.4666666666666674E-3</v>
      </c>
      <c r="J24" s="12">
        <f t="shared" ref="J24" si="18">J23*J19</f>
        <v>6.6666666666666664E-4</v>
      </c>
      <c r="K24" s="12">
        <f t="shared" ref="K24" si="19">K23*K19</f>
        <v>0</v>
      </c>
    </row>
    <row r="26" spans="1:11" x14ac:dyDescent="0.3">
      <c r="A26" s="12" t="s">
        <v>126</v>
      </c>
      <c r="B26">
        <f>SQRT((1+B23*B9)^2-1)</f>
        <v>3.6529294788946824</v>
      </c>
      <c r="C26">
        <f t="shared" ref="C26:H26" si="20">SQRT((1+C23*C9)^2-1)</f>
        <v>2.8916362342298716</v>
      </c>
      <c r="D26">
        <f t="shared" si="20"/>
        <v>2.2775334816419273</v>
      </c>
      <c r="E26">
        <f t="shared" si="20"/>
        <v>1.7734982379466859</v>
      </c>
      <c r="F26">
        <f t="shared" si="20"/>
        <v>1.3601541236198198</v>
      </c>
      <c r="G26">
        <f t="shared" si="20"/>
        <v>1.0141674111199677</v>
      </c>
      <c r="H26">
        <f t="shared" si="20"/>
        <v>0.71937158996199202</v>
      </c>
      <c r="I26">
        <f>SQRT((1+I23*I9)^2-1)</f>
        <v>0.46097138498802481</v>
      </c>
      <c r="J26">
        <f t="shared" ref="J26:K26" si="21">SQRT((1+J23*J9)^2-1)</f>
        <v>0.22347657098178716</v>
      </c>
      <c r="K26">
        <f t="shared" si="21"/>
        <v>0</v>
      </c>
    </row>
    <row r="28" spans="1:11" x14ac:dyDescent="0.3">
      <c r="A28" s="12" t="s">
        <v>50</v>
      </c>
      <c r="B28">
        <f>(B12*B21)/2</f>
        <v>4.5625675675675659E-2</v>
      </c>
      <c r="C28">
        <f t="shared" ref="C28:H28" si="22">(C12*C21)/2</f>
        <v>8.644864864864861E-2</v>
      </c>
      <c r="D28">
        <f t="shared" si="22"/>
        <v>0.12246891891891891</v>
      </c>
      <c r="E28">
        <f t="shared" si="22"/>
        <v>0.15368648648648647</v>
      </c>
      <c r="F28">
        <f t="shared" si="22"/>
        <v>0.18010135135135136</v>
      </c>
      <c r="G28">
        <f t="shared" si="22"/>
        <v>0.20171351351351349</v>
      </c>
      <c r="H28">
        <f t="shared" si="22"/>
        <v>0.21852297297297296</v>
      </c>
      <c r="I28">
        <f>(I12*I21)/2</f>
        <v>0.23052972972972971</v>
      </c>
      <c r="J28">
        <f t="shared" ref="J28:K28" si="23">(J12*J21)/2</f>
        <v>0.23773378378378376</v>
      </c>
      <c r="K28">
        <f t="shared" si="23"/>
        <v>0.24013513513513512</v>
      </c>
    </row>
    <row r="29" spans="1:11" x14ac:dyDescent="0.3">
      <c r="A29" s="12" t="s">
        <v>52</v>
      </c>
      <c r="B29">
        <f>B13*(1-B23)</f>
        <v>4.9637785299610514E-2</v>
      </c>
      <c r="C29">
        <f t="shared" ref="C29:H29" si="24">C13*(1-C23)</f>
        <v>8.9213857362813481E-2</v>
      </c>
      <c r="D29">
        <f t="shared" si="24"/>
        <v>0.12033809030743411</v>
      </c>
      <c r="E29">
        <f t="shared" si="24"/>
        <v>0.14488867060426849</v>
      </c>
      <c r="F29">
        <f t="shared" si="24"/>
        <v>0.16380469148871468</v>
      </c>
      <c r="G29">
        <f t="shared" si="24"/>
        <v>0.17815940237265609</v>
      </c>
      <c r="H29">
        <f t="shared" si="24"/>
        <v>0.18862358413851993</v>
      </c>
      <c r="I29">
        <f>I13*(1-I23)</f>
        <v>0.19573386149224792</v>
      </c>
      <c r="J29">
        <f t="shared" ref="J29:K29" si="25">J13*(1-J23)</f>
        <v>0.19989270296329636</v>
      </c>
      <c r="K29">
        <f t="shared" si="25"/>
        <v>0.2012342647281507</v>
      </c>
    </row>
    <row r="30" spans="1:11" x14ac:dyDescent="0.3">
      <c r="A30" s="12" t="s">
        <v>53</v>
      </c>
      <c r="B30">
        <f>(B12*B22)/6</f>
        <v>2.1692207207207201E-2</v>
      </c>
      <c r="C30">
        <f t="shared" ref="C30:K30" si="26">(C12*C22)/6</f>
        <v>0</v>
      </c>
      <c r="D30">
        <f t="shared" si="26"/>
        <v>0</v>
      </c>
      <c r="E30">
        <f t="shared" si="26"/>
        <v>0</v>
      </c>
      <c r="F30">
        <f t="shared" si="26"/>
        <v>0</v>
      </c>
      <c r="G30">
        <f t="shared" si="26"/>
        <v>0</v>
      </c>
      <c r="H30">
        <f t="shared" si="26"/>
        <v>0</v>
      </c>
      <c r="I30">
        <f t="shared" si="26"/>
        <v>0</v>
      </c>
      <c r="J30">
        <f t="shared" si="26"/>
        <v>0</v>
      </c>
      <c r="K30">
        <f t="shared" si="26"/>
        <v>0</v>
      </c>
    </row>
    <row r="31" spans="1:11" x14ac:dyDescent="0.3">
      <c r="A31" s="12" t="s">
        <v>54</v>
      </c>
      <c r="B31">
        <f>B13*(1-B24)</f>
        <v>6.4797433242464536E-2</v>
      </c>
      <c r="C31">
        <f t="shared" ref="C31:H31" si="27">C13*(1-C24)</f>
        <v>0.11161793883588092</v>
      </c>
      <c r="D31">
        <f t="shared" si="27"/>
        <v>0.14460694263364909</v>
      </c>
      <c r="E31">
        <f t="shared" si="27"/>
        <v>0.16742690825382139</v>
      </c>
      <c r="F31">
        <f t="shared" si="27"/>
        <v>0.18251947810843269</v>
      </c>
      <c r="G31">
        <f t="shared" si="27"/>
        <v>0.19200431978595284</v>
      </c>
      <c r="H31">
        <f t="shared" si="27"/>
        <v>0.19745106055126146</v>
      </c>
      <c r="I31">
        <f>I13*(1-I24)</f>
        <v>0.20013418408097017</v>
      </c>
      <c r="J31">
        <f t="shared" ref="J31:K31" si="28">J13*(1-J24)</f>
        <v>0.20110010855166527</v>
      </c>
      <c r="K31">
        <f t="shared" si="28"/>
        <v>0.2012342647281507</v>
      </c>
    </row>
    <row r="32" spans="1:11" x14ac:dyDescent="0.3">
      <c r="A32" s="12" t="s">
        <v>55</v>
      </c>
      <c r="B32">
        <f>B15*(1-B19-B16+(B26/B7))</f>
        <v>-3.4963821465273208E-2</v>
      </c>
      <c r="C32">
        <f t="shared" ref="C32:H32" si="29">C15*(1-C19-C16+(C26/C7))</f>
        <v>-6.1234097564669444E-2</v>
      </c>
      <c r="D32">
        <f t="shared" si="29"/>
        <v>-8.0322116922327519E-2</v>
      </c>
      <c r="E32">
        <f t="shared" si="29"/>
        <v>-9.4039319886640688E-2</v>
      </c>
      <c r="F32">
        <f t="shared" si="29"/>
        <v>-0.10333118962371184</v>
      </c>
      <c r="G32">
        <f t="shared" si="29"/>
        <v>-0.10933631069548606</v>
      </c>
      <c r="H32">
        <f t="shared" si="29"/>
        <v>-0.11284353859992335</v>
      </c>
      <c r="I32">
        <f>I15*(1-I19-I16+(I26/I7))</f>
        <v>-0.11457481850650486</v>
      </c>
      <c r="J32">
        <f t="shared" ref="J32:K32" si="30">J15*(1-J19-J16+(J26/J7))</f>
        <v>-0.11528600612928429</v>
      </c>
      <c r="K32">
        <f t="shared" si="30"/>
        <v>-0.1153131643759196</v>
      </c>
    </row>
    <row r="34" spans="1:11" x14ac:dyDescent="0.3">
      <c r="A34" s="12" t="s">
        <v>127</v>
      </c>
      <c r="B34">
        <f>(B28-B29-B14*(B30-B31-B32))</f>
        <v>1.3693587968246533E-3</v>
      </c>
      <c r="C34">
        <f t="shared" ref="C34:H34" si="31">(C28-C29-C14*(C30-C31-C32))</f>
        <v>3.0538510366105914E-2</v>
      </c>
      <c r="D34">
        <f t="shared" si="31"/>
        <v>4.4623098406668359E-2</v>
      </c>
      <c r="E34">
        <f t="shared" si="31"/>
        <v>5.7307011792924425E-2</v>
      </c>
      <c r="F34">
        <f t="shared" si="31"/>
        <v>6.864011855103716E-2</v>
      </c>
      <c r="G34">
        <f t="shared" si="31"/>
        <v>7.819766514965594E-2</v>
      </c>
      <c r="H34">
        <f t="shared" si="31"/>
        <v>8.5824960844287534E-2</v>
      </c>
      <c r="I34">
        <f>(I28-I29-I14*(I30-I31-I32))</f>
        <v>9.1350608882203366E-2</v>
      </c>
      <c r="J34">
        <f t="shared" ref="J34:K34" si="32">(J28-J29-J14*(J30-J31-J32))</f>
        <v>9.456420252168124E-2</v>
      </c>
      <c r="K34">
        <f t="shared" si="32"/>
        <v>9.5694717739809185E-2</v>
      </c>
    </row>
    <row r="36" spans="1:11" x14ac:dyDescent="0.3">
      <c r="A36" s="12" t="s">
        <v>89</v>
      </c>
      <c r="B36">
        <f>B34*B11</f>
        <v>6.9334622624033083E-6</v>
      </c>
      <c r="C36">
        <f t="shared" ref="C36:H36" si="33">C34*C11</f>
        <v>1.5462536894230843E-4</v>
      </c>
      <c r="D36">
        <f t="shared" si="33"/>
        <v>2.2593973876794106E-4</v>
      </c>
      <c r="E36">
        <f t="shared" si="33"/>
        <v>2.9016208502746543E-4</v>
      </c>
      <c r="F36">
        <f t="shared" si="33"/>
        <v>3.4754490405588439E-4</v>
      </c>
      <c r="G36">
        <f t="shared" si="33"/>
        <v>3.9593754506154908E-4</v>
      </c>
      <c r="H36">
        <f t="shared" si="33"/>
        <v>4.3455676376854451E-4</v>
      </c>
      <c r="I36">
        <f>I34*I11</f>
        <v>4.6253472851748539E-4</v>
      </c>
      <c r="J36">
        <f t="shared" ref="J36:K36" si="34">J34*J11</f>
        <v>4.7880608871737337E-4</v>
      </c>
      <c r="K36">
        <f t="shared" si="34"/>
        <v>4.8453021640409717E-4</v>
      </c>
    </row>
    <row r="38" spans="1:11" x14ac:dyDescent="0.3">
      <c r="A38" s="12" t="s">
        <v>88</v>
      </c>
      <c r="B38">
        <f>0.0001246</f>
        <v>1.2459999999999999E-4</v>
      </c>
      <c r="C38">
        <f t="shared" ref="C38:K38" si="35">0.0001246</f>
        <v>1.2459999999999999E-4</v>
      </c>
      <c r="D38">
        <f t="shared" si="35"/>
        <v>1.2459999999999999E-4</v>
      </c>
      <c r="E38">
        <f t="shared" si="35"/>
        <v>1.2459999999999999E-4</v>
      </c>
      <c r="F38">
        <f t="shared" si="35"/>
        <v>1.2459999999999999E-4</v>
      </c>
      <c r="G38">
        <f t="shared" si="35"/>
        <v>1.2459999999999999E-4</v>
      </c>
      <c r="H38">
        <f t="shared" si="35"/>
        <v>1.2459999999999999E-4</v>
      </c>
      <c r="I38">
        <f t="shared" si="35"/>
        <v>1.2459999999999999E-4</v>
      </c>
      <c r="J38">
        <f t="shared" si="35"/>
        <v>1.2459999999999999E-4</v>
      </c>
      <c r="K38">
        <f t="shared" si="35"/>
        <v>1.2459999999999999E-4</v>
      </c>
    </row>
    <row r="40" spans="1:11" x14ac:dyDescent="0.3">
      <c r="A40" s="12" t="s">
        <v>38</v>
      </c>
      <c r="B40">
        <f>B36/B38</f>
        <v>5.5645764545772941E-2</v>
      </c>
      <c r="C40">
        <f t="shared" ref="C40:K40" si="36">C36/C38</f>
        <v>1.2409740685578527</v>
      </c>
      <c r="D40">
        <f t="shared" si="36"/>
        <v>1.8133205358582751</v>
      </c>
      <c r="E40">
        <f t="shared" si="36"/>
        <v>2.3287486759828688</v>
      </c>
      <c r="F40">
        <f t="shared" si="36"/>
        <v>2.7892849442687351</v>
      </c>
      <c r="G40">
        <f t="shared" si="36"/>
        <v>3.1776689009755144</v>
      </c>
      <c r="H40">
        <f t="shared" si="36"/>
        <v>3.4876144764730701</v>
      </c>
      <c r="I40">
        <f>I36/I38</f>
        <v>3.712156729674843</v>
      </c>
      <c r="J40">
        <f t="shared" si="36"/>
        <v>3.8427454953240239</v>
      </c>
      <c r="K40">
        <f t="shared" si="36"/>
        <v>3.8886855249124976</v>
      </c>
    </row>
    <row r="42" spans="1:11" x14ac:dyDescent="0.3">
      <c r="B42">
        <f>B40/(2*(1+B19))</f>
        <v>1.4643622248887617E-2</v>
      </c>
      <c r="C42">
        <f t="shared" ref="C42:K42" si="37">C40/(2*(1+C19))</f>
        <v>0.34471501904384799</v>
      </c>
      <c r="D42">
        <f t="shared" si="37"/>
        <v>0.53332956937008091</v>
      </c>
      <c r="E42">
        <f t="shared" si="37"/>
        <v>0.72773396124464651</v>
      </c>
      <c r="F42">
        <f t="shared" si="37"/>
        <v>0.9297616480895784</v>
      </c>
      <c r="G42">
        <f t="shared" si="37"/>
        <v>1.1348817503483981</v>
      </c>
      <c r="H42">
        <f t="shared" si="37"/>
        <v>1.341390183258873</v>
      </c>
      <c r="I42">
        <f t="shared" si="37"/>
        <v>1.5467319706978513</v>
      </c>
      <c r="J42">
        <f t="shared" si="37"/>
        <v>1.7467024978745562</v>
      </c>
      <c r="K42">
        <f t="shared" si="37"/>
        <v>1.9443427624562488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75" zoomScaleNormal="175" workbookViewId="0">
      <selection activeCell="F3" sqref="F3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100</v>
      </c>
    </row>
    <row r="3" spans="1:3" x14ac:dyDescent="0.3">
      <c r="A3" t="s">
        <v>5</v>
      </c>
      <c r="B3" s="1" t="s">
        <v>4</v>
      </c>
      <c r="C3" s="1">
        <v>15</v>
      </c>
    </row>
    <row r="4" spans="1:3" x14ac:dyDescent="0.3">
      <c r="A4" t="s">
        <v>6</v>
      </c>
      <c r="B4" s="1" t="s">
        <v>7</v>
      </c>
      <c r="C4" s="1">
        <v>505</v>
      </c>
    </row>
    <row r="5" spans="1:3" x14ac:dyDescent="0.3">
      <c r="A5" t="s">
        <v>8</v>
      </c>
      <c r="B5" s="1" t="s">
        <v>7</v>
      </c>
      <c r="C5" s="4">
        <v>2371</v>
      </c>
    </row>
    <row r="6" spans="1:3" x14ac:dyDescent="0.3">
      <c r="A6" t="s">
        <v>9</v>
      </c>
      <c r="B6" s="1" t="s">
        <v>11</v>
      </c>
      <c r="C6" s="4">
        <v>18</v>
      </c>
    </row>
    <row r="7" spans="1:3" x14ac:dyDescent="0.3">
      <c r="A7" t="s">
        <v>10</v>
      </c>
      <c r="B7" s="1" t="s">
        <v>11</v>
      </c>
      <c r="C7" s="4">
        <v>27</v>
      </c>
    </row>
    <row r="8" spans="1:3" x14ac:dyDescent="0.3">
      <c r="A8" t="s">
        <v>12</v>
      </c>
      <c r="B8" s="1" t="s">
        <v>13</v>
      </c>
      <c r="C8" s="4">
        <v>2000000</v>
      </c>
    </row>
    <row r="9" spans="1:3" x14ac:dyDescent="0.3">
      <c r="A9" t="s">
        <v>14</v>
      </c>
      <c r="B9" s="1" t="s">
        <v>16</v>
      </c>
      <c r="C9" s="4">
        <v>6399</v>
      </c>
    </row>
    <row r="10" spans="1:3" x14ac:dyDescent="0.3">
      <c r="A10" t="s">
        <v>15</v>
      </c>
      <c r="B10" s="1" t="s">
        <v>16</v>
      </c>
      <c r="C10" s="4">
        <v>24560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</v>
      </c>
      <c r="B1">
        <v>0.84509999999999996</v>
      </c>
      <c r="C1">
        <v>0.76939999999999997</v>
      </c>
    </row>
    <row r="2" spans="1:3" x14ac:dyDescent="0.3">
      <c r="A2" t="s">
        <v>14</v>
      </c>
      <c r="B2">
        <v>6399</v>
      </c>
    </row>
    <row r="3" spans="1:3" x14ac:dyDescent="0.3">
      <c r="A3" t="s">
        <v>15</v>
      </c>
      <c r="B3">
        <v>24560</v>
      </c>
    </row>
    <row r="4" spans="1:3" x14ac:dyDescent="0.3">
      <c r="A4" t="s">
        <v>18</v>
      </c>
      <c r="B4">
        <f>B2/(B3*B1)</f>
        <v>0.30830150586423288</v>
      </c>
    </row>
    <row r="5" spans="1:3" x14ac:dyDescent="0.3">
      <c r="A5" t="s">
        <v>19</v>
      </c>
      <c r="B5">
        <v>0.4</v>
      </c>
    </row>
    <row r="6" spans="1:3" x14ac:dyDescent="0.3">
      <c r="A6" t="s">
        <v>20</v>
      </c>
      <c r="B6">
        <f>B2/(B5*B1)</f>
        <v>18929.712460063896</v>
      </c>
    </row>
    <row r="7" spans="1:3" x14ac:dyDescent="0.3">
      <c r="A7" t="s">
        <v>21</v>
      </c>
      <c r="B7" s="1">
        <v>24550</v>
      </c>
    </row>
    <row r="8" spans="1:3" x14ac:dyDescent="0.3">
      <c r="A8" t="s">
        <v>22</v>
      </c>
      <c r="B8">
        <v>505</v>
      </c>
    </row>
    <row r="9" spans="1:3" x14ac:dyDescent="0.3">
      <c r="A9" t="s">
        <v>23</v>
      </c>
      <c r="B9">
        <v>2373.5</v>
      </c>
    </row>
    <row r="10" spans="1:3" x14ac:dyDescent="0.3">
      <c r="A10" t="s">
        <v>24</v>
      </c>
      <c r="B10">
        <v>1.347</v>
      </c>
    </row>
    <row r="11" spans="1:3" x14ac:dyDescent="0.3">
      <c r="A11" t="s">
        <v>25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t="s">
        <v>17</v>
      </c>
      <c r="K1" s="1" t="s">
        <v>35</v>
      </c>
      <c r="L1" s="1" t="s">
        <v>36</v>
      </c>
      <c r="M1" s="1" t="s">
        <v>14</v>
      </c>
      <c r="N1" s="15" t="s">
        <v>18</v>
      </c>
      <c r="O1" s="15"/>
      <c r="P1" s="15"/>
      <c r="Q1" s="15"/>
      <c r="R1" s="15"/>
      <c r="S1" s="15"/>
      <c r="T1" s="15" t="s">
        <v>15</v>
      </c>
      <c r="U1" s="15"/>
      <c r="V1" s="15"/>
      <c r="W1" s="15"/>
      <c r="X1" s="15"/>
      <c r="Y1" s="15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F9" sqref="F9"/>
    </sheetView>
  </sheetViews>
  <sheetFormatPr defaultRowHeight="14.4" x14ac:dyDescent="0.3"/>
  <sheetData>
    <row r="1" spans="1:2" x14ac:dyDescent="0.3">
      <c r="A1" s="1" t="s">
        <v>37</v>
      </c>
      <c r="B1" s="1" t="s">
        <v>15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38</v>
      </c>
      <c r="D1" t="s">
        <v>39</v>
      </c>
      <c r="F1" t="s">
        <v>40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41</v>
      </c>
      <c r="B6" t="s">
        <v>42</v>
      </c>
      <c r="C6" t="s">
        <v>43</v>
      </c>
      <c r="D6" t="s">
        <v>44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235" zoomScaleNormal="235" workbookViewId="0">
      <selection activeCell="D57" sqref="D57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28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45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30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12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14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46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27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29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18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51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47</v>
      </c>
      <c r="B12">
        <v>0</v>
      </c>
      <c r="C12">
        <v>1.212</v>
      </c>
      <c r="D12">
        <v>4.92</v>
      </c>
      <c r="E12">
        <v>11.304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48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50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 t="shared" ref="L15" si="2">(L1*L2*L2)/(4*L4*L5)</f>
        <v>5.0632911392405064E-3</v>
      </c>
    </row>
    <row r="16" spans="1:12" x14ac:dyDescent="0.3">
      <c r="A16" t="s">
        <v>52</v>
      </c>
      <c r="B16">
        <f>B6/B1</f>
        <v>0.21027777777777779</v>
      </c>
      <c r="C16">
        <f t="shared" ref="C16:K16" si="3">C6/C1</f>
        <v>0.21027777777777779</v>
      </c>
      <c r="D16">
        <f t="shared" si="3"/>
        <v>0.21027777777777779</v>
      </c>
      <c r="E16">
        <f t="shared" si="3"/>
        <v>0.21027777777777779</v>
      </c>
      <c r="F16">
        <f t="shared" si="3"/>
        <v>0.21027777777777779</v>
      </c>
      <c r="G16">
        <f t="shared" si="3"/>
        <v>0.21027777777777779</v>
      </c>
      <c r="H16">
        <f t="shared" si="3"/>
        <v>0.21027777777777779</v>
      </c>
      <c r="I16">
        <f t="shared" si="3"/>
        <v>0.21027777777777779</v>
      </c>
      <c r="J16">
        <f t="shared" si="3"/>
        <v>0.21027777777777779</v>
      </c>
      <c r="K16">
        <f t="shared" si="3"/>
        <v>0.21027777777777779</v>
      </c>
      <c r="L16">
        <f t="shared" ref="L16" si="4">L6/L1</f>
        <v>0.21027777777777779</v>
      </c>
    </row>
    <row r="17" spans="1:12" x14ac:dyDescent="0.3">
      <c r="A17" t="s">
        <v>53</v>
      </c>
      <c r="B17">
        <f>1/(B7-1)</f>
        <v>0.2706359945872801</v>
      </c>
      <c r="C17">
        <f t="shared" ref="C17:K17" si="5">1/(C7-1)</f>
        <v>0.2706359945872801</v>
      </c>
      <c r="D17">
        <f t="shared" si="5"/>
        <v>0.2706359945872801</v>
      </c>
      <c r="E17">
        <f t="shared" si="5"/>
        <v>0.2706359945872801</v>
      </c>
      <c r="F17">
        <f t="shared" si="5"/>
        <v>0.2706359945872801</v>
      </c>
      <c r="G17">
        <f t="shared" si="5"/>
        <v>0.2706359945872801</v>
      </c>
      <c r="H17">
        <f t="shared" si="5"/>
        <v>0.2706359945872801</v>
      </c>
      <c r="I17">
        <f t="shared" si="5"/>
        <v>0.2706359945872801</v>
      </c>
      <c r="J17">
        <f t="shared" si="5"/>
        <v>0.2706359945872801</v>
      </c>
      <c r="K17">
        <f t="shared" si="5"/>
        <v>0.2706359945872801</v>
      </c>
      <c r="L17">
        <f t="shared" ref="L17" si="6">1/(L7-1)</f>
        <v>0.2706359945872801</v>
      </c>
    </row>
    <row r="18" spans="1:12" x14ac:dyDescent="0.3">
      <c r="A18" t="s">
        <v>54</v>
      </c>
      <c r="B18">
        <f>(1-B13^2)/2</f>
        <v>0.5</v>
      </c>
      <c r="C18">
        <f t="shared" ref="C18:K18" si="7">(1-C13^2)/2</f>
        <v>0.495</v>
      </c>
      <c r="D18">
        <f t="shared" si="7"/>
        <v>0.48</v>
      </c>
      <c r="E18">
        <f t="shared" si="7"/>
        <v>0.45500000000000002</v>
      </c>
      <c r="F18">
        <f t="shared" si="7"/>
        <v>0.42</v>
      </c>
      <c r="G18">
        <f t="shared" si="7"/>
        <v>0.375</v>
      </c>
      <c r="H18">
        <f t="shared" si="7"/>
        <v>0.32</v>
      </c>
      <c r="I18">
        <f t="shared" si="7"/>
        <v>0.255</v>
      </c>
      <c r="J18">
        <f t="shared" si="7"/>
        <v>0.17999999999999994</v>
      </c>
      <c r="K18">
        <f t="shared" si="7"/>
        <v>9.4999999999999973E-2</v>
      </c>
      <c r="L18">
        <f t="shared" ref="L18" si="8">(1-L13^2)/2</f>
        <v>0</v>
      </c>
    </row>
    <row r="20" spans="1:12" x14ac:dyDescent="0.3">
      <c r="A20" t="s">
        <v>55</v>
      </c>
      <c r="B20">
        <f>1/(B8^2)</f>
        <v>0.20143301014595311</v>
      </c>
      <c r="C20">
        <f t="shared" ref="C20:K20" si="9">1/(C8^2)</f>
        <v>0.20143301014595311</v>
      </c>
      <c r="D20">
        <f t="shared" si="9"/>
        <v>0.20143301014595311</v>
      </c>
      <c r="E20">
        <f t="shared" si="9"/>
        <v>0.20143301014595311</v>
      </c>
      <c r="F20">
        <f t="shared" si="9"/>
        <v>0.20143301014595311</v>
      </c>
      <c r="G20">
        <f t="shared" si="9"/>
        <v>0.20143301014595311</v>
      </c>
      <c r="H20">
        <f t="shared" si="9"/>
        <v>0.20143301014595311</v>
      </c>
      <c r="I20">
        <f t="shared" si="9"/>
        <v>0.20143301014595311</v>
      </c>
      <c r="J20">
        <f t="shared" si="9"/>
        <v>0.20143301014595311</v>
      </c>
      <c r="K20">
        <f t="shared" si="9"/>
        <v>0.20143301014595311</v>
      </c>
      <c r="L20">
        <f t="shared" ref="L20" si="10">1/(L8^2)</f>
        <v>0.20143301014595311</v>
      </c>
    </row>
    <row r="21" spans="1:12" x14ac:dyDescent="0.3">
      <c r="A21" t="s">
        <v>56</v>
      </c>
      <c r="B21">
        <f>1-(B12/B1)</f>
        <v>1</v>
      </c>
      <c r="C21">
        <f t="shared" ref="C21:K21" si="11">1-(C12/C1)</f>
        <v>0.99326666666666663</v>
      </c>
      <c r="D21">
        <f t="shared" si="11"/>
        <v>0.97266666666666668</v>
      </c>
      <c r="E21">
        <f t="shared" si="11"/>
        <v>0.93720000000000003</v>
      </c>
      <c r="F21">
        <f t="shared" si="11"/>
        <v>0.8852097293073502</v>
      </c>
      <c r="G21">
        <f t="shared" si="11"/>
        <v>0.81395079107881951</v>
      </c>
      <c r="H21">
        <f t="shared" si="11"/>
        <v>0.71992592679231227</v>
      </c>
      <c r="I21">
        <f t="shared" si="11"/>
        <v>0.5984479250234187</v>
      </c>
      <c r="J21">
        <f t="shared" si="11"/>
        <v>0.44346101443945618</v>
      </c>
      <c r="K21">
        <f t="shared" si="11"/>
        <v>0.2472389789651811</v>
      </c>
      <c r="L21">
        <f t="shared" ref="L21" si="12">1-(L12/L1)</f>
        <v>0</v>
      </c>
    </row>
    <row r="22" spans="1:12" x14ac:dyDescent="0.3">
      <c r="A22" t="s">
        <v>57</v>
      </c>
      <c r="B22">
        <f>1-B9</f>
        <v>0.66149999999999998</v>
      </c>
      <c r="C22">
        <f t="shared" ref="C22:K22" si="13">1-C9</f>
        <v>0.66149999999999998</v>
      </c>
      <c r="D22">
        <f t="shared" si="13"/>
        <v>0.66149999999999998</v>
      </c>
      <c r="E22">
        <f t="shared" si="13"/>
        <v>0.66149999999999998</v>
      </c>
      <c r="F22">
        <f t="shared" si="13"/>
        <v>0.66149999999999998</v>
      </c>
      <c r="G22">
        <f t="shared" si="13"/>
        <v>0.66149999999999998</v>
      </c>
      <c r="H22">
        <f t="shared" si="13"/>
        <v>0.66149999999999998</v>
      </c>
      <c r="I22">
        <f t="shared" si="13"/>
        <v>0.66149999999999998</v>
      </c>
      <c r="J22">
        <f t="shared" si="13"/>
        <v>0.66149999999999998</v>
      </c>
      <c r="K22">
        <f t="shared" si="13"/>
        <v>0.66149999999999998</v>
      </c>
      <c r="L22">
        <f t="shared" ref="L22" si="14">1-L9</f>
        <v>0.66149999999999998</v>
      </c>
    </row>
    <row r="23" spans="1:12" x14ac:dyDescent="0.3">
      <c r="A23" t="s">
        <v>58</v>
      </c>
      <c r="B23">
        <f>B16</f>
        <v>0.21027777777777779</v>
      </c>
      <c r="C23">
        <f t="shared" ref="C23:K23" si="15">C16</f>
        <v>0.21027777777777779</v>
      </c>
      <c r="D23">
        <f t="shared" si="15"/>
        <v>0.21027777777777779</v>
      </c>
      <c r="E23">
        <f t="shared" si="15"/>
        <v>0.21027777777777779</v>
      </c>
      <c r="F23">
        <f t="shared" si="15"/>
        <v>0.21027777777777779</v>
      </c>
      <c r="G23">
        <f t="shared" si="15"/>
        <v>0.21027777777777779</v>
      </c>
      <c r="H23">
        <f t="shared" si="15"/>
        <v>0.21027777777777779</v>
      </c>
      <c r="I23">
        <f t="shared" si="15"/>
        <v>0.21027777777777779</v>
      </c>
      <c r="J23">
        <f t="shared" si="15"/>
        <v>0.21027777777777779</v>
      </c>
      <c r="K23">
        <f t="shared" si="15"/>
        <v>0.21027777777777779</v>
      </c>
      <c r="L23">
        <f t="shared" ref="L23" si="16">L16</f>
        <v>0.21027777777777779</v>
      </c>
    </row>
    <row r="25" spans="1:12" x14ac:dyDescent="0.3">
      <c r="A25" t="s">
        <v>59</v>
      </c>
      <c r="B25">
        <f>B17</f>
        <v>0.2706359945872801</v>
      </c>
      <c r="C25">
        <f t="shared" ref="C25:K25" si="17">C17</f>
        <v>0.2706359945872801</v>
      </c>
      <c r="D25">
        <f t="shared" si="17"/>
        <v>0.2706359945872801</v>
      </c>
      <c r="E25">
        <f t="shared" si="17"/>
        <v>0.2706359945872801</v>
      </c>
      <c r="F25">
        <f t="shared" si="17"/>
        <v>0.2706359945872801</v>
      </c>
      <c r="G25">
        <f t="shared" si="17"/>
        <v>0.2706359945872801</v>
      </c>
      <c r="H25">
        <f t="shared" si="17"/>
        <v>0.2706359945872801</v>
      </c>
      <c r="I25">
        <f t="shared" si="17"/>
        <v>0.2706359945872801</v>
      </c>
      <c r="J25">
        <f t="shared" si="17"/>
        <v>0.2706359945872801</v>
      </c>
      <c r="K25">
        <f t="shared" si="17"/>
        <v>0.2706359945872801</v>
      </c>
      <c r="L25">
        <f t="shared" ref="L25" si="18">L17</f>
        <v>0.2706359945872801</v>
      </c>
    </row>
    <row r="26" spans="1:12" x14ac:dyDescent="0.3">
      <c r="A26" t="s">
        <v>60</v>
      </c>
      <c r="B26">
        <f>B18/3</f>
        <v>0.16666666666666666</v>
      </c>
      <c r="C26">
        <f t="shared" ref="C26:K26" si="19">C18/3</f>
        <v>0.16500000000000001</v>
      </c>
      <c r="D26">
        <f t="shared" si="19"/>
        <v>0.16</v>
      </c>
      <c r="E26">
        <f t="shared" si="19"/>
        <v>0.15166666666666667</v>
      </c>
      <c r="F26">
        <f t="shared" si="19"/>
        <v>0.13999999999999999</v>
      </c>
      <c r="G26">
        <f t="shared" si="19"/>
        <v>0.125</v>
      </c>
      <c r="H26">
        <f t="shared" si="19"/>
        <v>0.10666666666666667</v>
      </c>
      <c r="I26">
        <f t="shared" si="19"/>
        <v>8.5000000000000006E-2</v>
      </c>
      <c r="J26">
        <f t="shared" si="19"/>
        <v>5.9999999999999977E-2</v>
      </c>
      <c r="K26">
        <f t="shared" si="19"/>
        <v>3.1666666666666655E-2</v>
      </c>
      <c r="L26">
        <f t="shared" ref="L26" si="20">L18/3</f>
        <v>0</v>
      </c>
    </row>
    <row r="27" spans="1:12" x14ac:dyDescent="0.3">
      <c r="A27" t="s">
        <v>61</v>
      </c>
      <c r="B27">
        <f>B20</f>
        <v>0.20143301014595311</v>
      </c>
      <c r="C27">
        <f t="shared" ref="C27:K27" si="21">C20</f>
        <v>0.20143301014595311</v>
      </c>
      <c r="D27">
        <f t="shared" si="21"/>
        <v>0.20143301014595311</v>
      </c>
      <c r="E27">
        <f t="shared" si="21"/>
        <v>0.20143301014595311</v>
      </c>
      <c r="F27">
        <f t="shared" si="21"/>
        <v>0.20143301014595311</v>
      </c>
      <c r="G27">
        <f t="shared" si="21"/>
        <v>0.20143301014595311</v>
      </c>
      <c r="H27">
        <f t="shared" si="21"/>
        <v>0.20143301014595311</v>
      </c>
      <c r="I27">
        <f t="shared" si="21"/>
        <v>0.20143301014595311</v>
      </c>
      <c r="J27">
        <f t="shared" si="21"/>
        <v>0.20143301014595311</v>
      </c>
      <c r="K27">
        <f t="shared" si="21"/>
        <v>0.20143301014595311</v>
      </c>
      <c r="L27">
        <f t="shared" ref="L27" si="22">L20</f>
        <v>0.20143301014595311</v>
      </c>
    </row>
    <row r="28" spans="1:12" x14ac:dyDescent="0.3">
      <c r="A28" t="s">
        <v>62</v>
      </c>
      <c r="B28">
        <f>1-(B13*(B12/B1))</f>
        <v>1</v>
      </c>
      <c r="C28">
        <f t="shared" ref="C28:K28" si="23">1-(C13*(C12/C1))</f>
        <v>0.9993266666666667</v>
      </c>
      <c r="D28">
        <f t="shared" si="23"/>
        <v>0.99453333333333338</v>
      </c>
      <c r="E28">
        <f t="shared" si="23"/>
        <v>0.98116000000000003</v>
      </c>
      <c r="F28">
        <f t="shared" si="23"/>
        <v>0.95408389172294006</v>
      </c>
      <c r="G28">
        <f t="shared" si="23"/>
        <v>0.90697539553940976</v>
      </c>
      <c r="H28">
        <f t="shared" si="23"/>
        <v>0.8319555560753874</v>
      </c>
      <c r="I28">
        <f t="shared" si="23"/>
        <v>0.71891354751639314</v>
      </c>
      <c r="J28">
        <f t="shared" si="23"/>
        <v>0.55476881155156499</v>
      </c>
      <c r="K28">
        <f t="shared" si="23"/>
        <v>0.322515081068663</v>
      </c>
      <c r="L28">
        <f t="shared" ref="L28" si="24">1-(L13*(L12/L1))</f>
        <v>0</v>
      </c>
    </row>
    <row r="30" spans="1:12" x14ac:dyDescent="0.3">
      <c r="A30" t="s">
        <v>63</v>
      </c>
      <c r="B30">
        <f>2/(B8^2*(B7-1))</f>
        <v>0.1090300460871194</v>
      </c>
      <c r="C30">
        <f t="shared" ref="C30:K30" si="25">2/(C8^2*(C7-1))</f>
        <v>0.1090300460871194</v>
      </c>
      <c r="D30">
        <f t="shared" si="25"/>
        <v>0.1090300460871194</v>
      </c>
      <c r="E30">
        <f t="shared" si="25"/>
        <v>0.1090300460871194</v>
      </c>
      <c r="F30">
        <f t="shared" si="25"/>
        <v>0.1090300460871194</v>
      </c>
      <c r="G30">
        <f t="shared" si="25"/>
        <v>0.1090300460871194</v>
      </c>
      <c r="H30">
        <f t="shared" si="25"/>
        <v>0.1090300460871194</v>
      </c>
      <c r="I30">
        <f t="shared" si="25"/>
        <v>0.1090300460871194</v>
      </c>
      <c r="J30">
        <f t="shared" si="25"/>
        <v>0.1090300460871194</v>
      </c>
      <c r="K30">
        <f t="shared" si="25"/>
        <v>0.1090300460871194</v>
      </c>
      <c r="L30">
        <f t="shared" ref="L30" si="26">2/(L8^2*(L7-1))</f>
        <v>0.1090300460871194</v>
      </c>
    </row>
    <row r="31" spans="1:12" x14ac:dyDescent="0.3">
      <c r="A31" t="s">
        <v>64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65</v>
      </c>
      <c r="B32">
        <f>B13</f>
        <v>0</v>
      </c>
      <c r="C32">
        <f t="shared" ref="C32:K32" si="27">C13</f>
        <v>0.1</v>
      </c>
      <c r="D32">
        <f t="shared" si="27"/>
        <v>0.2</v>
      </c>
      <c r="E32">
        <f t="shared" si="27"/>
        <v>0.3</v>
      </c>
      <c r="F32">
        <f t="shared" si="27"/>
        <v>0.4</v>
      </c>
      <c r="G32">
        <f t="shared" si="27"/>
        <v>0.5</v>
      </c>
      <c r="H32">
        <f t="shared" si="27"/>
        <v>0.6</v>
      </c>
      <c r="I32">
        <f t="shared" si="27"/>
        <v>0.7</v>
      </c>
      <c r="J32">
        <f t="shared" si="27"/>
        <v>0.8</v>
      </c>
      <c r="K32">
        <f t="shared" si="27"/>
        <v>0.9</v>
      </c>
      <c r="L32">
        <f t="shared" ref="L32" si="28">L13</f>
        <v>1</v>
      </c>
    </row>
    <row r="33" spans="1:12" x14ac:dyDescent="0.3">
      <c r="A33" t="s">
        <v>66</v>
      </c>
      <c r="B33">
        <f>SQRT(B7^2-1)/B8</f>
        <v>2.058824875584746</v>
      </c>
      <c r="C33">
        <f t="shared" ref="C33:K33" si="29">SQRT(C7^2-1)/C8</f>
        <v>2.058824875584746</v>
      </c>
      <c r="D33">
        <f t="shared" si="29"/>
        <v>2.058824875584746</v>
      </c>
      <c r="E33">
        <f t="shared" si="29"/>
        <v>2.058824875584746</v>
      </c>
      <c r="F33">
        <f t="shared" si="29"/>
        <v>2.058824875584746</v>
      </c>
      <c r="G33">
        <f t="shared" si="29"/>
        <v>2.058824875584746</v>
      </c>
      <c r="H33">
        <f t="shared" si="29"/>
        <v>2.058824875584746</v>
      </c>
      <c r="I33">
        <f t="shared" si="29"/>
        <v>2.058824875584746</v>
      </c>
      <c r="J33">
        <f t="shared" si="29"/>
        <v>2.058824875584746</v>
      </c>
      <c r="K33">
        <f t="shared" si="29"/>
        <v>2.058824875584746</v>
      </c>
      <c r="L33">
        <f t="shared" ref="L33" si="30">SQRT(L7^2-1)/L8</f>
        <v>2.058824875584746</v>
      </c>
    </row>
    <row r="35" spans="1:12" x14ac:dyDescent="0.3">
      <c r="A35" t="s">
        <v>67</v>
      </c>
      <c r="B35">
        <f>1/B8</f>
        <v>0.44881288990619811</v>
      </c>
      <c r="C35">
        <f t="shared" ref="C35:K35" si="31">1/C8</f>
        <v>0.44881288990619811</v>
      </c>
      <c r="D35">
        <f t="shared" si="31"/>
        <v>0.44881288990619811</v>
      </c>
      <c r="E35">
        <f t="shared" si="31"/>
        <v>0.44881288990619811</v>
      </c>
      <c r="F35">
        <f t="shared" si="31"/>
        <v>0.44881288990619811</v>
      </c>
      <c r="G35">
        <f t="shared" si="31"/>
        <v>0.44881288990619811</v>
      </c>
      <c r="H35">
        <f t="shared" si="31"/>
        <v>0.44881288990619811</v>
      </c>
      <c r="I35">
        <f t="shared" si="31"/>
        <v>0.44881288990619811</v>
      </c>
      <c r="J35">
        <f t="shared" si="31"/>
        <v>0.44881288990619811</v>
      </c>
      <c r="K35">
        <f t="shared" si="31"/>
        <v>0.44881288990619811</v>
      </c>
      <c r="L35">
        <f t="shared" ref="L35" si="32">1/L8</f>
        <v>0.44881288990619811</v>
      </c>
    </row>
    <row r="36" spans="1:12" x14ac:dyDescent="0.3">
      <c r="A36" t="s">
        <v>68</v>
      </c>
      <c r="B36">
        <f>1+(B12/B1)*(B7-1)</f>
        <v>1</v>
      </c>
      <c r="C36">
        <f t="shared" ref="C36:K36" si="33">1+(C12/C1)*(C7-1)</f>
        <v>1.0248796666666666</v>
      </c>
      <c r="D36">
        <f t="shared" si="33"/>
        <v>1.1009966666666666</v>
      </c>
      <c r="E36">
        <f t="shared" si="33"/>
        <v>1.232046</v>
      </c>
      <c r="F36">
        <f t="shared" si="33"/>
        <v>1.4241500502093412</v>
      </c>
      <c r="G36">
        <f t="shared" si="33"/>
        <v>1.6874518269637617</v>
      </c>
      <c r="H36">
        <f t="shared" si="33"/>
        <v>2.0348737005024065</v>
      </c>
      <c r="I36">
        <f t="shared" si="33"/>
        <v>2.4837349170384675</v>
      </c>
      <c r="J36">
        <f t="shared" si="33"/>
        <v>3.0564115516462094</v>
      </c>
      <c r="K36">
        <f t="shared" si="33"/>
        <v>3.781451972723656</v>
      </c>
      <c r="L36">
        <f t="shared" ref="L36" si="34">1+(L12/L1)*(L7-1)</f>
        <v>4.6949999999999976</v>
      </c>
    </row>
    <row r="37" spans="1:12" x14ac:dyDescent="0.3">
      <c r="A37" t="s">
        <v>69</v>
      </c>
      <c r="B37">
        <f>B36^2-1</f>
        <v>0</v>
      </c>
      <c r="C37">
        <f t="shared" ref="C37:K37" si="35">C36^2-1</f>
        <v>5.0378331146777811E-2</v>
      </c>
      <c r="D37">
        <f t="shared" si="35"/>
        <v>0.21219366001111095</v>
      </c>
      <c r="E37">
        <f t="shared" si="35"/>
        <v>0.51793734611599995</v>
      </c>
      <c r="F37">
        <f t="shared" si="35"/>
        <v>1.0282033655112688</v>
      </c>
      <c r="G37">
        <f t="shared" si="35"/>
        <v>1.8474936683233372</v>
      </c>
      <c r="H37">
        <f t="shared" si="35"/>
        <v>3.140710976996357</v>
      </c>
      <c r="I37">
        <f t="shared" si="35"/>
        <v>5.168939138116083</v>
      </c>
      <c r="J37">
        <f t="shared" si="35"/>
        <v>8.3416515730363887</v>
      </c>
      <c r="K37">
        <f t="shared" si="35"/>
        <v>13.299379022015628</v>
      </c>
      <c r="L37">
        <f t="shared" ref="L37" si="36">L36^2-1</f>
        <v>21.043024999999979</v>
      </c>
    </row>
    <row r="38" spans="1:12" x14ac:dyDescent="0.3">
      <c r="A38" t="s">
        <v>70</v>
      </c>
      <c r="B38">
        <f>SQRT(B37)</f>
        <v>0</v>
      </c>
      <c r="C38">
        <f t="shared" ref="C38:K38" si="37">SQRT(C37)</f>
        <v>0.22445117764622624</v>
      </c>
      <c r="D38">
        <f t="shared" si="37"/>
        <v>0.46064483065710282</v>
      </c>
      <c r="E38">
        <f t="shared" si="37"/>
        <v>0.71967864086410116</v>
      </c>
      <c r="F38">
        <f t="shared" si="37"/>
        <v>1.0140036319024053</v>
      </c>
      <c r="G38">
        <f t="shared" si="37"/>
        <v>1.3592253927599121</v>
      </c>
      <c r="H38">
        <f t="shared" si="37"/>
        <v>1.7722051170776922</v>
      </c>
      <c r="I38">
        <f t="shared" si="37"/>
        <v>2.2735301049504675</v>
      </c>
      <c r="J38">
        <f t="shared" si="37"/>
        <v>2.888191747969028</v>
      </c>
      <c r="K38">
        <f t="shared" si="37"/>
        <v>3.6468313673675161</v>
      </c>
      <c r="L38">
        <f t="shared" ref="L38" si="38">SQRT(L37)</f>
        <v>4.5872677052903699</v>
      </c>
    </row>
    <row r="39" spans="1:12" x14ac:dyDescent="0.3">
      <c r="A39" t="s">
        <v>71</v>
      </c>
      <c r="B39">
        <f>B35*B38</f>
        <v>0</v>
      </c>
      <c r="C39">
        <f t="shared" ref="C39:K39" si="39">C35*C38</f>
        <v>0.10073658168225225</v>
      </c>
      <c r="D39">
        <f t="shared" si="39"/>
        <v>0.20674333766756556</v>
      </c>
      <c r="E39">
        <f t="shared" si="39"/>
        <v>0.32300105060998213</v>
      </c>
      <c r="F39">
        <f t="shared" si="39"/>
        <v>0.45509790040949927</v>
      </c>
      <c r="G39">
        <f t="shared" si="39"/>
        <v>0.61003787655846331</v>
      </c>
      <c r="H39">
        <f t="shared" si="39"/>
        <v>0.7953885001021912</v>
      </c>
      <c r="I39">
        <f t="shared" si="39"/>
        <v>1.0203896166915611</v>
      </c>
      <c r="J39">
        <f t="shared" si="39"/>
        <v>1.2962576850092133</v>
      </c>
      <c r="K39">
        <f t="shared" si="39"/>
        <v>1.6367449249887869</v>
      </c>
      <c r="L39">
        <f t="shared" ref="L39" si="40">L35*L38</f>
        <v>2.0588248755847447</v>
      </c>
    </row>
    <row r="41" spans="1:12" x14ac:dyDescent="0.3">
      <c r="A41" t="s">
        <v>72</v>
      </c>
      <c r="B41">
        <f>(B16+B17)*B18</f>
        <v>0.24045688618252894</v>
      </c>
      <c r="C41">
        <f t="shared" ref="C41:L41" si="41">(C16+C17)*C18</f>
        <v>0.23805231732070364</v>
      </c>
      <c r="D41">
        <f t="shared" si="41"/>
        <v>0.23083861073522777</v>
      </c>
      <c r="E41">
        <f t="shared" si="41"/>
        <v>0.21881576642610134</v>
      </c>
      <c r="F41">
        <f t="shared" si="41"/>
        <v>0.20198378439332432</v>
      </c>
      <c r="G41">
        <f t="shared" si="41"/>
        <v>0.18034266463689672</v>
      </c>
      <c r="H41">
        <f t="shared" si="41"/>
        <v>0.15389240715681854</v>
      </c>
      <c r="I41">
        <f t="shared" si="41"/>
        <v>0.12263301195308976</v>
      </c>
      <c r="J41">
        <f t="shared" si="41"/>
        <v>8.6564479025710392E-2</v>
      </c>
      <c r="K41">
        <f t="shared" si="41"/>
        <v>4.5686808374680483E-2</v>
      </c>
      <c r="L41">
        <f t="shared" si="41"/>
        <v>0</v>
      </c>
    </row>
    <row r="42" spans="1:12" x14ac:dyDescent="0.3">
      <c r="A42" t="s">
        <v>73</v>
      </c>
      <c r="B42">
        <f>B20*B21</f>
        <v>0.20143301014595311</v>
      </c>
      <c r="C42">
        <f t="shared" ref="C42:L42" si="42">C20*C21</f>
        <v>0.20007669454430368</v>
      </c>
      <c r="D42">
        <f t="shared" si="42"/>
        <v>0.19592717453529707</v>
      </c>
      <c r="E42">
        <f t="shared" si="42"/>
        <v>0.18878301710878725</v>
      </c>
      <c r="F42">
        <f t="shared" si="42"/>
        <v>0.17831046038486387</v>
      </c>
      <c r="G42">
        <f t="shared" si="42"/>
        <v>0.16395655795768641</v>
      </c>
      <c r="H42">
        <f t="shared" si="42"/>
        <v>0.14501684651589053</v>
      </c>
      <c r="I42">
        <f t="shared" si="42"/>
        <v>0.12054716695306689</v>
      </c>
      <c r="J42">
        <f t="shared" si="42"/>
        <v>8.9327687020917632E-2</v>
      </c>
      <c r="K42">
        <f t="shared" si="42"/>
        <v>4.9802091758368409E-2</v>
      </c>
      <c r="L42">
        <f t="shared" si="42"/>
        <v>0</v>
      </c>
    </row>
    <row r="43" spans="1:12" x14ac:dyDescent="0.3">
      <c r="A43" t="s">
        <v>74</v>
      </c>
      <c r="B43">
        <f>(B23+B25)*B26</f>
        <v>8.0152295394176315E-2</v>
      </c>
      <c r="C43">
        <f t="shared" ref="C43:L43" si="43">(C23+C25)*C26</f>
        <v>7.9350772440234557E-2</v>
      </c>
      <c r="D43">
        <f t="shared" si="43"/>
        <v>7.694620357840927E-2</v>
      </c>
      <c r="E43">
        <f t="shared" si="43"/>
        <v>7.2938588808700452E-2</v>
      </c>
      <c r="F43">
        <f t="shared" si="43"/>
        <v>6.7327928131108092E-2</v>
      </c>
      <c r="G43">
        <f t="shared" si="43"/>
        <v>6.0114221545632236E-2</v>
      </c>
      <c r="H43">
        <f t="shared" si="43"/>
        <v>5.1297469052272844E-2</v>
      </c>
      <c r="I43">
        <f t="shared" si="43"/>
        <v>4.0877670651029922E-2</v>
      </c>
      <c r="J43">
        <f t="shared" si="43"/>
        <v>2.8854826341903464E-2</v>
      </c>
      <c r="K43">
        <f t="shared" si="43"/>
        <v>1.5228936124893495E-2</v>
      </c>
      <c r="L43">
        <f t="shared" si="43"/>
        <v>0</v>
      </c>
    </row>
    <row r="44" spans="1:12" x14ac:dyDescent="0.3">
      <c r="A44" t="s">
        <v>75</v>
      </c>
      <c r="B44">
        <f>B27*B28</f>
        <v>0.20143301014595311</v>
      </c>
      <c r="C44">
        <f t="shared" ref="C44:L44" si="44">C27*C28</f>
        <v>0.20129737858578817</v>
      </c>
      <c r="D44">
        <f t="shared" si="44"/>
        <v>0.2003318430238219</v>
      </c>
      <c r="E44">
        <f t="shared" si="44"/>
        <v>0.19763801223480335</v>
      </c>
      <c r="F44">
        <f t="shared" si="44"/>
        <v>0.19218399024151742</v>
      </c>
      <c r="G44">
        <f t="shared" si="44"/>
        <v>0.18269478405181977</v>
      </c>
      <c r="H44">
        <f t="shared" si="44"/>
        <v>0.16758331196791557</v>
      </c>
      <c r="I44">
        <f t="shared" si="44"/>
        <v>0.14481291991093276</v>
      </c>
      <c r="J44">
        <f t="shared" si="44"/>
        <v>0.11174875164592474</v>
      </c>
      <c r="K44">
        <f t="shared" si="44"/>
        <v>6.4965183597126885E-2</v>
      </c>
      <c r="L44">
        <f t="shared" si="44"/>
        <v>0</v>
      </c>
    </row>
    <row r="45" spans="1:12" x14ac:dyDescent="0.3">
      <c r="A45" t="s">
        <v>76</v>
      </c>
      <c r="B45">
        <f>B31-B32-B33+B39</f>
        <v>-1.058824875584746</v>
      </c>
      <c r="C45">
        <f t="shared" ref="C45:L45" si="45">C31-C32-C33+C39</f>
        <v>-1.0580882939024938</v>
      </c>
      <c r="D45">
        <f t="shared" si="45"/>
        <v>-1.0520815379171804</v>
      </c>
      <c r="E45">
        <f t="shared" si="45"/>
        <v>-1.035823824974764</v>
      </c>
      <c r="F45">
        <f t="shared" si="45"/>
        <v>-1.0037269751752467</v>
      </c>
      <c r="G45">
        <f t="shared" si="45"/>
        <v>-0.94878699902628272</v>
      </c>
      <c r="H45">
        <f t="shared" si="45"/>
        <v>-0.86343637548255492</v>
      </c>
      <c r="I45">
        <f t="shared" si="45"/>
        <v>-0.73843525889318484</v>
      </c>
      <c r="J45">
        <f t="shared" si="45"/>
        <v>-0.56256719057553273</v>
      </c>
      <c r="K45">
        <f t="shared" si="45"/>
        <v>-0.32207995059595906</v>
      </c>
      <c r="L45">
        <f t="shared" si="45"/>
        <v>0</v>
      </c>
    </row>
    <row r="46" spans="1:12" x14ac:dyDescent="0.3">
      <c r="A46" t="s">
        <v>78</v>
      </c>
      <c r="B46">
        <f>B45*B30</f>
        <v>-0.11544372498319333</v>
      </c>
      <c r="C46">
        <f t="shared" ref="C46:L46" si="46">C45*C30</f>
        <v>-0.11536341544843044</v>
      </c>
      <c r="D46">
        <f t="shared" si="46"/>
        <v>-0.11470849856651763</v>
      </c>
      <c r="E46">
        <f t="shared" si="46"/>
        <v>-0.11293591937513482</v>
      </c>
      <c r="F46">
        <f t="shared" si="46"/>
        <v>-0.1094363983622421</v>
      </c>
      <c r="G46">
        <f t="shared" si="46"/>
        <v>-0.10344629023069532</v>
      </c>
      <c r="H46">
        <f t="shared" si="46"/>
        <v>-9.4140507812158297E-2</v>
      </c>
      <c r="I46">
        <f t="shared" si="46"/>
        <v>-8.0511630309477888E-2</v>
      </c>
      <c r="J46">
        <f t="shared" si="46"/>
        <v>-6.1336726715551619E-2</v>
      </c>
      <c r="K46">
        <f t="shared" si="46"/>
        <v>-3.5116391857214553E-2</v>
      </c>
      <c r="L46">
        <f t="shared" si="46"/>
        <v>0</v>
      </c>
    </row>
    <row r="48" spans="1:12" x14ac:dyDescent="0.3">
      <c r="A48" t="s">
        <v>79</v>
      </c>
      <c r="B48">
        <f>B41-B42</f>
        <v>3.9023876036575839E-2</v>
      </c>
      <c r="C48">
        <f t="shared" ref="C48:L48" si="47">C41-C42</f>
        <v>3.7975622776399959E-2</v>
      </c>
      <c r="D48">
        <f t="shared" si="47"/>
        <v>3.4911436199930701E-2</v>
      </c>
      <c r="E48">
        <f t="shared" si="47"/>
        <v>3.0032749317314089E-2</v>
      </c>
      <c r="F48">
        <f t="shared" si="47"/>
        <v>2.367332400846045E-2</v>
      </c>
      <c r="G48">
        <f t="shared" si="47"/>
        <v>1.638610667921031E-2</v>
      </c>
      <c r="H48">
        <f t="shared" si="47"/>
        <v>8.8755606409280097E-3</v>
      </c>
      <c r="I48">
        <f t="shared" si="47"/>
        <v>2.0858450000228734E-3</v>
      </c>
      <c r="J48">
        <f t="shared" si="47"/>
        <v>-2.7632079952072397E-3</v>
      </c>
      <c r="K48">
        <f t="shared" si="47"/>
        <v>-4.115283383687926E-3</v>
      </c>
      <c r="L48">
        <f t="shared" si="47"/>
        <v>0</v>
      </c>
    </row>
    <row r="49" spans="1:12" x14ac:dyDescent="0.3">
      <c r="A49" t="s">
        <v>80</v>
      </c>
      <c r="B49">
        <f>B43-B44-B46</f>
        <v>-5.8369897685834615E-3</v>
      </c>
      <c r="C49">
        <f t="shared" ref="C49:L49" si="48">C43-C44-C46</f>
        <v>-6.5831906971231674E-3</v>
      </c>
      <c r="D49">
        <f t="shared" si="48"/>
        <v>-8.6771408788949983E-3</v>
      </c>
      <c r="E49">
        <f t="shared" si="48"/>
        <v>-1.1763504050968071E-2</v>
      </c>
      <c r="F49">
        <f t="shared" si="48"/>
        <v>-1.5419663748167223E-2</v>
      </c>
      <c r="G49">
        <f t="shared" si="48"/>
        <v>-1.913427227549222E-2</v>
      </c>
      <c r="H49">
        <f t="shared" si="48"/>
        <v>-2.2145335103484431E-2</v>
      </c>
      <c r="I49">
        <f t="shared" si="48"/>
        <v>-2.342361895042494E-2</v>
      </c>
      <c r="J49">
        <f t="shared" si="48"/>
        <v>-2.1557198588469655E-2</v>
      </c>
      <c r="K49">
        <f t="shared" si="48"/>
        <v>-1.4619855615018836E-2</v>
      </c>
      <c r="L49">
        <f t="shared" si="48"/>
        <v>0</v>
      </c>
    </row>
    <row r="50" spans="1:12" x14ac:dyDescent="0.3">
      <c r="A50" t="s">
        <v>81</v>
      </c>
      <c r="B50">
        <f>B48-B22*B49</f>
        <v>4.28850447684938E-2</v>
      </c>
      <c r="C50">
        <f t="shared" ref="C50:L50" si="49">C48-C22*C49</f>
        <v>4.2330403422546931E-2</v>
      </c>
      <c r="D50">
        <f t="shared" si="49"/>
        <v>4.0651364891319743E-2</v>
      </c>
      <c r="E50">
        <f t="shared" si="49"/>
        <v>3.7814307247029472E-2</v>
      </c>
      <c r="F50">
        <f t="shared" si="49"/>
        <v>3.3873431577873064E-2</v>
      </c>
      <c r="G50">
        <f t="shared" si="49"/>
        <v>2.9043427789448413E-2</v>
      </c>
      <c r="H50">
        <f t="shared" si="49"/>
        <v>2.352469981188296E-2</v>
      </c>
      <c r="I50">
        <f t="shared" si="49"/>
        <v>1.7580568935728971E-2</v>
      </c>
      <c r="J50">
        <f t="shared" si="49"/>
        <v>1.1496878871065437E-2</v>
      </c>
      <c r="K50">
        <f t="shared" si="49"/>
        <v>5.5557511056470339E-3</v>
      </c>
      <c r="L50">
        <f t="shared" si="49"/>
        <v>0</v>
      </c>
    </row>
    <row r="52" spans="1:12" x14ac:dyDescent="0.3">
      <c r="A52" t="s">
        <v>77</v>
      </c>
      <c r="B52">
        <f>B50*B15</f>
        <v>2.1713946718224711E-4</v>
      </c>
      <c r="C52">
        <f t="shared" ref="C52:L52" si="50">C50*C15</f>
        <v>2.1433115656985789E-4</v>
      </c>
      <c r="D52">
        <f t="shared" si="50"/>
        <v>2.0582969565225188E-4</v>
      </c>
      <c r="E52">
        <f t="shared" si="50"/>
        <v>1.914648468204024E-4</v>
      </c>
      <c r="F52">
        <f t="shared" si="50"/>
        <v>1.7151104596391427E-4</v>
      </c>
      <c r="G52">
        <f t="shared" si="50"/>
        <v>1.4705533057948563E-4</v>
      </c>
      <c r="H52">
        <f t="shared" si="50"/>
        <v>1.191124041107998E-4</v>
      </c>
      <c r="I52">
        <f t="shared" si="50"/>
        <v>8.9015538915083404E-5</v>
      </c>
      <c r="J52">
        <f t="shared" si="50"/>
        <v>5.8212044916787023E-5</v>
      </c>
      <c r="K52">
        <f t="shared" si="50"/>
        <v>2.8130385345048273E-5</v>
      </c>
      <c r="L52">
        <f t="shared" si="50"/>
        <v>0</v>
      </c>
    </row>
    <row r="53" spans="1:12" x14ac:dyDescent="0.3">
      <c r="A53" t="s">
        <v>77</v>
      </c>
      <c r="B53">
        <f>B15*(B41-B42-B22*(B43-B44-B30*B45))</f>
        <v>2.1713946718224711E-4</v>
      </c>
      <c r="C53">
        <f t="shared" ref="C53:L53" si="51">C15*(C41-C42-C22*(C43-C44-C30*C45))</f>
        <v>2.1433115656985789E-4</v>
      </c>
      <c r="D53">
        <f t="shared" si="51"/>
        <v>2.0582969565225188E-4</v>
      </c>
      <c r="E53">
        <f t="shared" si="51"/>
        <v>1.914648468204024E-4</v>
      </c>
      <c r="F53">
        <f t="shared" si="51"/>
        <v>1.7151104596391427E-4</v>
      </c>
      <c r="G53">
        <f t="shared" si="51"/>
        <v>1.4705533057948563E-4</v>
      </c>
      <c r="H53">
        <f t="shared" si="51"/>
        <v>1.191124041107998E-4</v>
      </c>
      <c r="I53">
        <f t="shared" si="51"/>
        <v>8.9015538915083404E-5</v>
      </c>
      <c r="J53">
        <f t="shared" si="51"/>
        <v>5.8212044916787023E-5</v>
      </c>
      <c r="K53">
        <f t="shared" si="51"/>
        <v>2.8130385345048273E-5</v>
      </c>
      <c r="L53">
        <f t="shared" si="51"/>
        <v>0</v>
      </c>
    </row>
    <row r="55" spans="1:12" x14ac:dyDescent="0.3">
      <c r="A55" t="s">
        <v>82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38</v>
      </c>
      <c r="B57">
        <f>ABS(B52)/B55</f>
        <v>1.7477250395213679</v>
      </c>
      <c r="C57">
        <f t="shared" ref="C57:L57" si="52">ABS(C52)/C55</f>
        <v>1.7251213422768372</v>
      </c>
      <c r="D57">
        <f t="shared" si="52"/>
        <v>1.6566942787354972</v>
      </c>
      <c r="E57">
        <f t="shared" si="52"/>
        <v>1.5410736303192833</v>
      </c>
      <c r="F57">
        <f t="shared" si="52"/>
        <v>1.3804682929153862</v>
      </c>
      <c r="G57">
        <f t="shared" si="52"/>
        <v>1.1836276784871478</v>
      </c>
      <c r="H57">
        <f t="shared" si="52"/>
        <v>0.95871899237603342</v>
      </c>
      <c r="I57">
        <f t="shared" si="52"/>
        <v>0.71647355631486731</v>
      </c>
      <c r="J57">
        <f t="shared" si="52"/>
        <v>0.46854056438031638</v>
      </c>
      <c r="K57">
        <f t="shared" si="52"/>
        <v>0.22641751624849418</v>
      </c>
      <c r="L57">
        <f t="shared" si="52"/>
        <v>0</v>
      </c>
    </row>
    <row r="59" spans="1:12" x14ac:dyDescent="0.3">
      <c r="A59" t="s">
        <v>83</v>
      </c>
      <c r="B59">
        <f>(B57*10*B1)/B2</f>
        <v>2.6215875592820521</v>
      </c>
      <c r="C59">
        <f t="shared" ref="C59:L59" si="53">(C57*10*C1)/C2</f>
        <v>2.5876820134152556</v>
      </c>
      <c r="D59">
        <f t="shared" si="53"/>
        <v>2.4850414181032456</v>
      </c>
      <c r="E59">
        <f t="shared" si="53"/>
        <v>2.3116104454789252</v>
      </c>
      <c r="F59">
        <f t="shared" si="53"/>
        <v>2.0707024393730791</v>
      </c>
      <c r="G59">
        <f t="shared" si="53"/>
        <v>1.7754415177307219</v>
      </c>
      <c r="H59">
        <f t="shared" si="53"/>
        <v>1.4380784885640501</v>
      </c>
      <c r="I59">
        <f t="shared" si="53"/>
        <v>1.0747103344723008</v>
      </c>
      <c r="J59">
        <f t="shared" si="53"/>
        <v>0.70281084657047466</v>
      </c>
      <c r="K59">
        <f>(K57*10*K1)/K2</f>
        <v>0.33962627437274129</v>
      </c>
      <c r="L59">
        <f t="shared" si="5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E11" sqref="E11"/>
    </sheetView>
  </sheetViews>
  <sheetFormatPr defaultRowHeight="14.4" x14ac:dyDescent="0.3"/>
  <sheetData>
    <row r="1" spans="1:2" x14ac:dyDescent="0.3">
      <c r="A1" t="s">
        <v>84</v>
      </c>
    </row>
    <row r="2" spans="1:2" x14ac:dyDescent="0.3">
      <c r="A2">
        <v>0.10100000000000001</v>
      </c>
      <c r="B2">
        <f>A2*12</f>
        <v>1.2120000000000002</v>
      </c>
    </row>
    <row r="3" spans="1:2" x14ac:dyDescent="0.3">
      <c r="A3">
        <v>0.41</v>
      </c>
      <c r="B3">
        <f t="shared" ref="B3:B11" si="0">A3*12</f>
        <v>4.92</v>
      </c>
    </row>
    <row r="4" spans="1:2" x14ac:dyDescent="0.3">
      <c r="A4">
        <v>0.94199999999999995</v>
      </c>
      <c r="B4">
        <f t="shared" si="0"/>
        <v>11.303999999999998</v>
      </c>
    </row>
    <row r="5" spans="1:2" x14ac:dyDescent="0.3">
      <c r="A5">
        <v>1.72</v>
      </c>
      <c r="B5">
        <f t="shared" si="0"/>
        <v>20.64</v>
      </c>
    </row>
    <row r="6" spans="1:2" x14ac:dyDescent="0.3">
      <c r="A6">
        <v>2.79</v>
      </c>
      <c r="B6">
        <f t="shared" si="0"/>
        <v>33.480000000000004</v>
      </c>
    </row>
    <row r="7" spans="1:2" x14ac:dyDescent="0.3">
      <c r="A7">
        <v>4.2</v>
      </c>
      <c r="B7">
        <f t="shared" si="0"/>
        <v>50.400000000000006</v>
      </c>
    </row>
    <row r="8" spans="1:2" x14ac:dyDescent="0.3">
      <c r="A8">
        <v>6.03</v>
      </c>
      <c r="B8">
        <f t="shared" si="0"/>
        <v>72.36</v>
      </c>
    </row>
    <row r="9" spans="1:2" x14ac:dyDescent="0.3">
      <c r="A9">
        <v>8.35</v>
      </c>
      <c r="B9">
        <f t="shared" si="0"/>
        <v>100.19999999999999</v>
      </c>
    </row>
    <row r="10" spans="1:2" x14ac:dyDescent="0.3">
      <c r="A10">
        <v>11.3</v>
      </c>
      <c r="B10">
        <f t="shared" si="0"/>
        <v>135.60000000000002</v>
      </c>
    </row>
    <row r="11" spans="1:2" x14ac:dyDescent="0.3">
      <c r="A11">
        <v>15</v>
      </c>
      <c r="B11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Лист1</vt:lpstr>
      <vt:lpstr>basic_param</vt:lpstr>
      <vt:lpstr>Sheet1</vt:lpstr>
      <vt:lpstr>Input_variation</vt:lpstr>
      <vt:lpstr>Basic_Input_Veriation</vt:lpstr>
      <vt:lpstr>Sheet2</vt:lpstr>
      <vt:lpstr>delta_Ha_Verification</vt:lpstr>
      <vt:lpstr>delta_sub_Ha_calcualtion</vt:lpstr>
      <vt:lpstr>Sheet3</vt:lpstr>
      <vt:lpstr>Whieney_del_Ha_Calcualtion</vt:lpstr>
      <vt:lpstr>del_sub_Ha_2</vt:lpstr>
      <vt:lpstr>del_sub_Ha_3</vt:lpstr>
      <vt:lpstr>Sheet5</vt:lpstr>
      <vt:lpstr>del_Sub_HA_3rd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2022-07-26T10:25:18Z</dcterms:modified>
</cp:coreProperties>
</file>