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defaultThemeVersion="124226"/>
  <bookViews>
    <workbookView xWindow="0" yWindow="0" windowWidth="27210" windowHeight="12795"/>
  </bookViews>
  <sheets>
    <sheet name="Model" sheetId="3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Model!$B$76:$G$80,Model!$K$76:$K$80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300</definedName>
    <definedName name="solver_lhs1" localSheetId="0" hidden="1">Model!$B$76:$B$80</definedName>
    <definedName name="solver_lhs10" localSheetId="0" hidden="1">Model!$K$76:$K$80</definedName>
    <definedName name="solver_lhs11" localSheetId="0" hidden="1">Model!$H$82</definedName>
    <definedName name="solver_lhs12" localSheetId="0" hidden="1">Model!$B$81:$G$81</definedName>
    <definedName name="solver_lhs13" localSheetId="0" hidden="1">Model!$C$18:$C$23</definedName>
    <definedName name="solver_lhs14" localSheetId="0" hidden="1">Model!#REF!</definedName>
    <definedName name="solver_lhs2" localSheetId="0" hidden="1">Model!$B$76:$G$80</definedName>
    <definedName name="solver_lhs3" localSheetId="0" hidden="1">Model!$B$81:$G$81</definedName>
    <definedName name="solver_lhs4" localSheetId="0" hidden="1">Model!$C$76:$C$80</definedName>
    <definedName name="solver_lhs5" localSheetId="0" hidden="1">Model!$D$76:$D$80</definedName>
    <definedName name="solver_lhs6" localSheetId="0" hidden="1">Model!$E$76:$E$80</definedName>
    <definedName name="solver_lhs7" localSheetId="0" hidden="1">Model!$F$76:$F$80</definedName>
    <definedName name="solver_lhs8" localSheetId="0" hidden="1">Model!$G$76:$G$80</definedName>
    <definedName name="solver_lhs9" localSheetId="0" hidden="1">Model!$K$76:$K$80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Model!$K$100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5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5</definedName>
    <definedName name="solver_rel2" localSheetId="0" hidden="1">5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5</definedName>
    <definedName name="solver_rhs1" localSheetId="0" hidden="1">Model!$K$76:$K$80</definedName>
    <definedName name="solver_rhs10" localSheetId="0" hidden="1">binary</definedName>
    <definedName name="solver_rhs11" localSheetId="0" hidden="1">Model!#REF!</definedName>
    <definedName name="solver_rhs12" localSheetId="0" hidden="1">Model!#REF!</definedName>
    <definedName name="solver_rhs13" localSheetId="0" hidden="1">Model!#REF!</definedName>
    <definedName name="solver_rhs14" localSheetId="0" hidden="1">binary</definedName>
    <definedName name="solver_rhs2" localSheetId="0" hidden="1">binary</definedName>
    <definedName name="solver_rhs3" localSheetId="0" hidden="1">1</definedName>
    <definedName name="solver_rhs4" localSheetId="0" hidden="1">Model!$K$76:$K$80</definedName>
    <definedName name="solver_rhs5" localSheetId="0" hidden="1">Model!$K$76:$K$80</definedName>
    <definedName name="solver_rhs6" localSheetId="0" hidden="1">Model!$K$76:$K$80</definedName>
    <definedName name="solver_rhs7" localSheetId="0" hidden="1">Model!$K$76:$K$80</definedName>
    <definedName name="solver_rhs8" localSheetId="0" hidden="1">Model!$K$76:$K$80</definedName>
    <definedName name="solver_rhs9" localSheetId="0" hidden="1">binary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G70" i="31" l="1"/>
  <c r="K90" i="31"/>
  <c r="K89" i="31"/>
  <c r="K88" i="31"/>
  <c r="K87" i="31"/>
  <c r="K86" i="31"/>
  <c r="F12" i="31"/>
  <c r="F11" i="31"/>
  <c r="F10" i="31"/>
  <c r="F9" i="31"/>
  <c r="F8" i="31"/>
  <c r="G81" i="31" l="1"/>
  <c r="F81" i="31"/>
  <c r="E81" i="31"/>
  <c r="D81" i="31"/>
  <c r="C81" i="31"/>
  <c r="B81" i="31"/>
  <c r="C18" i="31" l="1"/>
  <c r="J32" i="31" l="1"/>
  <c r="J42" i="31" s="1"/>
  <c r="J52" i="31" s="1"/>
  <c r="J31" i="31"/>
  <c r="J41" i="31" s="1"/>
  <c r="J51" i="31" s="1"/>
  <c r="J30" i="31"/>
  <c r="J40" i="31" s="1"/>
  <c r="J50" i="31" s="1"/>
  <c r="J29" i="31"/>
  <c r="J39" i="31" s="1"/>
  <c r="J49" i="31" s="1"/>
  <c r="J28" i="31"/>
  <c r="J38" i="31" s="1"/>
  <c r="J48" i="31" s="1"/>
  <c r="A27" i="31" l="1"/>
  <c r="A37" i="31" s="1"/>
  <c r="A47" i="31" s="1"/>
  <c r="B47" i="31"/>
  <c r="B37" i="31"/>
  <c r="B27" i="31"/>
  <c r="B17" i="31"/>
  <c r="H27" i="31"/>
  <c r="H37" i="31" s="1"/>
  <c r="H47" i="31" s="1"/>
  <c r="G27" i="31"/>
  <c r="G37" i="31" s="1"/>
  <c r="G47" i="31" s="1"/>
  <c r="F27" i="31"/>
  <c r="F37" i="31" s="1"/>
  <c r="F47" i="31" s="1"/>
  <c r="E27" i="31"/>
  <c r="E37" i="31" s="1"/>
  <c r="E47" i="31" s="1"/>
  <c r="D27" i="31"/>
  <c r="D37" i="31" s="1"/>
  <c r="D47" i="31" s="1"/>
  <c r="C27" i="31"/>
  <c r="C37" i="31" s="1"/>
  <c r="C47" i="31" s="1"/>
  <c r="K11" i="31"/>
  <c r="K10" i="31"/>
  <c r="K9" i="31"/>
  <c r="G72" i="31" l="1"/>
  <c r="F72" i="31"/>
  <c r="E72" i="31"/>
  <c r="D72" i="31"/>
  <c r="C72" i="31"/>
  <c r="B72" i="31"/>
  <c r="G71" i="31"/>
  <c r="F71" i="31"/>
  <c r="E71" i="31"/>
  <c r="D71" i="31"/>
  <c r="C71" i="31"/>
  <c r="B71" i="31"/>
  <c r="F70" i="31"/>
  <c r="E70" i="31"/>
  <c r="D70" i="31"/>
  <c r="C70" i="31"/>
  <c r="B70" i="31"/>
  <c r="G69" i="31"/>
  <c r="F69" i="31"/>
  <c r="E69" i="31"/>
  <c r="D69" i="31"/>
  <c r="C69" i="31"/>
  <c r="B69" i="31"/>
  <c r="G68" i="31"/>
  <c r="F68" i="31"/>
  <c r="E68" i="31"/>
  <c r="D68" i="31"/>
  <c r="C68" i="31"/>
  <c r="B68" i="31"/>
  <c r="E23" i="31" l="1"/>
  <c r="C22" i="31"/>
  <c r="C21" i="31"/>
  <c r="E20" i="31"/>
  <c r="B29" i="31"/>
  <c r="C84" i="31" s="1"/>
  <c r="B33" i="31" l="1"/>
  <c r="G84" i="31" s="1"/>
  <c r="E29" i="31"/>
  <c r="B39" i="31"/>
  <c r="B49" i="31" s="1"/>
  <c r="B30" i="31"/>
  <c r="D84" i="31" s="1"/>
  <c r="B31" i="31"/>
  <c r="E84" i="31" s="1"/>
  <c r="B32" i="31"/>
  <c r="F84" i="31" s="1"/>
  <c r="C29" i="31"/>
  <c r="C23" i="31"/>
  <c r="E21" i="31"/>
  <c r="E19" i="31"/>
  <c r="C19" i="31"/>
  <c r="C20" i="31"/>
  <c r="E22" i="31"/>
  <c r="G89" i="31" l="1"/>
  <c r="C88" i="31"/>
  <c r="C90" i="31"/>
  <c r="C89" i="31"/>
  <c r="C86" i="31"/>
  <c r="C87" i="31"/>
  <c r="B43" i="31"/>
  <c r="B53" i="31" s="1"/>
  <c r="E32" i="31"/>
  <c r="C33" i="31"/>
  <c r="C49" i="31"/>
  <c r="E49" i="31"/>
  <c r="E33" i="31"/>
  <c r="E31" i="31"/>
  <c r="B41" i="31"/>
  <c r="B51" i="31" s="1"/>
  <c r="C32" i="31"/>
  <c r="B42" i="31"/>
  <c r="B52" i="31" s="1"/>
  <c r="E30" i="31"/>
  <c r="B40" i="31"/>
  <c r="B50" i="31" s="1"/>
  <c r="C30" i="31"/>
  <c r="C39" i="31"/>
  <c r="E39" i="31"/>
  <c r="C31" i="31"/>
  <c r="G87" i="31" l="1"/>
  <c r="G88" i="31"/>
  <c r="G86" i="31"/>
  <c r="G90" i="31"/>
  <c r="C93" i="31"/>
  <c r="D89" i="31"/>
  <c r="D88" i="31"/>
  <c r="D86" i="31"/>
  <c r="D87" i="31"/>
  <c r="D90" i="31"/>
  <c r="F90" i="31"/>
  <c r="F86" i="31"/>
  <c r="F87" i="31"/>
  <c r="F88" i="31"/>
  <c r="F89" i="31"/>
  <c r="E89" i="31"/>
  <c r="E88" i="31"/>
  <c r="E90" i="31"/>
  <c r="E86" i="31"/>
  <c r="E87" i="31"/>
  <c r="E43" i="31"/>
  <c r="C43" i="31"/>
  <c r="E53" i="31"/>
  <c r="C53" i="31"/>
  <c r="C50" i="31"/>
  <c r="E50" i="31"/>
  <c r="C52" i="31"/>
  <c r="E52" i="31"/>
  <c r="C51" i="31"/>
  <c r="E51" i="31"/>
  <c r="C40" i="31"/>
  <c r="E40" i="31"/>
  <c r="C42" i="31"/>
  <c r="E42" i="31"/>
  <c r="E41" i="31"/>
  <c r="C41" i="31"/>
  <c r="G93" i="31" l="1"/>
  <c r="F93" i="31"/>
  <c r="D93" i="31"/>
  <c r="E93" i="31"/>
  <c r="C24" i="31"/>
  <c r="K21" i="31" s="1"/>
  <c r="B24" i="31"/>
  <c r="B28" i="31"/>
  <c r="B84" i="31" s="1"/>
  <c r="B86" i="31" l="1"/>
  <c r="B38" i="31"/>
  <c r="B48" i="31" s="1"/>
  <c r="G18" i="31"/>
  <c r="G19" i="31" s="1"/>
  <c r="G20" i="31" s="1"/>
  <c r="G21" i="31" s="1"/>
  <c r="G22" i="31" s="1"/>
  <c r="G23" i="31" s="1"/>
  <c r="F18" i="31"/>
  <c r="F22" i="31"/>
  <c r="F19" i="31"/>
  <c r="F21" i="31"/>
  <c r="F20" i="31"/>
  <c r="F23" i="31"/>
  <c r="E28" i="31"/>
  <c r="E34" i="31" s="1"/>
  <c r="K30" i="31" s="1"/>
  <c r="B34" i="31"/>
  <c r="G28" i="31" s="1"/>
  <c r="G29" i="31" s="1"/>
  <c r="G30" i="31" s="1"/>
  <c r="G31" i="31" s="1"/>
  <c r="G32" i="31" s="1"/>
  <c r="G33" i="31" s="1"/>
  <c r="E18" i="31"/>
  <c r="E24" i="31" s="1"/>
  <c r="K20" i="31" s="1"/>
  <c r="C28" i="31"/>
  <c r="C34" i="31" s="1"/>
  <c r="K31" i="31" s="1"/>
  <c r="E38" i="31" l="1"/>
  <c r="E44" i="31" s="1"/>
  <c r="K40" i="31" s="1"/>
  <c r="C38" i="31"/>
  <c r="C44" i="31" s="1"/>
  <c r="K41" i="31" s="1"/>
  <c r="B44" i="31"/>
  <c r="G38" i="31" s="1"/>
  <c r="G39" i="31" s="1"/>
  <c r="G40" i="31" s="1"/>
  <c r="G41" i="31" s="1"/>
  <c r="G42" i="31" s="1"/>
  <c r="G43" i="31" s="1"/>
  <c r="H20" i="31"/>
  <c r="H18" i="31"/>
  <c r="K18" i="31"/>
  <c r="G24" i="31"/>
  <c r="K19" i="31"/>
  <c r="F31" i="31"/>
  <c r="F29" i="31"/>
  <c r="F28" i="31"/>
  <c r="F32" i="31"/>
  <c r="F30" i="31"/>
  <c r="F33" i="31"/>
  <c r="H23" i="31"/>
  <c r="H19" i="31"/>
  <c r="C48" i="31"/>
  <c r="C54" i="31" s="1"/>
  <c r="K51" i="31" s="1"/>
  <c r="E48" i="31"/>
  <c r="E54" i="31" s="1"/>
  <c r="K50" i="31" s="1"/>
  <c r="B54" i="31"/>
  <c r="G48" i="31" s="1"/>
  <c r="G49" i="31" s="1"/>
  <c r="G50" i="31" s="1"/>
  <c r="G51" i="31" s="1"/>
  <c r="G52" i="31" s="1"/>
  <c r="G53" i="31" s="1"/>
  <c r="H21" i="31"/>
  <c r="H22" i="31"/>
  <c r="F41" i="31" l="1"/>
  <c r="H41" i="31" s="1"/>
  <c r="F43" i="31"/>
  <c r="H43" i="31" s="1"/>
  <c r="F38" i="31"/>
  <c r="K38" i="31" s="1"/>
  <c r="F39" i="31"/>
  <c r="H39" i="31" s="1"/>
  <c r="F42" i="31"/>
  <c r="H42" i="31" s="1"/>
  <c r="F40" i="31"/>
  <c r="H40" i="31" s="1"/>
  <c r="B89" i="31"/>
  <c r="B90" i="31"/>
  <c r="B88" i="31"/>
  <c r="B87" i="31"/>
  <c r="H33" i="31"/>
  <c r="H29" i="31"/>
  <c r="H30" i="31"/>
  <c r="H28" i="31"/>
  <c r="K28" i="31"/>
  <c r="H31" i="31"/>
  <c r="F52" i="31"/>
  <c r="F50" i="31"/>
  <c r="F48" i="31"/>
  <c r="F51" i="31"/>
  <c r="F53" i="31"/>
  <c r="F49" i="31"/>
  <c r="H32" i="31"/>
  <c r="K22" i="31"/>
  <c r="B57" i="31" s="1"/>
  <c r="K29" i="31"/>
  <c r="G34" i="31"/>
  <c r="K39" i="31"/>
  <c r="G44" i="31"/>
  <c r="B93" i="31" l="1"/>
  <c r="H93" i="31" s="1"/>
  <c r="H38" i="31"/>
  <c r="H87" i="31"/>
  <c r="L87" i="31" s="1"/>
  <c r="H88" i="31"/>
  <c r="L88" i="31" s="1"/>
  <c r="H90" i="31"/>
  <c r="L90" i="31" s="1"/>
  <c r="H89" i="31"/>
  <c r="L89" i="31" s="1"/>
  <c r="E91" i="31"/>
  <c r="E94" i="31" s="1"/>
  <c r="C91" i="31"/>
  <c r="C94" i="31" s="1"/>
  <c r="F91" i="31"/>
  <c r="F94" i="31" s="1"/>
  <c r="G91" i="31"/>
  <c r="G94" i="31" s="1"/>
  <c r="D91" i="31"/>
  <c r="D94" i="31" s="1"/>
  <c r="H86" i="31"/>
  <c r="L86" i="31" s="1"/>
  <c r="B91" i="31"/>
  <c r="H51" i="31"/>
  <c r="K42" i="31"/>
  <c r="B59" i="31" s="1"/>
  <c r="K103" i="31" s="1"/>
  <c r="K32" i="31"/>
  <c r="B58" i="31" s="1"/>
  <c r="G54" i="31"/>
  <c r="K49" i="31"/>
  <c r="H48" i="31"/>
  <c r="K48" i="31"/>
  <c r="H49" i="31"/>
  <c r="H50" i="31"/>
  <c r="H53" i="31"/>
  <c r="H52" i="31"/>
  <c r="L92" i="31" l="1"/>
  <c r="C101" i="31"/>
  <c r="M89" i="31"/>
  <c r="M86" i="31"/>
  <c r="M88" i="31"/>
  <c r="M90" i="31"/>
  <c r="M87" i="31"/>
  <c r="J90" i="31"/>
  <c r="I90" i="31"/>
  <c r="J89" i="31"/>
  <c r="I89" i="31"/>
  <c r="H92" i="31"/>
  <c r="J86" i="31"/>
  <c r="I86" i="31"/>
  <c r="J88" i="31"/>
  <c r="I88" i="31"/>
  <c r="J87" i="31"/>
  <c r="I87" i="31"/>
  <c r="B94" i="31"/>
  <c r="H94" i="31" s="1"/>
  <c r="C98" i="31" s="1"/>
  <c r="K52" i="31"/>
  <c r="B60" i="31" s="1"/>
  <c r="N87" i="31" l="1"/>
  <c r="M77" i="31"/>
  <c r="O88" i="31"/>
  <c r="M78" i="31"/>
  <c r="O90" i="31"/>
  <c r="M80" i="31"/>
  <c r="N86" i="31"/>
  <c r="M76" i="31"/>
  <c r="Q89" i="31"/>
  <c r="Q79" i="31" s="1"/>
  <c r="S89" i="31" s="1"/>
  <c r="M79" i="31"/>
  <c r="C97" i="31"/>
  <c r="K92" i="31"/>
  <c r="K98" i="31" s="1"/>
  <c r="Q86" i="31"/>
  <c r="Q76" i="31" s="1"/>
  <c r="N90" i="31"/>
  <c r="P90" i="31" s="1"/>
  <c r="Q90" i="31"/>
  <c r="N88" i="31"/>
  <c r="P88" i="31" s="1"/>
  <c r="O87" i="31"/>
  <c r="P87" i="31" s="1"/>
  <c r="O89" i="31"/>
  <c r="N89" i="31"/>
  <c r="M92" i="31"/>
  <c r="Q88" i="31"/>
  <c r="Q78" i="31" s="1"/>
  <c r="Q87" i="31"/>
  <c r="Q77" i="31" s="1"/>
  <c r="O86" i="31"/>
  <c r="J92" i="31"/>
  <c r="I92" i="31"/>
  <c r="P86" i="31" l="1"/>
  <c r="U90" i="31"/>
  <c r="U80" i="31" s="1"/>
  <c r="Q80" i="31"/>
  <c r="R90" i="31" s="1"/>
  <c r="U89" i="31"/>
  <c r="U79" i="31" s="1"/>
  <c r="W89" i="31" s="1"/>
  <c r="K100" i="31"/>
  <c r="R89" i="31"/>
  <c r="T89" i="31" s="1"/>
  <c r="R87" i="31"/>
  <c r="S87" i="31"/>
  <c r="P89" i="31"/>
  <c r="P92" i="31" s="1"/>
  <c r="R86" i="31"/>
  <c r="S86" i="31"/>
  <c r="S88" i="31"/>
  <c r="R88" i="31"/>
  <c r="V89" i="31"/>
  <c r="O92" i="31"/>
  <c r="U87" i="31"/>
  <c r="N92" i="31"/>
  <c r="U86" i="31"/>
  <c r="U88" i="31"/>
  <c r="Q92" i="31"/>
  <c r="C99" i="31"/>
  <c r="S90" i="31" l="1"/>
  <c r="T90" i="31" s="1"/>
  <c r="U78" i="31"/>
  <c r="W88" i="31" s="1"/>
  <c r="U76" i="31"/>
  <c r="V86" i="31" s="1"/>
  <c r="U77" i="31"/>
  <c r="W87" i="31" s="1"/>
  <c r="X89" i="31"/>
  <c r="T87" i="31"/>
  <c r="T88" i="31"/>
  <c r="T86" i="31"/>
  <c r="V90" i="31"/>
  <c r="W90" i="31"/>
  <c r="U92" i="31"/>
  <c r="R92" i="31"/>
  <c r="S92" i="31" l="1"/>
  <c r="V88" i="31"/>
  <c r="X88" i="31" s="1"/>
  <c r="W86" i="31"/>
  <c r="V87" i="31"/>
  <c r="X86" i="31"/>
  <c r="T92" i="31"/>
  <c r="X90" i="31"/>
  <c r="W92" i="31"/>
  <c r="V92" i="31" l="1"/>
  <c r="X87" i="31"/>
  <c r="X92" i="31" s="1"/>
  <c r="K97" i="31" s="1"/>
  <c r="K102" i="31" s="1"/>
  <c r="C100" i="31" l="1"/>
  <c r="C103" i="31" s="1"/>
</calcChain>
</file>

<file path=xl/sharedStrings.xml><?xml version="1.0" encoding="utf-8"?>
<sst xmlns="http://schemas.openxmlformats.org/spreadsheetml/2006/main" count="200" uniqueCount="110">
  <si>
    <t>Atlanta</t>
  </si>
  <si>
    <t>St. Louis</t>
  </si>
  <si>
    <t>Zone</t>
  </si>
  <si>
    <t>Northwest</t>
  </si>
  <si>
    <t>Southwest</t>
  </si>
  <si>
    <t>Upper Midwest</t>
  </si>
  <si>
    <t>Lower Midwest</t>
  </si>
  <si>
    <t>Northeast</t>
  </si>
  <si>
    <t>Southeast</t>
  </si>
  <si>
    <t>Total Demand</t>
  </si>
  <si>
    <t>Shipping Cost</t>
  </si>
  <si>
    <t>Seattle</t>
  </si>
  <si>
    <t>Location</t>
  </si>
  <si>
    <t>Denver</t>
  </si>
  <si>
    <t>Philadelphia</t>
  </si>
  <si>
    <t>Small Warehouse</t>
  </si>
  <si>
    <t>Large Warehouse</t>
  </si>
  <si>
    <t>Fixed Cost</t>
  </si>
  <si>
    <t>Variable Cost</t>
  </si>
  <si>
    <t>Range of F</t>
  </si>
  <si>
    <t>Inventory cost</t>
  </si>
  <si>
    <t>0-2 mill</t>
  </si>
  <si>
    <t>2-4 mill</t>
  </si>
  <si>
    <t>4-6 mill</t>
  </si>
  <si>
    <t>more than 6 m</t>
  </si>
  <si>
    <t>SINGLE COST</t>
  </si>
  <si>
    <t>Demand</t>
  </si>
  <si>
    <t>Total Shipping Cost</t>
  </si>
  <si>
    <t>Total Holding Cost</t>
  </si>
  <si>
    <t>Warehouse Cost</t>
  </si>
  <si>
    <t>Year</t>
  </si>
  <si>
    <t>2007Northwest</t>
  </si>
  <si>
    <t>2007Southwest</t>
  </si>
  <si>
    <t>2007Upper Midwest</t>
  </si>
  <si>
    <t>2007Lower Midwest</t>
  </si>
  <si>
    <t>2007Northeast</t>
  </si>
  <si>
    <t>2007Southeast</t>
  </si>
  <si>
    <t>2008Northwest</t>
  </si>
  <si>
    <t>2008Southwest</t>
  </si>
  <si>
    <t>2008Upper Midwest</t>
  </si>
  <si>
    <t>2008Lower Midwest</t>
  </si>
  <si>
    <t>2008Northeast</t>
  </si>
  <si>
    <t>2008Southeast</t>
  </si>
  <si>
    <t>2009Northwest</t>
  </si>
  <si>
    <t>2009Southwest</t>
  </si>
  <si>
    <t>2009Upper Midwest</t>
  </si>
  <si>
    <t>2009Lower Midwest</t>
  </si>
  <si>
    <t>2009Northeast</t>
  </si>
  <si>
    <t>2009Southeast</t>
  </si>
  <si>
    <t>2010Northwest</t>
  </si>
  <si>
    <t>2010Southwest</t>
  </si>
  <si>
    <t>2010Upper Midwest</t>
  </si>
  <si>
    <t>2010Lower Midwest</t>
  </si>
  <si>
    <t>2010Northeast</t>
  </si>
  <si>
    <t>2010Southeast</t>
  </si>
  <si>
    <t>Total Cost</t>
  </si>
  <si>
    <t>Shipping Costs Multiplier</t>
  </si>
  <si>
    <t>WAREHOUSE COSTS</t>
  </si>
  <si>
    <t>HOLDING COSTS</t>
  </si>
  <si>
    <t>not location-dependent</t>
  </si>
  <si>
    <t>Shipping Cost from Warehouse</t>
  </si>
  <si>
    <t>Holding Cost</t>
  </si>
  <si>
    <t>Less Shipping Charges</t>
  </si>
  <si>
    <t>TOTAL COST</t>
  </si>
  <si>
    <t>Summary</t>
  </si>
  <si>
    <t>Total Transportation Cost</t>
  </si>
  <si>
    <t>DSB 6200</t>
  </si>
  <si>
    <t>Wayne State University</t>
  </si>
  <si>
    <t>WSU</t>
  </si>
  <si>
    <t>Questions</t>
  </si>
  <si>
    <t>Answers</t>
  </si>
  <si>
    <t>Solutions</t>
  </si>
  <si>
    <t>Sunil Chopra</t>
  </si>
  <si>
    <t>Peter Meindl</t>
  </si>
  <si>
    <t>Supply Chain Management 5th Edition</t>
  </si>
  <si>
    <t>Chapter 5</t>
  </si>
  <si>
    <t>Case Study</t>
  </si>
  <si>
    <t>Model</t>
  </si>
  <si>
    <t>Q1: What is the cost SportStuff.com incurs if all warehouses leased are in St. Louis?</t>
  </si>
  <si>
    <t>Q2: What supply chain network configuration do you recommend for SportStuff.com? Why?</t>
  </si>
  <si>
    <t>Q3: How would your recommendation change if transportation costs were twice those shown in Table 5-17?</t>
  </si>
  <si>
    <t>Devon Ankar (devon@devonankar.com)</t>
  </si>
  <si>
    <t>Used?</t>
  </si>
  <si>
    <t>Shipment Charges</t>
  </si>
  <si>
    <t>Shipment Charges (UPS)</t>
  </si>
  <si>
    <t>Sml WH Cost</t>
  </si>
  <si>
    <t>Lrg WH Cost</t>
  </si>
  <si>
    <t>Objective Cell:</t>
  </si>
  <si>
    <t>Totals</t>
  </si>
  <si>
    <t>ACTUAL TOTAL COST:</t>
  </si>
  <si>
    <t>Actual Holding Cost</t>
  </si>
  <si>
    <t>Simplified Holding Cost</t>
  </si>
  <si>
    <t>Shipment Charges Matrix (UPS)</t>
  </si>
  <si>
    <t>UPS charges per shipment (4 units)</t>
  </si>
  <si>
    <t>To/From Matrix</t>
  </si>
  <si>
    <t>Demand Lookups:</t>
  </si>
  <si>
    <t>Total Demand/Supply</t>
  </si>
  <si>
    <t>Capacity (units):</t>
  </si>
  <si>
    <t>Warehouse 1</t>
  </si>
  <si>
    <t>Warehouse 2</t>
  </si>
  <si>
    <t>Warehouse 3</t>
  </si>
  <si>
    <t>WH Cost</t>
  </si>
  <si>
    <t>Total WH Costs:</t>
  </si>
  <si>
    <t>Q1 Cost for comparison:</t>
  </si>
  <si>
    <t>Avg Fixed Cost</t>
  </si>
  <si>
    <t>Simplified WH Costs:</t>
  </si>
  <si>
    <t>Average WH</t>
  </si>
  <si>
    <t>Served?</t>
  </si>
  <si>
    <t>Last Updated: May 13, 2018</t>
  </si>
  <si>
    <t>Chapter 5 Case Study Model - from textbook Supply Chain Management 5th Edition (by Sunil Chopra &amp; Peter Meindl)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</si>
</sst>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0.000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7">
    <xf numFmtId="0" fontId="0" fillId="0" borderId="0" xfId="0"/>
    <xf numFmtId="0" fontId="4" fillId="0" borderId="0" xfId="0" applyFont="1"/>
    <xf numFmtId="0" fontId="4" fillId="0" borderId="0" xfId="0" applyFont="1" applyFill="1" applyBorder="1"/>
    <xf numFmtId="164" fontId="4" fillId="0" borderId="0" xfId="1" applyNumberFormat="1" applyFont="1" applyFill="1" applyBorder="1"/>
    <xf numFmtId="0" fontId="4" fillId="0" borderId="0" xfId="0" applyNumberFormat="1" applyFont="1" applyFill="1" applyBorder="1"/>
    <xf numFmtId="0" fontId="4" fillId="0" borderId="0" xfId="0" applyNumberFormat="1" applyFont="1"/>
    <xf numFmtId="0" fontId="5" fillId="0" borderId="0" xfId="0" applyNumberFormat="1" applyFont="1"/>
    <xf numFmtId="0" fontId="5" fillId="0" borderId="0" xfId="0" applyFont="1"/>
    <xf numFmtId="0" fontId="6" fillId="0" borderId="0" xfId="0" applyFont="1"/>
    <xf numFmtId="0" fontId="4" fillId="0" borderId="0" xfId="0" applyFont="1" applyFill="1"/>
    <xf numFmtId="0" fontId="4" fillId="0" borderId="0" xfId="0" applyFont="1" applyAlignment="1">
      <alignment horizontal="right"/>
    </xf>
    <xf numFmtId="165" fontId="4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horizontal="right"/>
    </xf>
    <xf numFmtId="0" fontId="4" fillId="0" borderId="1" xfId="1" applyNumberFormat="1" applyFont="1" applyFill="1" applyBorder="1"/>
    <xf numFmtId="44" fontId="8" fillId="0" borderId="0" xfId="2" applyFont="1"/>
    <xf numFmtId="44" fontId="8" fillId="0" borderId="0" xfId="2" applyFont="1" applyFill="1"/>
    <xf numFmtId="0" fontId="9" fillId="2" borderId="0" xfId="0" applyFont="1" applyFill="1"/>
    <xf numFmtId="165" fontId="11" fillId="0" borderId="0" xfId="1" applyNumberFormat="1" applyFont="1" applyAlignment="1">
      <alignment horizontal="right"/>
    </xf>
    <xf numFmtId="0" fontId="4" fillId="0" borderId="0" xfId="1" applyNumberFormat="1" applyFont="1" applyFill="1" applyBorder="1"/>
    <xf numFmtId="0" fontId="4" fillId="0" borderId="1" xfId="0" applyNumberFormat="1" applyFont="1" applyFill="1" applyBorder="1"/>
    <xf numFmtId="0" fontId="10" fillId="0" borderId="0" xfId="0" applyNumberFormat="1" applyFont="1"/>
    <xf numFmtId="0" fontId="5" fillId="5" borderId="1" xfId="0" applyNumberFormat="1" applyFont="1" applyFill="1" applyBorder="1"/>
    <xf numFmtId="0" fontId="5" fillId="5" borderId="1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4" fillId="6" borderId="1" xfId="0" applyNumberFormat="1" applyFont="1" applyFill="1" applyBorder="1"/>
    <xf numFmtId="0" fontId="4" fillId="4" borderId="1" xfId="0" applyNumberFormat="1" applyFont="1" applyFill="1" applyBorder="1"/>
    <xf numFmtId="0" fontId="4" fillId="4" borderId="1" xfId="1" applyNumberFormat="1" applyFont="1" applyFill="1" applyBorder="1"/>
    <xf numFmtId="0" fontId="7" fillId="0" borderId="0" xfId="0" applyNumberFormat="1" applyFont="1"/>
    <xf numFmtId="0" fontId="4" fillId="0" borderId="0" xfId="0" applyNumberFormat="1" applyFont="1" applyBorder="1"/>
    <xf numFmtId="0" fontId="5" fillId="0" borderId="0" xfId="0" applyNumberFormat="1" applyFont="1" applyBorder="1"/>
    <xf numFmtId="0" fontId="4" fillId="0" borderId="0" xfId="0" applyNumberFormat="1" applyFont="1" applyFill="1" applyBorder="1" applyAlignment="1">
      <alignment horizontal="right"/>
    </xf>
    <xf numFmtId="0" fontId="4" fillId="0" borderId="2" xfId="0" applyFont="1" applyBorder="1"/>
    <xf numFmtId="0" fontId="5" fillId="0" borderId="3" xfId="0" applyFont="1" applyFill="1" applyBorder="1" applyAlignment="1">
      <alignment horizontal="right"/>
    </xf>
    <xf numFmtId="0" fontId="6" fillId="2" borderId="4" xfId="0" applyFont="1" applyFill="1" applyBorder="1"/>
    <xf numFmtId="0" fontId="11" fillId="0" borderId="0" xfId="0" applyFont="1"/>
    <xf numFmtId="0" fontId="11" fillId="0" borderId="1" xfId="0" applyNumberFormat="1" applyFont="1" applyFill="1" applyBorder="1" applyAlignment="1">
      <alignment horizontal="left"/>
    </xf>
    <xf numFmtId="0" fontId="6" fillId="0" borderId="0" xfId="0" applyNumberFormat="1" applyFont="1" applyBorder="1"/>
    <xf numFmtId="0" fontId="4" fillId="0" borderId="0" xfId="0" applyNumberFormat="1" applyFont="1" applyBorder="1" applyAlignment="1">
      <alignment horizontal="right"/>
    </xf>
    <xf numFmtId="0" fontId="11" fillId="0" borderId="0" xfId="0" applyNumberFormat="1" applyFont="1"/>
    <xf numFmtId="0" fontId="8" fillId="0" borderId="1" xfId="1" applyNumberFormat="1" applyFont="1" applyBorder="1"/>
    <xf numFmtId="0" fontId="8" fillId="0" borderId="1" xfId="0" applyNumberFormat="1" applyFont="1" applyFill="1" applyBorder="1"/>
    <xf numFmtId="1" fontId="4" fillId="0" borderId="0" xfId="0" applyNumberFormat="1" applyFont="1" applyBorder="1"/>
    <xf numFmtId="0" fontId="4" fillId="7" borderId="0" xfId="0" applyFont="1" applyFill="1"/>
    <xf numFmtId="0" fontId="4" fillId="7" borderId="0" xfId="2" applyNumberFormat="1" applyFont="1" applyFill="1" applyAlignment="1">
      <alignment horizontal="center"/>
    </xf>
    <xf numFmtId="0" fontId="13" fillId="0" borderId="0" xfId="0" applyFont="1"/>
    <xf numFmtId="1" fontId="4" fillId="0" borderId="1" xfId="0" applyNumberFormat="1" applyFont="1" applyFill="1" applyBorder="1"/>
    <xf numFmtId="1" fontId="4" fillId="0" borderId="1" xfId="1" applyNumberFormat="1" applyFont="1" applyFill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3" fontId="4" fillId="7" borderId="0" xfId="2" applyNumberFormat="1" applyFont="1" applyFill="1" applyAlignment="1">
      <alignment horizontal="center"/>
    </xf>
    <xf numFmtId="3" fontId="4" fillId="3" borderId="0" xfId="0" applyNumberFormat="1" applyFont="1" applyFill="1"/>
    <xf numFmtId="3" fontId="4" fillId="0" borderId="0" xfId="0" applyNumberFormat="1" applyFont="1"/>
    <xf numFmtId="165" fontId="5" fillId="10" borderId="0" xfId="0" applyNumberFormat="1" applyFont="1" applyFill="1" applyAlignment="1">
      <alignment horizontal="right"/>
    </xf>
    <xf numFmtId="0" fontId="5" fillId="0" borderId="0" xfId="0" applyFont="1" applyAlignment="1">
      <alignment horizontal="center" vertical="top" wrapText="1"/>
    </xf>
    <xf numFmtId="0" fontId="5" fillId="0" borderId="0" xfId="0" applyNumberFormat="1" applyFont="1" applyAlignment="1">
      <alignment horizontal="center" vertical="top" wrapText="1"/>
    </xf>
    <xf numFmtId="0" fontId="4" fillId="9" borderId="5" xfId="0" applyFont="1" applyFill="1" applyBorder="1"/>
    <xf numFmtId="3" fontId="5" fillId="9" borderId="6" xfId="0" applyNumberFormat="1" applyFont="1" applyFill="1" applyBorder="1"/>
    <xf numFmtId="3" fontId="4" fillId="9" borderId="6" xfId="0" applyNumberFormat="1" applyFont="1" applyFill="1" applyBorder="1"/>
    <xf numFmtId="0" fontId="4" fillId="9" borderId="6" xfId="0" applyFont="1" applyFill="1" applyBorder="1"/>
    <xf numFmtId="165" fontId="5" fillId="9" borderId="5" xfId="0" applyNumberFormat="1" applyFont="1" applyFill="1" applyBorder="1"/>
    <xf numFmtId="165" fontId="4" fillId="8" borderId="6" xfId="0" applyNumberFormat="1" applyFont="1" applyFill="1" applyBorder="1"/>
    <xf numFmtId="165" fontId="5" fillId="8" borderId="6" xfId="0" applyNumberFormat="1" applyFont="1" applyFill="1" applyBorder="1"/>
    <xf numFmtId="0" fontId="5" fillId="0" borderId="8" xfId="0" applyFont="1" applyBorder="1" applyAlignment="1">
      <alignment horizontal="center" vertical="top" wrapText="1"/>
    </xf>
    <xf numFmtId="3" fontId="4" fillId="3" borderId="8" xfId="0" applyNumberFormat="1" applyFont="1" applyFill="1" applyBorder="1"/>
    <xf numFmtId="3" fontId="5" fillId="9" borderId="9" xfId="0" applyNumberFormat="1" applyFont="1" applyFill="1" applyBorder="1"/>
    <xf numFmtId="3" fontId="5" fillId="9" borderId="7" xfId="0" applyNumberFormat="1" applyFont="1" applyFill="1" applyBorder="1"/>
    <xf numFmtId="0" fontId="5" fillId="0" borderId="8" xfId="0" applyNumberFormat="1" applyFont="1" applyBorder="1" applyAlignment="1">
      <alignment horizontal="center" vertical="top" wrapText="1"/>
    </xf>
    <xf numFmtId="3" fontId="4" fillId="9" borderId="9" xfId="0" applyNumberFormat="1" applyFont="1" applyFill="1" applyBorder="1"/>
    <xf numFmtId="165" fontId="5" fillId="9" borderId="7" xfId="0" applyNumberFormat="1" applyFont="1" applyFill="1" applyBorder="1"/>
    <xf numFmtId="0" fontId="4" fillId="11" borderId="0" xfId="0" applyFont="1" applyFill="1"/>
    <xf numFmtId="0" fontId="5" fillId="0" borderId="1" xfId="1" applyNumberFormat="1" applyFont="1" applyFill="1" applyBorder="1"/>
    <xf numFmtId="3" fontId="8" fillId="0" borderId="1" xfId="1" applyNumberFormat="1" applyFont="1" applyFill="1" applyBorder="1"/>
    <xf numFmtId="3" fontId="8" fillId="0" borderId="1" xfId="0" applyNumberFormat="1" applyFont="1" applyFill="1" applyBorder="1"/>
    <xf numFmtId="3" fontId="8" fillId="2" borderId="1" xfId="1" applyNumberFormat="1" applyFont="1" applyFill="1" applyBorder="1"/>
    <xf numFmtId="3" fontId="8" fillId="2" borderId="1" xfId="0" applyNumberFormat="1" applyFont="1" applyFill="1" applyBorder="1"/>
    <xf numFmtId="3" fontId="8" fillId="0" borderId="1" xfId="0" applyNumberFormat="1" applyFont="1" applyBorder="1"/>
    <xf numFmtId="0" fontId="11" fillId="7" borderId="0" xfId="0" applyFont="1" applyFill="1" applyBorder="1"/>
    <xf numFmtId="0" fontId="5" fillId="7" borderId="0" xfId="0" applyNumberFormat="1" applyFont="1" applyFill="1" applyAlignment="1">
      <alignment horizontal="right"/>
    </xf>
    <xf numFmtId="0" fontId="4" fillId="7" borderId="0" xfId="0" applyNumberFormat="1" applyFont="1" applyFill="1"/>
    <xf numFmtId="164" fontId="4" fillId="7" borderId="0" xfId="1" applyNumberFormat="1" applyFont="1" applyFill="1" applyBorder="1"/>
    <xf numFmtId="0" fontId="4" fillId="7" borderId="0" xfId="0" applyFont="1" applyFill="1" applyBorder="1"/>
    <xf numFmtId="3" fontId="6" fillId="7" borderId="0" xfId="1" applyNumberFormat="1" applyFont="1" applyFill="1" applyBorder="1"/>
    <xf numFmtId="0" fontId="4" fillId="7" borderId="0" xfId="0" applyNumberFormat="1" applyFont="1" applyFill="1" applyBorder="1"/>
    <xf numFmtId="0" fontId="5" fillId="7" borderId="0" xfId="1" applyNumberFormat="1" applyFont="1" applyFill="1" applyBorder="1"/>
    <xf numFmtId="0" fontId="5" fillId="7" borderId="0" xfId="0" applyNumberFormat="1" applyFont="1" applyFill="1" applyBorder="1"/>
    <xf numFmtId="0" fontId="5" fillId="7" borderId="0" xfId="0" applyNumberFormat="1" applyFont="1" applyFill="1"/>
    <xf numFmtId="0" fontId="11" fillId="7" borderId="0" xfId="0" applyFont="1" applyFill="1"/>
    <xf numFmtId="0" fontId="12" fillId="7" borderId="0" xfId="0" applyNumberFormat="1" applyFont="1" applyFill="1"/>
    <xf numFmtId="0" fontId="6" fillId="7" borderId="0" xfId="0" applyNumberFormat="1" applyFont="1" applyFill="1"/>
    <xf numFmtId="0" fontId="4" fillId="0" borderId="0" xfId="0" applyFont="1" applyBorder="1"/>
    <xf numFmtId="165" fontId="4" fillId="0" borderId="0" xfId="2" applyNumberFormat="1" applyFont="1" applyBorder="1"/>
    <xf numFmtId="0" fontId="5" fillId="0" borderId="0" xfId="0" applyNumberFormat="1" applyFont="1" applyBorder="1" applyAlignment="1">
      <alignment horizontal="right"/>
    </xf>
    <xf numFmtId="165" fontId="5" fillId="0" borderId="0" xfId="2" applyNumberFormat="1" applyFont="1" applyBorder="1"/>
    <xf numFmtId="0" fontId="5" fillId="0" borderId="0" xfId="0" applyFont="1" applyBorder="1" applyAlignment="1">
      <alignment horizontal="center" vertical="top" wrapText="1"/>
    </xf>
    <xf numFmtId="3" fontId="4" fillId="3" borderId="0" xfId="0" applyNumberFormat="1" applyFont="1" applyFill="1" applyBorder="1"/>
    <xf numFmtId="3" fontId="4" fillId="3" borderId="7" xfId="0" applyNumberFormat="1" applyFont="1" applyFill="1" applyBorder="1"/>
    <xf numFmtId="165" fontId="5" fillId="9" borderId="9" xfId="0" applyNumberFormat="1" applyFont="1" applyFill="1" applyBorder="1"/>
    <xf numFmtId="165" fontId="5" fillId="0" borderId="0" xfId="0" applyNumberFormat="1" applyFont="1"/>
    <xf numFmtId="3" fontId="4" fillId="0" borderId="0" xfId="2" applyNumberFormat="1" applyFont="1" applyBorder="1"/>
    <xf numFmtId="2" fontId="8" fillId="0" borderId="1" xfId="0" applyNumberFormat="1" applyFont="1" applyFill="1" applyBorder="1"/>
    <xf numFmtId="2" fontId="8" fillId="2" borderId="1" xfId="0" applyNumberFormat="1" applyFont="1" applyFill="1" applyBorder="1"/>
    <xf numFmtId="166" fontId="8" fillId="0" borderId="1" xfId="0" applyNumberFormat="1" applyFont="1" applyBorder="1"/>
    <xf numFmtId="166" fontId="8" fillId="2" borderId="1" xfId="0" applyNumberFormat="1" applyFont="1" applyFill="1" applyBorder="1"/>
    <xf numFmtId="165" fontId="4" fillId="0" borderId="0" xfId="0" applyNumberFormat="1" applyFont="1" applyFill="1" applyAlignment="1">
      <alignment horizontal="right"/>
    </xf>
    <xf numFmtId="3" fontId="4" fillId="0" borderId="1" xfId="1" applyNumberFormat="1" applyFont="1" applyFill="1" applyBorder="1"/>
    <xf numFmtId="3" fontId="4" fillId="2" borderId="1" xfId="1" applyNumberFormat="1" applyFont="1" applyFill="1" applyBorder="1"/>
    <xf numFmtId="0" fontId="5" fillId="0" borderId="8" xfId="0" applyFont="1" applyBorder="1"/>
    <xf numFmtId="0" fontId="4" fillId="0" borderId="8" xfId="0" applyFont="1" applyBorder="1"/>
    <xf numFmtId="0" fontId="5" fillId="0" borderId="0" xfId="0" applyNumberFormat="1" applyFont="1" applyBorder="1" applyAlignment="1">
      <alignment horizontal="center" vertical="top" wrapText="1"/>
    </xf>
    <xf numFmtId="0" fontId="4" fillId="7" borderId="8" xfId="2" applyNumberFormat="1" applyFont="1" applyFill="1" applyBorder="1" applyAlignment="1">
      <alignment horizontal="center"/>
    </xf>
    <xf numFmtId="0" fontId="4" fillId="3" borderId="11" xfId="0" applyFont="1" applyFill="1" applyBorder="1"/>
    <xf numFmtId="0" fontId="4" fillId="0" borderId="10" xfId="0" applyFont="1" applyBorder="1"/>
    <xf numFmtId="0" fontId="4" fillId="3" borderId="8" xfId="2" applyNumberFormat="1" applyFont="1" applyFill="1" applyBorder="1" applyAlignment="1">
      <alignment horizontal="center"/>
    </xf>
    <xf numFmtId="0" fontId="5" fillId="0" borderId="6" xfId="0" applyFont="1" applyFill="1" applyBorder="1"/>
    <xf numFmtId="0" fontId="5" fillId="0" borderId="5" xfId="0" applyFont="1" applyFill="1" applyBorder="1"/>
    <xf numFmtId="0" fontId="5" fillId="0" borderId="9" xfId="0" applyFont="1" applyFill="1" applyBorder="1" applyAlignment="1">
      <alignment horizontal="right"/>
    </xf>
    <xf numFmtId="3" fontId="4" fillId="9" borderId="12" xfId="0" applyNumberFormat="1" applyFont="1" applyFill="1" applyBorder="1"/>
    <xf numFmtId="0" fontId="5" fillId="0" borderId="6" xfId="0" applyFont="1" applyFill="1" applyBorder="1" applyAlignment="1">
      <alignment wrapText="1"/>
    </xf>
    <xf numFmtId="0" fontId="5" fillId="0" borderId="11" xfId="0" applyFont="1" applyBorder="1" applyAlignment="1"/>
    <xf numFmtId="0" fontId="4" fillId="14" borderId="0" xfId="0" applyNumberFormat="1" applyFont="1" applyFill="1"/>
    <xf numFmtId="0" fontId="4" fillId="14" borderId="0" xfId="0" applyFont="1" applyFill="1"/>
    <xf numFmtId="0" fontId="14" fillId="14" borderId="0" xfId="0" applyFont="1" applyFill="1" applyAlignment="1">
      <alignment horizontal="right"/>
    </xf>
    <xf numFmtId="165" fontId="14" fillId="13" borderId="0" xfId="0" applyNumberFormat="1" applyFont="1" applyFill="1" applyAlignment="1">
      <alignment horizontal="right"/>
    </xf>
    <xf numFmtId="44" fontId="4" fillId="12" borderId="0" xfId="2" applyFont="1" applyFill="1"/>
    <xf numFmtId="0" fontId="4" fillId="0" borderId="0" xfId="0" applyFont="1" applyFill="1" applyBorder="1" applyAlignment="1">
      <alignment horizontal="right"/>
    </xf>
    <xf numFmtId="0" fontId="15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00FF00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106"/>
  <sheetViews>
    <sheetView tabSelected="1" zoomScaleNormal="100" workbookViewId="0"/>
  </sheetViews>
  <sheetFormatPr defaultRowHeight="15" x14ac:dyDescent="0.25"/>
  <cols>
    <col min="1" max="1" width="20.85546875" style="1" customWidth="1"/>
    <col min="2" max="11" width="13.28515625" style="1" customWidth="1"/>
    <col min="12" max="12" width="11.42578125" style="1" customWidth="1"/>
    <col min="13" max="13" width="12.85546875" style="1" customWidth="1"/>
    <col min="14" max="14" width="10.5703125" style="1" customWidth="1"/>
    <col min="15" max="18" width="10.85546875" style="1" customWidth="1"/>
    <col min="19" max="22" width="11.140625" style="1" customWidth="1"/>
    <col min="23" max="16384" width="9.140625" style="1"/>
  </cols>
  <sheetData>
    <row r="1" spans="1:15" ht="15.75" x14ac:dyDescent="0.25">
      <c r="A1" s="126" t="s">
        <v>109</v>
      </c>
      <c r="B1" s="3"/>
      <c r="C1" s="2"/>
      <c r="D1" s="2"/>
      <c r="M1" s="125" t="s">
        <v>81</v>
      </c>
      <c r="N1" s="45" t="s">
        <v>66</v>
      </c>
    </row>
    <row r="2" spans="1:15" x14ac:dyDescent="0.25">
      <c r="B2" s="3"/>
      <c r="C2" s="2"/>
      <c r="D2" s="2"/>
      <c r="K2" s="2"/>
      <c r="M2" s="10" t="s">
        <v>108</v>
      </c>
      <c r="N2" s="45" t="s">
        <v>67</v>
      </c>
    </row>
    <row r="3" spans="1:15" x14ac:dyDescent="0.25">
      <c r="A3" s="2"/>
      <c r="B3" s="3"/>
      <c r="C3" s="2"/>
      <c r="D3" s="2"/>
      <c r="K3" s="2"/>
      <c r="L3" s="2"/>
      <c r="N3" s="45" t="s">
        <v>68</v>
      </c>
    </row>
    <row r="4" spans="1:15" ht="15.75" x14ac:dyDescent="0.25">
      <c r="A4" s="77" t="s">
        <v>57</v>
      </c>
      <c r="B4" s="80"/>
      <c r="C4" s="81"/>
      <c r="D4" s="81"/>
      <c r="E4" s="43"/>
      <c r="F4" s="43"/>
      <c r="H4" s="87" t="s">
        <v>58</v>
      </c>
      <c r="I4" s="43"/>
      <c r="J4" s="43"/>
      <c r="K4" s="43"/>
      <c r="L4" s="81"/>
      <c r="N4" s="45" t="s">
        <v>74</v>
      </c>
    </row>
    <row r="5" spans="1:15" x14ac:dyDescent="0.25">
      <c r="A5" s="78" t="s">
        <v>97</v>
      </c>
      <c r="B5" s="82">
        <v>2000000</v>
      </c>
      <c r="C5" s="83"/>
      <c r="D5" s="82">
        <v>4000000</v>
      </c>
      <c r="E5" s="79"/>
      <c r="F5" s="79"/>
      <c r="H5" s="88" t="s">
        <v>59</v>
      </c>
      <c r="I5" s="79"/>
      <c r="J5" s="79"/>
      <c r="K5" s="43"/>
      <c r="L5" s="81"/>
      <c r="N5" s="45" t="s">
        <v>75</v>
      </c>
    </row>
    <row r="6" spans="1:15" x14ac:dyDescent="0.25">
      <c r="A6" s="79"/>
      <c r="B6" s="84" t="s">
        <v>15</v>
      </c>
      <c r="C6" s="85"/>
      <c r="D6" s="85" t="s">
        <v>16</v>
      </c>
      <c r="E6" s="86"/>
      <c r="F6" s="86"/>
      <c r="H6" s="79"/>
      <c r="I6" s="89"/>
      <c r="J6" s="79"/>
      <c r="K6" s="43"/>
      <c r="L6" s="81"/>
      <c r="N6" s="45" t="s">
        <v>76</v>
      </c>
    </row>
    <row r="7" spans="1:15" x14ac:dyDescent="0.25">
      <c r="A7" s="83" t="s">
        <v>12</v>
      </c>
      <c r="B7" s="71" t="s">
        <v>17</v>
      </c>
      <c r="C7" s="49" t="s">
        <v>18</v>
      </c>
      <c r="D7" s="49" t="s">
        <v>17</v>
      </c>
      <c r="E7" s="48" t="s">
        <v>18</v>
      </c>
      <c r="F7" s="71" t="s">
        <v>106</v>
      </c>
      <c r="H7" s="85" t="s">
        <v>19</v>
      </c>
      <c r="I7" s="86" t="s">
        <v>20</v>
      </c>
      <c r="J7" s="79"/>
      <c r="K7" s="43"/>
      <c r="L7" s="81"/>
      <c r="N7" s="45" t="s">
        <v>77</v>
      </c>
    </row>
    <row r="8" spans="1:15" x14ac:dyDescent="0.25">
      <c r="A8" s="83" t="s">
        <v>11</v>
      </c>
      <c r="B8" s="72">
        <v>300000</v>
      </c>
      <c r="C8" s="100">
        <v>0.2</v>
      </c>
      <c r="D8" s="73">
        <v>500000</v>
      </c>
      <c r="E8" s="100">
        <v>0.2</v>
      </c>
      <c r="F8" s="105">
        <f>AVERAGE(B8,D8)</f>
        <v>400000</v>
      </c>
      <c r="H8" s="83" t="s">
        <v>21</v>
      </c>
      <c r="I8" s="76">
        <v>250000</v>
      </c>
      <c r="J8" s="102">
        <v>0.31</v>
      </c>
      <c r="K8" s="82">
        <v>0</v>
      </c>
      <c r="L8" s="82">
        <v>2000000</v>
      </c>
      <c r="N8" s="45" t="s">
        <v>72</v>
      </c>
    </row>
    <row r="9" spans="1:15" x14ac:dyDescent="0.25">
      <c r="A9" s="83" t="s">
        <v>13</v>
      </c>
      <c r="B9" s="72">
        <v>250000</v>
      </c>
      <c r="C9" s="100">
        <v>0.2</v>
      </c>
      <c r="D9" s="73">
        <v>420000</v>
      </c>
      <c r="E9" s="100">
        <v>0.2</v>
      </c>
      <c r="F9" s="105">
        <f t="shared" ref="F9:F12" si="0">AVERAGE(B9,D9)</f>
        <v>335000</v>
      </c>
      <c r="H9" s="83" t="s">
        <v>22</v>
      </c>
      <c r="I9" s="76">
        <v>530000</v>
      </c>
      <c r="J9" s="102">
        <v>0.17</v>
      </c>
      <c r="K9" s="82">
        <f>L8+1</f>
        <v>2000001</v>
      </c>
      <c r="L9" s="82">
        <v>4000000</v>
      </c>
      <c r="N9" s="45" t="s">
        <v>73</v>
      </c>
    </row>
    <row r="10" spans="1:15" x14ac:dyDescent="0.25">
      <c r="A10" s="83" t="s">
        <v>1</v>
      </c>
      <c r="B10" s="74">
        <v>220000</v>
      </c>
      <c r="C10" s="101">
        <v>0.2</v>
      </c>
      <c r="D10" s="75">
        <v>375000</v>
      </c>
      <c r="E10" s="101">
        <v>0.2</v>
      </c>
      <c r="F10" s="106">
        <f t="shared" si="0"/>
        <v>297500</v>
      </c>
      <c r="H10" s="83" t="s">
        <v>23</v>
      </c>
      <c r="I10" s="76">
        <v>678000</v>
      </c>
      <c r="J10" s="102">
        <v>0.13300000000000001</v>
      </c>
      <c r="K10" s="82">
        <f>L9+1</f>
        <v>4000001</v>
      </c>
      <c r="L10" s="82">
        <v>6000000</v>
      </c>
      <c r="N10" s="45" t="s">
        <v>69</v>
      </c>
    </row>
    <row r="11" spans="1:15" x14ac:dyDescent="0.25">
      <c r="A11" s="83" t="s">
        <v>0</v>
      </c>
      <c r="B11" s="72">
        <v>220000</v>
      </c>
      <c r="C11" s="100">
        <v>0.2</v>
      </c>
      <c r="D11" s="73">
        <v>375000</v>
      </c>
      <c r="E11" s="100">
        <v>0.2</v>
      </c>
      <c r="F11" s="105">
        <f t="shared" si="0"/>
        <v>297500</v>
      </c>
      <c r="H11" s="83" t="s">
        <v>24</v>
      </c>
      <c r="I11" s="76">
        <v>798000</v>
      </c>
      <c r="J11" s="102">
        <v>0.113</v>
      </c>
      <c r="K11" s="82">
        <f>L10+1</f>
        <v>6000001</v>
      </c>
      <c r="L11" s="82"/>
      <c r="N11" s="45" t="s">
        <v>70</v>
      </c>
    </row>
    <row r="12" spans="1:15" x14ac:dyDescent="0.25">
      <c r="A12" s="83" t="s">
        <v>14</v>
      </c>
      <c r="B12" s="72">
        <v>240000</v>
      </c>
      <c r="C12" s="100">
        <v>0.2</v>
      </c>
      <c r="D12" s="73">
        <v>400000</v>
      </c>
      <c r="E12" s="100">
        <v>0.2</v>
      </c>
      <c r="F12" s="105">
        <f t="shared" si="0"/>
        <v>320000</v>
      </c>
      <c r="H12" s="83" t="s">
        <v>25</v>
      </c>
      <c r="I12" s="75">
        <v>475000</v>
      </c>
      <c r="J12" s="103">
        <v>0.16500000000000001</v>
      </c>
      <c r="K12" s="82"/>
      <c r="L12" s="82"/>
      <c r="N12" s="45" t="s">
        <v>71</v>
      </c>
    </row>
    <row r="13" spans="1:15" x14ac:dyDescent="0.25">
      <c r="A13" s="2"/>
      <c r="B13" s="3"/>
      <c r="C13" s="2"/>
      <c r="D13" s="2"/>
      <c r="K13" s="2"/>
      <c r="L13" s="2"/>
      <c r="O13" s="45"/>
    </row>
    <row r="14" spans="1:15" s="70" customFormat="1" ht="4.5" customHeight="1" x14ac:dyDescent="0.25"/>
    <row r="15" spans="1:15" ht="6.75" customHeight="1" x14ac:dyDescent="0.25">
      <c r="A15" s="2"/>
      <c r="B15" s="3"/>
      <c r="C15" s="2"/>
      <c r="D15" s="2"/>
      <c r="K15" s="2"/>
      <c r="L15" s="2"/>
    </row>
    <row r="16" spans="1:15" ht="15.75" x14ac:dyDescent="0.25">
      <c r="A16" s="36">
        <v>2007</v>
      </c>
      <c r="B16" s="19"/>
      <c r="C16" s="4"/>
      <c r="D16" s="4"/>
      <c r="E16" s="29"/>
      <c r="F16" s="29"/>
      <c r="G16" s="29"/>
      <c r="H16" s="37"/>
      <c r="I16" s="4"/>
      <c r="J16" s="29"/>
      <c r="K16" s="4"/>
      <c r="L16" s="4"/>
      <c r="M16" s="21"/>
      <c r="N16" s="5"/>
    </row>
    <row r="17" spans="1:14" x14ac:dyDescent="0.25">
      <c r="A17" s="22" t="s">
        <v>2</v>
      </c>
      <c r="B17" s="23" t="str">
        <f>"Demand in "&amp;A16</f>
        <v>Demand in 2007</v>
      </c>
      <c r="C17" s="20" t="s">
        <v>10</v>
      </c>
      <c r="D17" s="20" t="s">
        <v>60</v>
      </c>
      <c r="E17" s="20" t="s">
        <v>83</v>
      </c>
      <c r="F17" s="20" t="s">
        <v>29</v>
      </c>
      <c r="G17" s="20" t="s">
        <v>61</v>
      </c>
      <c r="H17" s="20" t="s">
        <v>55</v>
      </c>
      <c r="I17" s="29"/>
      <c r="J17" s="4"/>
      <c r="K17" s="4"/>
      <c r="L17" s="24"/>
      <c r="N17" s="5"/>
    </row>
    <row r="18" spans="1:14" x14ac:dyDescent="0.25">
      <c r="A18" s="25" t="s">
        <v>3</v>
      </c>
      <c r="B18" s="40">
        <v>320000</v>
      </c>
      <c r="C18" s="20">
        <f>B18/4*3</f>
        <v>240000</v>
      </c>
      <c r="D18" s="41">
        <v>3.5</v>
      </c>
      <c r="E18" s="20">
        <f>B18*D18/4</f>
        <v>280000</v>
      </c>
      <c r="F18" s="20">
        <f>$B$10+($C$10*$B$24)</f>
        <v>505000</v>
      </c>
      <c r="G18" s="20">
        <f>IF(B24&lt;=$L$8,$I$8+$J$8*B24,IF(B24&lt;=$L$9,$I$9+$J$9*B24,IF(B24&lt;=$L$10,$I$10+$J$10*B24,$I$11+$J$11*B24)))</f>
        <v>691750</v>
      </c>
      <c r="H18" s="20">
        <f>F18+G18+$E$24-$C$24</f>
        <v>1236125</v>
      </c>
      <c r="I18" s="30"/>
      <c r="J18" s="31" t="s">
        <v>29</v>
      </c>
      <c r="K18" s="29">
        <f>F18</f>
        <v>505000</v>
      </c>
      <c r="L18" s="21" t="s">
        <v>31</v>
      </c>
      <c r="N18" s="5"/>
    </row>
    <row r="19" spans="1:14" x14ac:dyDescent="0.25">
      <c r="A19" s="25" t="s">
        <v>4</v>
      </c>
      <c r="B19" s="40">
        <v>200000</v>
      </c>
      <c r="C19" s="20">
        <f t="shared" ref="C19:C23" si="1">B19/4*3</f>
        <v>150000</v>
      </c>
      <c r="D19" s="41">
        <v>3.5</v>
      </c>
      <c r="E19" s="20">
        <f t="shared" ref="E19:E23" si="2">B19*D19/4</f>
        <v>175000</v>
      </c>
      <c r="F19" s="20">
        <f t="shared" ref="F19:F23" si="3">$B$10+($C$10*$B$24)</f>
        <v>505000</v>
      </c>
      <c r="G19" s="20">
        <f>G18</f>
        <v>691750</v>
      </c>
      <c r="H19" s="20">
        <f t="shared" ref="H19:H23" si="4">F19+G19+$E$24-$C$24</f>
        <v>1236125</v>
      </c>
      <c r="I19" s="29"/>
      <c r="J19" s="31" t="s">
        <v>61</v>
      </c>
      <c r="K19" s="29">
        <f>G18</f>
        <v>691750</v>
      </c>
      <c r="L19" s="21" t="s">
        <v>32</v>
      </c>
      <c r="N19" s="5"/>
    </row>
    <row r="20" spans="1:14" x14ac:dyDescent="0.25">
      <c r="A20" s="25" t="s">
        <v>5</v>
      </c>
      <c r="B20" s="40">
        <v>160000</v>
      </c>
      <c r="C20" s="20">
        <f t="shared" si="1"/>
        <v>120000</v>
      </c>
      <c r="D20" s="41">
        <v>2.5</v>
      </c>
      <c r="E20" s="20">
        <f t="shared" si="2"/>
        <v>100000</v>
      </c>
      <c r="F20" s="20">
        <f t="shared" si="3"/>
        <v>505000</v>
      </c>
      <c r="G20" s="20">
        <f t="shared" ref="G20:G23" si="5">G19</f>
        <v>691750</v>
      </c>
      <c r="H20" s="20">
        <f t="shared" si="4"/>
        <v>1236125</v>
      </c>
      <c r="I20" s="29"/>
      <c r="J20" s="31" t="s">
        <v>10</v>
      </c>
      <c r="K20" s="29">
        <f>E24</f>
        <v>1108125</v>
      </c>
      <c r="L20" s="21" t="s">
        <v>33</v>
      </c>
      <c r="N20" s="5"/>
    </row>
    <row r="21" spans="1:14" x14ac:dyDescent="0.25">
      <c r="A21" s="25" t="s">
        <v>6</v>
      </c>
      <c r="B21" s="40">
        <v>220000</v>
      </c>
      <c r="C21" s="20">
        <f t="shared" si="1"/>
        <v>165000</v>
      </c>
      <c r="D21" s="41">
        <v>2.5</v>
      </c>
      <c r="E21" s="20">
        <f t="shared" si="2"/>
        <v>137500</v>
      </c>
      <c r="F21" s="20">
        <f t="shared" si="3"/>
        <v>505000</v>
      </c>
      <c r="G21" s="20">
        <f t="shared" si="5"/>
        <v>691750</v>
      </c>
      <c r="H21" s="20">
        <f t="shared" si="4"/>
        <v>1236125</v>
      </c>
      <c r="I21" s="29"/>
      <c r="J21" s="31" t="s">
        <v>62</v>
      </c>
      <c r="K21" s="29">
        <f>C24</f>
        <v>1068750</v>
      </c>
      <c r="L21" s="21" t="s">
        <v>34</v>
      </c>
      <c r="N21" s="5"/>
    </row>
    <row r="22" spans="1:14" x14ac:dyDescent="0.25">
      <c r="A22" s="25" t="s">
        <v>7</v>
      </c>
      <c r="B22" s="40">
        <v>350000</v>
      </c>
      <c r="C22" s="20">
        <f t="shared" si="1"/>
        <v>262500</v>
      </c>
      <c r="D22" s="41">
        <v>3</v>
      </c>
      <c r="E22" s="20">
        <f t="shared" si="2"/>
        <v>262500</v>
      </c>
      <c r="F22" s="20">
        <f t="shared" si="3"/>
        <v>505000</v>
      </c>
      <c r="G22" s="20">
        <f t="shared" si="5"/>
        <v>691750</v>
      </c>
      <c r="H22" s="20">
        <f t="shared" si="4"/>
        <v>1236125</v>
      </c>
      <c r="I22" s="29"/>
      <c r="J22" s="31" t="s">
        <v>63</v>
      </c>
      <c r="K22" s="29">
        <f>K18+K19+K20-K21</f>
        <v>1236125</v>
      </c>
      <c r="L22" s="21" t="s">
        <v>35</v>
      </c>
      <c r="N22" s="5"/>
    </row>
    <row r="23" spans="1:14" x14ac:dyDescent="0.25">
      <c r="A23" s="25" t="s">
        <v>8</v>
      </c>
      <c r="B23" s="40">
        <v>175000</v>
      </c>
      <c r="C23" s="20">
        <f t="shared" si="1"/>
        <v>131250</v>
      </c>
      <c r="D23" s="41">
        <v>3.5</v>
      </c>
      <c r="E23" s="20">
        <f t="shared" si="2"/>
        <v>153125</v>
      </c>
      <c r="F23" s="20">
        <f t="shared" si="3"/>
        <v>505000</v>
      </c>
      <c r="G23" s="20">
        <f t="shared" si="5"/>
        <v>691750</v>
      </c>
      <c r="H23" s="20">
        <f t="shared" si="4"/>
        <v>1236125</v>
      </c>
      <c r="I23" s="29"/>
      <c r="J23" s="4"/>
      <c r="K23" s="4"/>
      <c r="L23" s="21" t="s">
        <v>36</v>
      </c>
      <c r="N23" s="5"/>
    </row>
    <row r="24" spans="1:14" x14ac:dyDescent="0.25">
      <c r="A24" s="26" t="s">
        <v>9</v>
      </c>
      <c r="B24" s="27">
        <f>SUM(B18:B23)</f>
        <v>1425000</v>
      </c>
      <c r="C24" s="14">
        <f>SUM(C18:C23)</f>
        <v>1068750</v>
      </c>
      <c r="D24" s="14"/>
      <c r="E24" s="14">
        <f>SUM(E18:E23)</f>
        <v>1108125</v>
      </c>
      <c r="F24" s="14"/>
      <c r="G24" s="14">
        <f t="shared" ref="G24" si="6">SUM(G18:G23)</f>
        <v>4150500</v>
      </c>
      <c r="H24" s="14"/>
      <c r="I24" s="29"/>
      <c r="J24" s="29"/>
      <c r="K24" s="29"/>
      <c r="L24" s="21"/>
      <c r="N24" s="5"/>
    </row>
    <row r="25" spans="1:14" ht="6.75" customHeight="1" x14ac:dyDescent="0.25">
      <c r="A25" s="5"/>
      <c r="B25" s="5"/>
      <c r="C25" s="5"/>
      <c r="D25" s="5"/>
      <c r="E25" s="5"/>
      <c r="F25" s="5"/>
      <c r="G25" s="5"/>
      <c r="H25" s="5"/>
      <c r="I25" s="29"/>
      <c r="J25" s="29"/>
      <c r="K25" s="29"/>
      <c r="L25" s="21"/>
      <c r="N25" s="5"/>
    </row>
    <row r="26" spans="1:14" ht="15.75" x14ac:dyDescent="0.25">
      <c r="A26" s="36">
        <v>2008</v>
      </c>
      <c r="B26" s="19"/>
      <c r="C26" s="4"/>
      <c r="D26" s="4"/>
      <c r="E26" s="29"/>
      <c r="F26" s="29"/>
      <c r="G26" s="37"/>
      <c r="H26" s="4"/>
      <c r="I26" s="29"/>
      <c r="J26" s="4"/>
      <c r="K26" s="4"/>
      <c r="L26" s="21"/>
      <c r="N26" s="5"/>
    </row>
    <row r="27" spans="1:14" x14ac:dyDescent="0.25">
      <c r="A27" s="22" t="str">
        <f>A17</f>
        <v>Zone</v>
      </c>
      <c r="B27" s="23" t="str">
        <f>"Demand in "&amp;A26</f>
        <v>Demand in 2008</v>
      </c>
      <c r="C27" s="20" t="str">
        <f>C17</f>
        <v>Shipping Cost</v>
      </c>
      <c r="D27" s="20" t="str">
        <f t="shared" ref="D27:E27" si="7">D17</f>
        <v>Shipping Cost from Warehouse</v>
      </c>
      <c r="E27" s="20" t="str">
        <f t="shared" si="7"/>
        <v>Shipment Charges</v>
      </c>
      <c r="F27" s="20" t="str">
        <f>F17</f>
        <v>Warehouse Cost</v>
      </c>
      <c r="G27" s="20" t="str">
        <f>G17</f>
        <v>Holding Cost</v>
      </c>
      <c r="H27" s="20" t="str">
        <f>H17</f>
        <v>Total Cost</v>
      </c>
      <c r="I27" s="29"/>
      <c r="J27" s="4"/>
      <c r="K27" s="4"/>
      <c r="L27" s="24"/>
      <c r="N27" s="5"/>
    </row>
    <row r="28" spans="1:14" x14ac:dyDescent="0.25">
      <c r="A28" s="25" t="s">
        <v>3</v>
      </c>
      <c r="B28" s="40">
        <f t="shared" ref="B28:B33" si="8">B18*1.8</f>
        <v>576000</v>
      </c>
      <c r="C28" s="20">
        <f>B28/4*3</f>
        <v>432000</v>
      </c>
      <c r="D28" s="41">
        <v>3.5</v>
      </c>
      <c r="E28" s="20">
        <f>B28*D28/4</f>
        <v>504000</v>
      </c>
      <c r="F28" s="20">
        <f t="shared" ref="F28:F33" si="9">$D$10+($E$10*$B$34)</f>
        <v>888000</v>
      </c>
      <c r="G28" s="20">
        <f>IF(B34&lt;=$L$8,$I$8+$J$8*B34,IF(B34&lt;=$L$9,$I$9+$J$9*B34,IF(B34&lt;=$L$10,$I$10+$J$10*B34,$I$11+$J$11*B34)))</f>
        <v>966050</v>
      </c>
      <c r="H28" s="20">
        <f>F28+G28+$E$34-$C$34</f>
        <v>1924925</v>
      </c>
      <c r="I28" s="30"/>
      <c r="J28" s="31" t="str">
        <f>J18</f>
        <v>Warehouse Cost</v>
      </c>
      <c r="K28" s="29">
        <f>F28</f>
        <v>888000</v>
      </c>
      <c r="L28" s="21" t="s">
        <v>37</v>
      </c>
      <c r="N28" s="5"/>
    </row>
    <row r="29" spans="1:14" x14ac:dyDescent="0.25">
      <c r="A29" s="25" t="s">
        <v>4</v>
      </c>
      <c r="B29" s="40">
        <f t="shared" si="8"/>
        <v>360000</v>
      </c>
      <c r="C29" s="20">
        <f t="shared" ref="C29:C33" si="10">B29/4*3</f>
        <v>270000</v>
      </c>
      <c r="D29" s="41">
        <v>3.5</v>
      </c>
      <c r="E29" s="20">
        <f t="shared" ref="E29:E33" si="11">B29*D29/4</f>
        <v>315000</v>
      </c>
      <c r="F29" s="20">
        <f t="shared" si="9"/>
        <v>888000</v>
      </c>
      <c r="G29" s="20">
        <f>G28</f>
        <v>966050</v>
      </c>
      <c r="H29" s="20">
        <f t="shared" ref="H29:H33" si="12">F29+G29+$E$34-$C$34</f>
        <v>1924925</v>
      </c>
      <c r="I29" s="29"/>
      <c r="J29" s="31" t="str">
        <f t="shared" ref="J29:J32" si="13">J19</f>
        <v>Holding Cost</v>
      </c>
      <c r="K29" s="29">
        <f>G28</f>
        <v>966050</v>
      </c>
      <c r="L29" s="21" t="s">
        <v>38</v>
      </c>
      <c r="N29" s="5"/>
    </row>
    <row r="30" spans="1:14" x14ac:dyDescent="0.25">
      <c r="A30" s="25" t="s">
        <v>5</v>
      </c>
      <c r="B30" s="40">
        <f t="shared" si="8"/>
        <v>288000</v>
      </c>
      <c r="C30" s="20">
        <f t="shared" si="10"/>
        <v>216000</v>
      </c>
      <c r="D30" s="41">
        <v>2.5</v>
      </c>
      <c r="E30" s="20">
        <f t="shared" si="11"/>
        <v>180000</v>
      </c>
      <c r="F30" s="20">
        <f t="shared" si="9"/>
        <v>888000</v>
      </c>
      <c r="G30" s="20">
        <f t="shared" ref="G30:G33" si="14">G29</f>
        <v>966050</v>
      </c>
      <c r="H30" s="20">
        <f t="shared" si="12"/>
        <v>1924925</v>
      </c>
      <c r="I30" s="29"/>
      <c r="J30" s="31" t="str">
        <f t="shared" si="13"/>
        <v>Shipping Cost</v>
      </c>
      <c r="K30" s="29">
        <f>E34</f>
        <v>1994625</v>
      </c>
      <c r="L30" s="21" t="s">
        <v>39</v>
      </c>
      <c r="N30" s="5"/>
    </row>
    <row r="31" spans="1:14" x14ac:dyDescent="0.25">
      <c r="A31" s="25" t="s">
        <v>6</v>
      </c>
      <c r="B31" s="40">
        <f t="shared" si="8"/>
        <v>396000</v>
      </c>
      <c r="C31" s="20">
        <f t="shared" si="10"/>
        <v>297000</v>
      </c>
      <c r="D31" s="41">
        <v>2.5</v>
      </c>
      <c r="E31" s="20">
        <f t="shared" si="11"/>
        <v>247500</v>
      </c>
      <c r="F31" s="20">
        <f t="shared" si="9"/>
        <v>888000</v>
      </c>
      <c r="G31" s="20">
        <f t="shared" si="14"/>
        <v>966050</v>
      </c>
      <c r="H31" s="20">
        <f t="shared" si="12"/>
        <v>1924925</v>
      </c>
      <c r="I31" s="29"/>
      <c r="J31" s="31" t="str">
        <f t="shared" si="13"/>
        <v>Less Shipping Charges</v>
      </c>
      <c r="K31" s="29">
        <f>C34</f>
        <v>1923750</v>
      </c>
      <c r="L31" s="21" t="s">
        <v>40</v>
      </c>
      <c r="N31" s="5"/>
    </row>
    <row r="32" spans="1:14" x14ac:dyDescent="0.25">
      <c r="A32" s="25" t="s">
        <v>7</v>
      </c>
      <c r="B32" s="40">
        <f t="shared" si="8"/>
        <v>630000</v>
      </c>
      <c r="C32" s="20">
        <f t="shared" si="10"/>
        <v>472500</v>
      </c>
      <c r="D32" s="41">
        <v>3</v>
      </c>
      <c r="E32" s="20">
        <f t="shared" si="11"/>
        <v>472500</v>
      </c>
      <c r="F32" s="20">
        <f t="shared" si="9"/>
        <v>888000</v>
      </c>
      <c r="G32" s="20">
        <f t="shared" si="14"/>
        <v>966050</v>
      </c>
      <c r="H32" s="20">
        <f t="shared" si="12"/>
        <v>1924925</v>
      </c>
      <c r="I32" s="29"/>
      <c r="J32" s="31" t="str">
        <f t="shared" si="13"/>
        <v>TOTAL COST</v>
      </c>
      <c r="K32" s="29">
        <f>K28+K29+K30-K31</f>
        <v>1924925</v>
      </c>
      <c r="L32" s="21" t="s">
        <v>41</v>
      </c>
      <c r="N32" s="5"/>
    </row>
    <row r="33" spans="1:14" x14ac:dyDescent="0.25">
      <c r="A33" s="25" t="s">
        <v>8</v>
      </c>
      <c r="B33" s="40">
        <f t="shared" si="8"/>
        <v>315000</v>
      </c>
      <c r="C33" s="20">
        <f t="shared" si="10"/>
        <v>236250</v>
      </c>
      <c r="D33" s="41">
        <v>3.5</v>
      </c>
      <c r="E33" s="20">
        <f t="shared" si="11"/>
        <v>275625</v>
      </c>
      <c r="F33" s="20">
        <f t="shared" si="9"/>
        <v>888000</v>
      </c>
      <c r="G33" s="20">
        <f t="shared" si="14"/>
        <v>966050</v>
      </c>
      <c r="H33" s="20">
        <f t="shared" si="12"/>
        <v>1924925</v>
      </c>
      <c r="I33" s="29"/>
      <c r="J33" s="4"/>
      <c r="K33" s="4"/>
      <c r="L33" s="21" t="s">
        <v>42</v>
      </c>
      <c r="N33" s="5"/>
    </row>
    <row r="34" spans="1:14" x14ac:dyDescent="0.25">
      <c r="A34" s="26" t="s">
        <v>9</v>
      </c>
      <c r="B34" s="27">
        <f>SUM(B28:B33)</f>
        <v>2565000</v>
      </c>
      <c r="C34" s="14">
        <f>SUM(C28:C33)</f>
        <v>1923750</v>
      </c>
      <c r="D34" s="14"/>
      <c r="E34" s="14">
        <f>SUM(E28:E33)</f>
        <v>1994625</v>
      </c>
      <c r="F34" s="14"/>
      <c r="G34" s="14">
        <f t="shared" ref="G34" si="15">SUM(G28:G33)</f>
        <v>5796300</v>
      </c>
      <c r="H34" s="14"/>
      <c r="I34" s="29"/>
      <c r="J34" s="29"/>
      <c r="K34" s="29"/>
      <c r="L34" s="21"/>
      <c r="N34" s="5"/>
    </row>
    <row r="35" spans="1:14" ht="6.75" customHeight="1" x14ac:dyDescent="0.25">
      <c r="A35" s="5"/>
      <c r="B35" s="5"/>
      <c r="C35" s="5"/>
      <c r="D35" s="5"/>
      <c r="E35" s="5"/>
      <c r="F35" s="5"/>
      <c r="G35" s="5"/>
      <c r="H35" s="5"/>
      <c r="I35" s="29"/>
      <c r="J35" s="29"/>
      <c r="K35" s="29"/>
      <c r="L35" s="21"/>
      <c r="N35" s="5"/>
    </row>
    <row r="36" spans="1:14" ht="15.75" x14ac:dyDescent="0.25">
      <c r="A36" s="36">
        <v>2009</v>
      </c>
      <c r="B36" s="19"/>
      <c r="C36" s="4"/>
      <c r="D36" s="4"/>
      <c r="E36" s="29"/>
      <c r="F36" s="29"/>
      <c r="G36" s="37"/>
      <c r="H36" s="4"/>
      <c r="I36" s="29"/>
      <c r="J36" s="4"/>
      <c r="K36" s="4"/>
      <c r="L36" s="21"/>
      <c r="N36" s="5"/>
    </row>
    <row r="37" spans="1:14" x14ac:dyDescent="0.25">
      <c r="A37" s="22" t="str">
        <f>A27</f>
        <v>Zone</v>
      </c>
      <c r="B37" s="23" t="str">
        <f>"Demand in "&amp;A36</f>
        <v>Demand in 2009</v>
      </c>
      <c r="C37" s="20" t="str">
        <f>C27</f>
        <v>Shipping Cost</v>
      </c>
      <c r="D37" s="20" t="str">
        <f t="shared" ref="D37:E37" si="16">D27</f>
        <v>Shipping Cost from Warehouse</v>
      </c>
      <c r="E37" s="20" t="str">
        <f t="shared" si="16"/>
        <v>Shipment Charges</v>
      </c>
      <c r="F37" s="20" t="str">
        <f>F27</f>
        <v>Warehouse Cost</v>
      </c>
      <c r="G37" s="20" t="str">
        <f>G27</f>
        <v>Holding Cost</v>
      </c>
      <c r="H37" s="20" t="str">
        <f>H27</f>
        <v>Total Cost</v>
      </c>
      <c r="I37" s="29"/>
      <c r="J37" s="4"/>
      <c r="K37" s="4"/>
      <c r="L37" s="24"/>
      <c r="N37" s="5"/>
    </row>
    <row r="38" spans="1:14" x14ac:dyDescent="0.25">
      <c r="A38" s="25" t="s">
        <v>3</v>
      </c>
      <c r="B38" s="40">
        <f t="shared" ref="B38:B43" si="17">B28*1.8</f>
        <v>1036800</v>
      </c>
      <c r="C38" s="20">
        <f>B38/4*3</f>
        <v>777600</v>
      </c>
      <c r="D38" s="41">
        <v>3.5</v>
      </c>
      <c r="E38" s="20">
        <f>B38*D38/4</f>
        <v>907200</v>
      </c>
      <c r="F38" s="20">
        <f t="shared" ref="F38:F43" si="18">$D$10+($D$5*$E$10)+$B$10+(($B$44-$D$5)*$C$10)</f>
        <v>1518400</v>
      </c>
      <c r="G38" s="20">
        <f>IF(B44&lt;=$L$8,$I$8+$J$8*B44,IF(B44&lt;=$L$9,$I$9+$J$9*B44,IF(B44&lt;=$L$10,$I$10+$J$10*B44,$I$11+$J$11*B44)))</f>
        <v>1292061</v>
      </c>
      <c r="H38" s="20">
        <f>F38+G38+$E$44-$C$44</f>
        <v>2938036</v>
      </c>
      <c r="I38" s="30"/>
      <c r="J38" s="31" t="str">
        <f>J28</f>
        <v>Warehouse Cost</v>
      </c>
      <c r="K38" s="29">
        <f>F38</f>
        <v>1518400</v>
      </c>
      <c r="L38" s="21" t="s">
        <v>43</v>
      </c>
      <c r="N38" s="5"/>
    </row>
    <row r="39" spans="1:14" x14ac:dyDescent="0.25">
      <c r="A39" s="25" t="s">
        <v>4</v>
      </c>
      <c r="B39" s="40">
        <f t="shared" si="17"/>
        <v>648000</v>
      </c>
      <c r="C39" s="20">
        <f t="shared" ref="C39:C43" si="19">B39/4*3</f>
        <v>486000</v>
      </c>
      <c r="D39" s="41">
        <v>3.5</v>
      </c>
      <c r="E39" s="20">
        <f t="shared" ref="E39:E43" si="20">B39*D39/4</f>
        <v>567000</v>
      </c>
      <c r="F39" s="20">
        <f t="shared" si="18"/>
        <v>1518400</v>
      </c>
      <c r="G39" s="20">
        <f>G38</f>
        <v>1292061</v>
      </c>
      <c r="H39" s="20">
        <f t="shared" ref="H39:H43" si="21">F39+G39+$E$44-$C$44</f>
        <v>2938036</v>
      </c>
      <c r="I39" s="29"/>
      <c r="J39" s="31" t="str">
        <f t="shared" ref="J39:J42" si="22">J29</f>
        <v>Holding Cost</v>
      </c>
      <c r="K39" s="29">
        <f>G38</f>
        <v>1292061</v>
      </c>
      <c r="L39" s="21" t="s">
        <v>44</v>
      </c>
      <c r="N39" s="5"/>
    </row>
    <row r="40" spans="1:14" x14ac:dyDescent="0.25">
      <c r="A40" s="25" t="s">
        <v>5</v>
      </c>
      <c r="B40" s="40">
        <f t="shared" si="17"/>
        <v>518400</v>
      </c>
      <c r="C40" s="20">
        <f t="shared" si="19"/>
        <v>388800</v>
      </c>
      <c r="D40" s="41">
        <v>2.5</v>
      </c>
      <c r="E40" s="20">
        <f t="shared" si="20"/>
        <v>324000</v>
      </c>
      <c r="F40" s="20">
        <f t="shared" si="18"/>
        <v>1518400</v>
      </c>
      <c r="G40" s="20">
        <f t="shared" ref="G40:G43" si="23">G39</f>
        <v>1292061</v>
      </c>
      <c r="H40" s="20">
        <f t="shared" si="21"/>
        <v>2938036</v>
      </c>
      <c r="I40" s="29"/>
      <c r="J40" s="31" t="str">
        <f t="shared" si="22"/>
        <v>Shipping Cost</v>
      </c>
      <c r="K40" s="29">
        <f>E44</f>
        <v>3590325</v>
      </c>
      <c r="L40" s="21" t="s">
        <v>45</v>
      </c>
      <c r="N40" s="5"/>
    </row>
    <row r="41" spans="1:14" x14ac:dyDescent="0.25">
      <c r="A41" s="25" t="s">
        <v>6</v>
      </c>
      <c r="B41" s="40">
        <f t="shared" si="17"/>
        <v>712800</v>
      </c>
      <c r="C41" s="20">
        <f t="shared" si="19"/>
        <v>534600</v>
      </c>
      <c r="D41" s="41">
        <v>2.5</v>
      </c>
      <c r="E41" s="20">
        <f t="shared" si="20"/>
        <v>445500</v>
      </c>
      <c r="F41" s="20">
        <f t="shared" si="18"/>
        <v>1518400</v>
      </c>
      <c r="G41" s="20">
        <f t="shared" si="23"/>
        <v>1292061</v>
      </c>
      <c r="H41" s="20">
        <f t="shared" si="21"/>
        <v>2938036</v>
      </c>
      <c r="I41" s="29"/>
      <c r="J41" s="31" t="str">
        <f t="shared" si="22"/>
        <v>Less Shipping Charges</v>
      </c>
      <c r="K41" s="29">
        <f>C44</f>
        <v>3462750</v>
      </c>
      <c r="L41" s="21" t="s">
        <v>46</v>
      </c>
      <c r="N41" s="5"/>
    </row>
    <row r="42" spans="1:14" x14ac:dyDescent="0.25">
      <c r="A42" s="25" t="s">
        <v>7</v>
      </c>
      <c r="B42" s="40">
        <f t="shared" si="17"/>
        <v>1134000</v>
      </c>
      <c r="C42" s="20">
        <f t="shared" si="19"/>
        <v>850500</v>
      </c>
      <c r="D42" s="41">
        <v>3</v>
      </c>
      <c r="E42" s="20">
        <f t="shared" si="20"/>
        <v>850500</v>
      </c>
      <c r="F42" s="20">
        <f t="shared" si="18"/>
        <v>1518400</v>
      </c>
      <c r="G42" s="20">
        <f t="shared" si="23"/>
        <v>1292061</v>
      </c>
      <c r="H42" s="20">
        <f t="shared" si="21"/>
        <v>2938036</v>
      </c>
      <c r="I42" s="29"/>
      <c r="J42" s="31" t="str">
        <f t="shared" si="22"/>
        <v>TOTAL COST</v>
      </c>
      <c r="K42" s="29">
        <f>K38+K39+K40-K41</f>
        <v>2938036</v>
      </c>
      <c r="L42" s="21" t="s">
        <v>47</v>
      </c>
      <c r="N42" s="5"/>
    </row>
    <row r="43" spans="1:14" x14ac:dyDescent="0.25">
      <c r="A43" s="25" t="s">
        <v>8</v>
      </c>
      <c r="B43" s="40">
        <f t="shared" si="17"/>
        <v>567000</v>
      </c>
      <c r="C43" s="20">
        <f t="shared" si="19"/>
        <v>425250</v>
      </c>
      <c r="D43" s="41">
        <v>3.5</v>
      </c>
      <c r="E43" s="20">
        <f t="shared" si="20"/>
        <v>496125</v>
      </c>
      <c r="F43" s="20">
        <f t="shared" si="18"/>
        <v>1518400</v>
      </c>
      <c r="G43" s="20">
        <f t="shared" si="23"/>
        <v>1292061</v>
      </c>
      <c r="H43" s="20">
        <f t="shared" si="21"/>
        <v>2938036</v>
      </c>
      <c r="I43" s="29"/>
      <c r="J43" s="4"/>
      <c r="K43" s="4"/>
      <c r="L43" s="21" t="s">
        <v>48</v>
      </c>
      <c r="N43" s="5"/>
    </row>
    <row r="44" spans="1:14" x14ac:dyDescent="0.25">
      <c r="A44" s="26" t="s">
        <v>9</v>
      </c>
      <c r="B44" s="27">
        <f>SUM(B38:B43)</f>
        <v>4617000</v>
      </c>
      <c r="C44" s="14">
        <f>SUM(C38:C43)</f>
        <v>3462750</v>
      </c>
      <c r="D44" s="14"/>
      <c r="E44" s="14">
        <f>SUM(E38:E43)</f>
        <v>3590325</v>
      </c>
      <c r="F44" s="14"/>
      <c r="G44" s="14">
        <f t="shared" ref="G44" si="24">SUM(G38:G43)</f>
        <v>7752366</v>
      </c>
      <c r="H44" s="14"/>
      <c r="I44" s="29"/>
      <c r="J44" s="29"/>
      <c r="K44" s="29"/>
      <c r="L44" s="21"/>
      <c r="N44" s="5"/>
    </row>
    <row r="45" spans="1:14" ht="6.75" customHeight="1" x14ac:dyDescent="0.25">
      <c r="A45" s="5"/>
      <c r="B45" s="5"/>
      <c r="C45" s="5"/>
      <c r="D45" s="5"/>
      <c r="E45" s="5"/>
      <c r="F45" s="5"/>
      <c r="G45" s="5"/>
      <c r="H45" s="5"/>
      <c r="I45" s="29"/>
      <c r="J45" s="29"/>
      <c r="K45" s="29"/>
      <c r="L45" s="21"/>
      <c r="N45" s="5"/>
    </row>
    <row r="46" spans="1:14" ht="15.75" x14ac:dyDescent="0.25">
      <c r="A46" s="36">
        <v>2010</v>
      </c>
      <c r="B46" s="19"/>
      <c r="C46" s="4"/>
      <c r="D46" s="4"/>
      <c r="E46" s="29"/>
      <c r="F46" s="29"/>
      <c r="G46" s="37"/>
      <c r="H46" s="4"/>
      <c r="I46" s="29"/>
      <c r="J46" s="4"/>
      <c r="K46" s="4"/>
      <c r="L46" s="21"/>
      <c r="N46" s="5"/>
    </row>
    <row r="47" spans="1:14" x14ac:dyDescent="0.25">
      <c r="A47" s="22" t="str">
        <f>A37</f>
        <v>Zone</v>
      </c>
      <c r="B47" s="23" t="str">
        <f>"Demand in "&amp;A46</f>
        <v>Demand in 2010</v>
      </c>
      <c r="C47" s="20" t="str">
        <f>C37</f>
        <v>Shipping Cost</v>
      </c>
      <c r="D47" s="20" t="str">
        <f t="shared" ref="D47:E47" si="25">D37</f>
        <v>Shipping Cost from Warehouse</v>
      </c>
      <c r="E47" s="20" t="str">
        <f t="shared" si="25"/>
        <v>Shipment Charges</v>
      </c>
      <c r="F47" s="20" t="str">
        <f>F37</f>
        <v>Warehouse Cost</v>
      </c>
      <c r="G47" s="20" t="str">
        <f>G37</f>
        <v>Holding Cost</v>
      </c>
      <c r="H47" s="20" t="str">
        <f>H37</f>
        <v>Total Cost</v>
      </c>
      <c r="I47" s="29"/>
      <c r="J47" s="4"/>
      <c r="K47" s="4"/>
      <c r="L47" s="24"/>
      <c r="N47" s="5"/>
    </row>
    <row r="48" spans="1:14" x14ac:dyDescent="0.25">
      <c r="A48" s="25" t="s">
        <v>3</v>
      </c>
      <c r="B48" s="40">
        <f t="shared" ref="B48:B53" si="26">B38*1.8</f>
        <v>1866240</v>
      </c>
      <c r="C48" s="20">
        <f>B48/4*3</f>
        <v>1399680</v>
      </c>
      <c r="D48" s="41">
        <v>3.5</v>
      </c>
      <c r="E48" s="20">
        <f>B48*D48/4</f>
        <v>1632960</v>
      </c>
      <c r="F48" s="20">
        <f t="shared" ref="F48:F53" si="27">$D$10*2+($D$5*2*$E$10)+$B$10+(($B$54-$D$5*2)*$C$10)</f>
        <v>2632120</v>
      </c>
      <c r="G48" s="46">
        <f>IF(B54&lt;=$L$8,$I$8+$J$8*B54,IF(B54&lt;=$L$9,$I$9+$J$9*B54,IF(B54&lt;=$L$10,$I$10+$J$10*B54,$I$11+$J$11*B54)))</f>
        <v>1737097.8</v>
      </c>
      <c r="H48" s="46">
        <f>F48+G48+$E$54-$C$54</f>
        <v>4598852.8000000007</v>
      </c>
      <c r="I48" s="30"/>
      <c r="J48" s="31" t="str">
        <f>J38</f>
        <v>Warehouse Cost</v>
      </c>
      <c r="K48" s="42">
        <f>F48</f>
        <v>2632120</v>
      </c>
      <c r="L48" s="21" t="s">
        <v>49</v>
      </c>
      <c r="N48" s="5"/>
    </row>
    <row r="49" spans="1:14" x14ac:dyDescent="0.25">
      <c r="A49" s="25" t="s">
        <v>4</v>
      </c>
      <c r="B49" s="40">
        <f t="shared" si="26"/>
        <v>1166400</v>
      </c>
      <c r="C49" s="20">
        <f t="shared" ref="C49:C53" si="28">B49/4*3</f>
        <v>874800</v>
      </c>
      <c r="D49" s="41">
        <v>3.5</v>
      </c>
      <c r="E49" s="20">
        <f t="shared" ref="E49:E53" si="29">B49*D49/4</f>
        <v>1020600</v>
      </c>
      <c r="F49" s="20">
        <f t="shared" si="27"/>
        <v>2632120</v>
      </c>
      <c r="G49" s="46">
        <f>G48</f>
        <v>1737097.8</v>
      </c>
      <c r="H49" s="46">
        <f t="shared" ref="H49:H53" si="30">F49+G49+$E$54-$C$54</f>
        <v>4598852.8000000007</v>
      </c>
      <c r="I49" s="29"/>
      <c r="J49" s="31" t="str">
        <f t="shared" ref="J49:J52" si="31">J39</f>
        <v>Holding Cost</v>
      </c>
      <c r="K49" s="42">
        <f>G48</f>
        <v>1737097.8</v>
      </c>
      <c r="L49" s="21" t="s">
        <v>50</v>
      </c>
      <c r="N49" s="5"/>
    </row>
    <row r="50" spans="1:14" x14ac:dyDescent="0.25">
      <c r="A50" s="25" t="s">
        <v>5</v>
      </c>
      <c r="B50" s="40">
        <f t="shared" si="26"/>
        <v>933120</v>
      </c>
      <c r="C50" s="20">
        <f t="shared" si="28"/>
        <v>699840</v>
      </c>
      <c r="D50" s="41">
        <v>2.5</v>
      </c>
      <c r="E50" s="20">
        <f t="shared" si="29"/>
        <v>583200</v>
      </c>
      <c r="F50" s="20">
        <f t="shared" si="27"/>
        <v>2632120</v>
      </c>
      <c r="G50" s="46">
        <f t="shared" ref="G50:G53" si="32">G49</f>
        <v>1737097.8</v>
      </c>
      <c r="H50" s="46">
        <f t="shared" si="30"/>
        <v>4598852.8000000007</v>
      </c>
      <c r="I50" s="29"/>
      <c r="J50" s="31" t="str">
        <f t="shared" si="31"/>
        <v>Shipping Cost</v>
      </c>
      <c r="K50" s="42">
        <f>E54</f>
        <v>6462585</v>
      </c>
      <c r="L50" s="21" t="s">
        <v>51</v>
      </c>
      <c r="N50" s="5"/>
    </row>
    <row r="51" spans="1:14" x14ac:dyDescent="0.25">
      <c r="A51" s="25" t="s">
        <v>6</v>
      </c>
      <c r="B51" s="40">
        <f t="shared" si="26"/>
        <v>1283040</v>
      </c>
      <c r="C51" s="20">
        <f t="shared" si="28"/>
        <v>962280</v>
      </c>
      <c r="D51" s="41">
        <v>2.5</v>
      </c>
      <c r="E51" s="20">
        <f t="shared" si="29"/>
        <v>801900</v>
      </c>
      <c r="F51" s="20">
        <f t="shared" si="27"/>
        <v>2632120</v>
      </c>
      <c r="G51" s="46">
        <f t="shared" si="32"/>
        <v>1737097.8</v>
      </c>
      <c r="H51" s="46">
        <f t="shared" si="30"/>
        <v>4598852.8000000007</v>
      </c>
      <c r="I51" s="29"/>
      <c r="J51" s="31" t="str">
        <f t="shared" si="31"/>
        <v>Less Shipping Charges</v>
      </c>
      <c r="K51" s="42">
        <f>C54</f>
        <v>6232950</v>
      </c>
      <c r="L51" s="21" t="s">
        <v>52</v>
      </c>
      <c r="N51" s="5"/>
    </row>
    <row r="52" spans="1:14" x14ac:dyDescent="0.25">
      <c r="A52" s="25" t="s">
        <v>7</v>
      </c>
      <c r="B52" s="40">
        <f t="shared" si="26"/>
        <v>2041200</v>
      </c>
      <c r="C52" s="20">
        <f t="shared" si="28"/>
        <v>1530900</v>
      </c>
      <c r="D52" s="41">
        <v>3</v>
      </c>
      <c r="E52" s="20">
        <f t="shared" si="29"/>
        <v>1530900</v>
      </c>
      <c r="F52" s="20">
        <f t="shared" si="27"/>
        <v>2632120</v>
      </c>
      <c r="G52" s="46">
        <f t="shared" si="32"/>
        <v>1737097.8</v>
      </c>
      <c r="H52" s="46">
        <f t="shared" si="30"/>
        <v>4598852.8000000007</v>
      </c>
      <c r="I52" s="29"/>
      <c r="J52" s="31" t="str">
        <f t="shared" si="31"/>
        <v>TOTAL COST</v>
      </c>
      <c r="K52" s="42">
        <f>K48+K49+K50-K51</f>
        <v>4598852.8000000007</v>
      </c>
      <c r="L52" s="21" t="s">
        <v>53</v>
      </c>
      <c r="N52" s="5"/>
    </row>
    <row r="53" spans="1:14" x14ac:dyDescent="0.25">
      <c r="A53" s="25" t="s">
        <v>8</v>
      </c>
      <c r="B53" s="40">
        <f t="shared" si="26"/>
        <v>1020600</v>
      </c>
      <c r="C53" s="20">
        <f t="shared" si="28"/>
        <v>765450</v>
      </c>
      <c r="D53" s="41">
        <v>3.5</v>
      </c>
      <c r="E53" s="20">
        <f t="shared" si="29"/>
        <v>893025</v>
      </c>
      <c r="F53" s="20">
        <f t="shared" si="27"/>
        <v>2632120</v>
      </c>
      <c r="G53" s="46">
        <f t="shared" si="32"/>
        <v>1737097.8</v>
      </c>
      <c r="H53" s="46">
        <f t="shared" si="30"/>
        <v>4598852.8000000007</v>
      </c>
      <c r="I53" s="29"/>
      <c r="J53" s="4"/>
      <c r="K53" s="4"/>
      <c r="L53" s="21" t="s">
        <v>54</v>
      </c>
      <c r="N53" s="5"/>
    </row>
    <row r="54" spans="1:14" x14ac:dyDescent="0.25">
      <c r="A54" s="26" t="s">
        <v>9</v>
      </c>
      <c r="B54" s="27">
        <f>SUM(B48:B53)</f>
        <v>8310600</v>
      </c>
      <c r="C54" s="14">
        <f>SUM(C48:C53)</f>
        <v>6232950</v>
      </c>
      <c r="D54" s="14"/>
      <c r="E54" s="14">
        <f>SUM(E48:E53)</f>
        <v>6462585</v>
      </c>
      <c r="F54" s="14"/>
      <c r="G54" s="47">
        <f t="shared" ref="G54" si="33">SUM(G48:G53)</f>
        <v>10422586.800000001</v>
      </c>
      <c r="H54" s="47"/>
      <c r="I54" s="29"/>
      <c r="J54" s="29"/>
      <c r="K54" s="29"/>
      <c r="L54" s="21"/>
      <c r="N54" s="5"/>
    </row>
    <row r="55" spans="1:14" ht="6.75" customHeight="1" x14ac:dyDescent="0.25">
      <c r="A55" s="5"/>
      <c r="B55" s="5"/>
      <c r="C55" s="5"/>
      <c r="D55" s="5"/>
      <c r="E55" s="5"/>
      <c r="F55" s="5"/>
      <c r="G55" s="5"/>
      <c r="H55" s="28"/>
      <c r="I55" s="5"/>
      <c r="J55" s="5"/>
      <c r="K55" s="5"/>
      <c r="L55" s="5"/>
      <c r="M55" s="5"/>
      <c r="N55" s="5"/>
    </row>
    <row r="56" spans="1:14" ht="15.75" x14ac:dyDescent="0.25">
      <c r="A56" s="39" t="s">
        <v>78</v>
      </c>
      <c r="B56" s="5"/>
      <c r="C56" s="5"/>
      <c r="D56" s="5"/>
      <c r="E56" s="5"/>
      <c r="F56" s="5"/>
      <c r="G56" s="5"/>
      <c r="H56" s="28"/>
      <c r="I56" s="5"/>
      <c r="J56" s="5"/>
      <c r="K56" s="5"/>
      <c r="L56" s="5"/>
      <c r="M56" s="5"/>
      <c r="N56" s="5"/>
    </row>
    <row r="57" spans="1:14" x14ac:dyDescent="0.25">
      <c r="A57" s="5">
        <v>2007</v>
      </c>
      <c r="B57" s="5">
        <f>K22</f>
        <v>1236125</v>
      </c>
      <c r="C57" s="5"/>
      <c r="D57" s="5"/>
      <c r="E57" s="5"/>
      <c r="F57" s="5"/>
      <c r="G57" s="5"/>
      <c r="H57" s="28"/>
      <c r="I57" s="5"/>
      <c r="J57" s="5"/>
      <c r="K57" s="5"/>
      <c r="L57" s="5"/>
      <c r="M57" s="5"/>
      <c r="N57" s="5"/>
    </row>
    <row r="58" spans="1:14" x14ac:dyDescent="0.25">
      <c r="A58" s="5">
        <v>2008</v>
      </c>
      <c r="B58" s="5">
        <f>K32</f>
        <v>1924925</v>
      </c>
      <c r="C58" s="5"/>
      <c r="D58" s="5"/>
      <c r="E58" s="5"/>
      <c r="F58" s="5"/>
      <c r="G58" s="5"/>
      <c r="H58" s="28"/>
      <c r="I58" s="5"/>
      <c r="J58" s="5"/>
      <c r="K58" s="5"/>
      <c r="L58" s="5"/>
      <c r="M58" s="5"/>
      <c r="N58" s="5"/>
    </row>
    <row r="59" spans="1:14" x14ac:dyDescent="0.25">
      <c r="A59" s="5">
        <v>2009</v>
      </c>
      <c r="B59" s="5">
        <f>K42</f>
        <v>2938036</v>
      </c>
      <c r="C59" s="5"/>
      <c r="D59" s="5"/>
      <c r="E59" s="5"/>
      <c r="F59" s="5"/>
      <c r="G59" s="5"/>
      <c r="H59" s="28"/>
      <c r="I59" s="5"/>
      <c r="J59" s="5"/>
      <c r="K59" s="5"/>
      <c r="L59" s="5"/>
      <c r="M59" s="5"/>
      <c r="N59" s="5"/>
    </row>
    <row r="60" spans="1:14" x14ac:dyDescent="0.25">
      <c r="A60" s="5">
        <v>2010</v>
      </c>
      <c r="B60" s="42">
        <f>K52</f>
        <v>4598852.8000000007</v>
      </c>
      <c r="C60" s="5"/>
      <c r="D60" s="5"/>
      <c r="E60" s="5"/>
      <c r="F60" s="5"/>
      <c r="G60" s="5"/>
      <c r="H60" s="28"/>
      <c r="I60" s="5"/>
      <c r="J60" s="5"/>
      <c r="K60" s="5"/>
      <c r="L60" s="5"/>
      <c r="M60" s="5"/>
      <c r="N60" s="5"/>
    </row>
    <row r="62" spans="1:14" s="70" customFormat="1" ht="4.5" customHeight="1" x14ac:dyDescent="0.25"/>
    <row r="64" spans="1:14" ht="15.75" x14ac:dyDescent="0.25">
      <c r="A64" s="35" t="s">
        <v>79</v>
      </c>
    </row>
    <row r="65" spans="1:21" ht="15.75" thickBot="1" x14ac:dyDescent="0.3">
      <c r="J65" s="7" t="s">
        <v>80</v>
      </c>
    </row>
    <row r="66" spans="1:21" ht="16.5" thickBot="1" x14ac:dyDescent="0.3">
      <c r="A66" s="35" t="s">
        <v>92</v>
      </c>
      <c r="C66" s="7" t="s">
        <v>93</v>
      </c>
      <c r="J66" s="32"/>
      <c r="K66" s="33" t="s">
        <v>56</v>
      </c>
      <c r="L66" s="34">
        <v>1</v>
      </c>
    </row>
    <row r="67" spans="1:21" x14ac:dyDescent="0.25">
      <c r="A67" s="7"/>
      <c r="B67" s="7" t="s">
        <v>3</v>
      </c>
      <c r="C67" s="7" t="s">
        <v>4</v>
      </c>
      <c r="D67" s="7" t="s">
        <v>5</v>
      </c>
      <c r="E67" s="7" t="s">
        <v>6</v>
      </c>
      <c r="F67" s="7" t="s">
        <v>7</v>
      </c>
      <c r="G67" s="7" t="s">
        <v>8</v>
      </c>
      <c r="I67" s="7"/>
      <c r="J67" s="7" t="s">
        <v>3</v>
      </c>
      <c r="K67" s="7" t="s">
        <v>4</v>
      </c>
      <c r="L67" s="7" t="s">
        <v>5</v>
      </c>
      <c r="M67" s="7" t="s">
        <v>6</v>
      </c>
      <c r="N67" s="7" t="s">
        <v>7</v>
      </c>
      <c r="O67" s="7" t="s">
        <v>8</v>
      </c>
    </row>
    <row r="68" spans="1:21" x14ac:dyDescent="0.25">
      <c r="A68" s="7" t="s">
        <v>11</v>
      </c>
      <c r="B68" s="124">
        <f t="shared" ref="B68:G72" si="34">J68*$L$66</f>
        <v>2</v>
      </c>
      <c r="C68" s="124">
        <f t="shared" si="34"/>
        <v>2.5</v>
      </c>
      <c r="D68" s="124">
        <f t="shared" si="34"/>
        <v>3.5</v>
      </c>
      <c r="E68" s="124">
        <f t="shared" si="34"/>
        <v>4</v>
      </c>
      <c r="F68" s="124">
        <f t="shared" si="34"/>
        <v>5</v>
      </c>
      <c r="G68" s="124">
        <f t="shared" si="34"/>
        <v>5.5</v>
      </c>
      <c r="I68" s="7" t="s">
        <v>11</v>
      </c>
      <c r="J68" s="15">
        <v>2</v>
      </c>
      <c r="K68" s="15">
        <v>2.5</v>
      </c>
      <c r="L68" s="15">
        <v>3.5</v>
      </c>
      <c r="M68" s="15">
        <v>4</v>
      </c>
      <c r="N68" s="15">
        <v>5</v>
      </c>
      <c r="O68" s="15">
        <v>5.5</v>
      </c>
    </row>
    <row r="69" spans="1:21" x14ac:dyDescent="0.25">
      <c r="A69" s="7" t="s">
        <v>13</v>
      </c>
      <c r="B69" s="124">
        <f t="shared" si="34"/>
        <v>2.5</v>
      </c>
      <c r="C69" s="124">
        <f t="shared" si="34"/>
        <v>2.5</v>
      </c>
      <c r="D69" s="124">
        <f t="shared" si="34"/>
        <v>2.5</v>
      </c>
      <c r="E69" s="124">
        <f t="shared" si="34"/>
        <v>3</v>
      </c>
      <c r="F69" s="124">
        <f t="shared" si="34"/>
        <v>4</v>
      </c>
      <c r="G69" s="124">
        <f t="shared" si="34"/>
        <v>4.5</v>
      </c>
      <c r="I69" s="7" t="s">
        <v>13</v>
      </c>
      <c r="J69" s="15">
        <v>2.5</v>
      </c>
      <c r="K69" s="15">
        <v>2.5</v>
      </c>
      <c r="L69" s="15">
        <v>2.5</v>
      </c>
      <c r="M69" s="15">
        <v>3</v>
      </c>
      <c r="N69" s="15">
        <v>4</v>
      </c>
      <c r="O69" s="15">
        <v>4.5</v>
      </c>
    </row>
    <row r="70" spans="1:21" x14ac:dyDescent="0.25">
      <c r="A70" s="12" t="s">
        <v>1</v>
      </c>
      <c r="B70" s="124">
        <f t="shared" si="34"/>
        <v>3.5</v>
      </c>
      <c r="C70" s="124">
        <f t="shared" si="34"/>
        <v>3.5</v>
      </c>
      <c r="D70" s="124">
        <f t="shared" si="34"/>
        <v>2.5</v>
      </c>
      <c r="E70" s="124">
        <f t="shared" si="34"/>
        <v>2.5</v>
      </c>
      <c r="F70" s="124">
        <f t="shared" si="34"/>
        <v>3</v>
      </c>
      <c r="G70" s="124">
        <f t="shared" si="34"/>
        <v>3.5</v>
      </c>
      <c r="I70" s="12" t="s">
        <v>1</v>
      </c>
      <c r="J70" s="16">
        <v>3.5</v>
      </c>
      <c r="K70" s="16">
        <v>3.5</v>
      </c>
      <c r="L70" s="16">
        <v>2.5</v>
      </c>
      <c r="M70" s="16">
        <v>2.5</v>
      </c>
      <c r="N70" s="16">
        <v>3</v>
      </c>
      <c r="O70" s="16">
        <v>3.5</v>
      </c>
    </row>
    <row r="71" spans="1:21" x14ac:dyDescent="0.25">
      <c r="A71" s="7" t="s">
        <v>0</v>
      </c>
      <c r="B71" s="124">
        <f t="shared" si="34"/>
        <v>4</v>
      </c>
      <c r="C71" s="124">
        <f t="shared" si="34"/>
        <v>4</v>
      </c>
      <c r="D71" s="124">
        <f t="shared" si="34"/>
        <v>3</v>
      </c>
      <c r="E71" s="124">
        <f t="shared" si="34"/>
        <v>2.5</v>
      </c>
      <c r="F71" s="124">
        <f t="shared" si="34"/>
        <v>3</v>
      </c>
      <c r="G71" s="124">
        <f t="shared" si="34"/>
        <v>2.5</v>
      </c>
      <c r="I71" s="7" t="s">
        <v>0</v>
      </c>
      <c r="J71" s="15">
        <v>4</v>
      </c>
      <c r="K71" s="15">
        <v>4</v>
      </c>
      <c r="L71" s="15">
        <v>3</v>
      </c>
      <c r="M71" s="15">
        <v>2.5</v>
      </c>
      <c r="N71" s="15">
        <v>3</v>
      </c>
      <c r="O71" s="15">
        <v>2.5</v>
      </c>
    </row>
    <row r="72" spans="1:21" x14ac:dyDescent="0.25">
      <c r="A72" s="7" t="s">
        <v>14</v>
      </c>
      <c r="B72" s="124">
        <f t="shared" si="34"/>
        <v>4.5</v>
      </c>
      <c r="C72" s="124">
        <f t="shared" si="34"/>
        <v>5</v>
      </c>
      <c r="D72" s="124">
        <f t="shared" si="34"/>
        <v>3</v>
      </c>
      <c r="E72" s="124">
        <f t="shared" si="34"/>
        <v>3.5</v>
      </c>
      <c r="F72" s="124">
        <f t="shared" si="34"/>
        <v>2.5</v>
      </c>
      <c r="G72" s="124">
        <f t="shared" si="34"/>
        <v>4</v>
      </c>
      <c r="I72" s="7" t="s">
        <v>14</v>
      </c>
      <c r="J72" s="15">
        <v>4.5</v>
      </c>
      <c r="K72" s="15">
        <v>5</v>
      </c>
      <c r="L72" s="15">
        <v>3</v>
      </c>
      <c r="M72" s="15">
        <v>3.5</v>
      </c>
      <c r="N72" s="15">
        <v>2.5</v>
      </c>
      <c r="O72" s="15">
        <v>4</v>
      </c>
    </row>
    <row r="73" spans="1:21" x14ac:dyDescent="0.25">
      <c r="J73" s="10"/>
      <c r="K73" s="11"/>
    </row>
    <row r="74" spans="1:21" ht="15.75" x14ac:dyDescent="0.25">
      <c r="A74" s="35" t="s">
        <v>94</v>
      </c>
    </row>
    <row r="75" spans="1:21" x14ac:dyDescent="0.25">
      <c r="A75" s="7"/>
      <c r="B75" s="7" t="s">
        <v>3</v>
      </c>
      <c r="C75" s="7" t="s">
        <v>4</v>
      </c>
      <c r="D75" s="7" t="s">
        <v>5</v>
      </c>
      <c r="E75" s="7" t="s">
        <v>6</v>
      </c>
      <c r="F75" s="7" t="s">
        <v>7</v>
      </c>
      <c r="G75" s="7" t="s">
        <v>8</v>
      </c>
      <c r="K75" s="107" t="s">
        <v>82</v>
      </c>
      <c r="M75" s="107" t="s">
        <v>82</v>
      </c>
      <c r="Q75" s="107" t="s">
        <v>82</v>
      </c>
      <c r="U75" s="107" t="s">
        <v>82</v>
      </c>
    </row>
    <row r="76" spans="1:21" x14ac:dyDescent="0.25">
      <c r="A76" s="7" t="s">
        <v>11</v>
      </c>
      <c r="B76" s="44">
        <v>1</v>
      </c>
      <c r="C76" s="44">
        <v>1</v>
      </c>
      <c r="D76" s="44">
        <v>0</v>
      </c>
      <c r="E76" s="44">
        <v>0</v>
      </c>
      <c r="F76" s="44">
        <v>0</v>
      </c>
      <c r="G76" s="44">
        <v>0</v>
      </c>
      <c r="K76" s="110">
        <v>1</v>
      </c>
      <c r="M76" s="113">
        <f>--(M86&gt;0)</f>
        <v>1</v>
      </c>
      <c r="Q76" s="113">
        <f>--(Q86&gt;0)</f>
        <v>0</v>
      </c>
      <c r="U76" s="113">
        <f>--(U86&gt;0)</f>
        <v>0</v>
      </c>
    </row>
    <row r="77" spans="1:21" x14ac:dyDescent="0.25">
      <c r="A77" s="7" t="s">
        <v>13</v>
      </c>
      <c r="B77" s="44">
        <v>0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K77" s="110">
        <v>0</v>
      </c>
      <c r="M77" s="113">
        <f t="shared" ref="M77:M80" si="35">--(M87&gt;0)</f>
        <v>0</v>
      </c>
      <c r="Q77" s="113">
        <f t="shared" ref="Q77:Q80" si="36">--(Q87&gt;0)</f>
        <v>0</v>
      </c>
      <c r="U77" s="113">
        <f t="shared" ref="U77:U80" si="37">--(U87&gt;0)</f>
        <v>0</v>
      </c>
    </row>
    <row r="78" spans="1:21" x14ac:dyDescent="0.25">
      <c r="A78" s="12" t="s">
        <v>1</v>
      </c>
      <c r="B78" s="44">
        <v>0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K78" s="110">
        <v>0</v>
      </c>
      <c r="M78" s="113">
        <f t="shared" si="35"/>
        <v>0</v>
      </c>
      <c r="Q78" s="113">
        <f t="shared" si="36"/>
        <v>0</v>
      </c>
      <c r="U78" s="113">
        <f t="shared" si="37"/>
        <v>0</v>
      </c>
    </row>
    <row r="79" spans="1:21" x14ac:dyDescent="0.25">
      <c r="A79" s="7" t="s">
        <v>0</v>
      </c>
      <c r="B79" s="44">
        <v>0</v>
      </c>
      <c r="C79" s="44">
        <v>0</v>
      </c>
      <c r="D79" s="44">
        <v>1</v>
      </c>
      <c r="E79" s="44">
        <v>1</v>
      </c>
      <c r="F79" s="44">
        <v>1</v>
      </c>
      <c r="G79" s="44">
        <v>1</v>
      </c>
      <c r="K79" s="110">
        <v>1</v>
      </c>
      <c r="M79" s="113">
        <f t="shared" si="35"/>
        <v>1</v>
      </c>
      <c r="Q79" s="113">
        <f t="shared" si="36"/>
        <v>1</v>
      </c>
      <c r="U79" s="113">
        <f t="shared" si="37"/>
        <v>0</v>
      </c>
    </row>
    <row r="80" spans="1:21" x14ac:dyDescent="0.25">
      <c r="A80" s="7" t="s">
        <v>14</v>
      </c>
      <c r="B80" s="44">
        <v>0</v>
      </c>
      <c r="C80" s="44">
        <v>0</v>
      </c>
      <c r="D80" s="44">
        <v>0</v>
      </c>
      <c r="E80" s="44">
        <v>0</v>
      </c>
      <c r="F80" s="44">
        <v>0</v>
      </c>
      <c r="G80" s="44">
        <v>0</v>
      </c>
      <c r="K80" s="110">
        <v>0</v>
      </c>
      <c r="M80" s="113">
        <f t="shared" si="35"/>
        <v>0</v>
      </c>
      <c r="Q80" s="113">
        <f t="shared" si="36"/>
        <v>0</v>
      </c>
      <c r="U80" s="113">
        <f t="shared" si="37"/>
        <v>0</v>
      </c>
    </row>
    <row r="81" spans="1:24" x14ac:dyDescent="0.25">
      <c r="A81" s="119" t="s">
        <v>107</v>
      </c>
      <c r="B81" s="111">
        <f>SUM(B76:B80)</f>
        <v>1</v>
      </c>
      <c r="C81" s="111">
        <f t="shared" ref="C81:G81" si="38">SUM(C76:C80)</f>
        <v>1</v>
      </c>
      <c r="D81" s="111">
        <f t="shared" si="38"/>
        <v>1</v>
      </c>
      <c r="E81" s="111">
        <f t="shared" si="38"/>
        <v>1</v>
      </c>
      <c r="F81" s="111">
        <f t="shared" si="38"/>
        <v>1</v>
      </c>
      <c r="G81" s="111">
        <f t="shared" si="38"/>
        <v>1</v>
      </c>
      <c r="K81" s="108"/>
      <c r="M81" s="108"/>
      <c r="Q81" s="108"/>
      <c r="U81" s="108"/>
    </row>
    <row r="82" spans="1:24" x14ac:dyDescent="0.25">
      <c r="A82" s="7"/>
      <c r="G82" s="13"/>
      <c r="H82" s="13"/>
      <c r="K82" s="108"/>
      <c r="M82" s="108"/>
      <c r="Q82" s="108"/>
      <c r="U82" s="108"/>
    </row>
    <row r="83" spans="1:24" ht="15.75" x14ac:dyDescent="0.25">
      <c r="A83" s="35" t="s">
        <v>26</v>
      </c>
      <c r="B83" s="8"/>
      <c r="G83" s="13"/>
      <c r="H83" s="18" t="s">
        <v>30</v>
      </c>
      <c r="I83" s="17">
        <v>2010</v>
      </c>
      <c r="K83" s="108"/>
      <c r="M83" s="108"/>
      <c r="Q83" s="108"/>
      <c r="U83" s="108"/>
    </row>
    <row r="84" spans="1:24" x14ac:dyDescent="0.25">
      <c r="A84" s="116" t="s">
        <v>95</v>
      </c>
      <c r="B84" s="58">
        <f t="shared" ref="B84:G84" si="39">INDEX($A$16:$L$54,MATCH($I$83&amp;B$85,$L$16:$L$54,0),2)</f>
        <v>1866240</v>
      </c>
      <c r="C84" s="58">
        <f t="shared" si="39"/>
        <v>1166400</v>
      </c>
      <c r="D84" s="58">
        <f t="shared" si="39"/>
        <v>933120</v>
      </c>
      <c r="E84" s="58">
        <f t="shared" si="39"/>
        <v>1283040</v>
      </c>
      <c r="F84" s="58">
        <f t="shared" si="39"/>
        <v>2041200</v>
      </c>
      <c r="G84" s="117">
        <f t="shared" si="39"/>
        <v>1020600</v>
      </c>
      <c r="H84" s="112"/>
      <c r="I84" s="107" t="s">
        <v>61</v>
      </c>
      <c r="J84" s="52"/>
      <c r="K84" s="107" t="s">
        <v>29</v>
      </c>
      <c r="M84" s="107" t="s">
        <v>98</v>
      </c>
      <c r="Q84" s="107" t="s">
        <v>99</v>
      </c>
      <c r="U84" s="107" t="s">
        <v>100</v>
      </c>
    </row>
    <row r="85" spans="1:24" ht="30" x14ac:dyDescent="0.25">
      <c r="A85" s="7"/>
      <c r="B85" s="54" t="s">
        <v>3</v>
      </c>
      <c r="C85" s="54" t="s">
        <v>4</v>
      </c>
      <c r="D85" s="54" t="s">
        <v>5</v>
      </c>
      <c r="E85" s="54" t="s">
        <v>6</v>
      </c>
      <c r="F85" s="54" t="s">
        <v>7</v>
      </c>
      <c r="G85" s="54" t="s">
        <v>8</v>
      </c>
      <c r="H85" s="63" t="s">
        <v>9</v>
      </c>
      <c r="I85" s="67" t="s">
        <v>90</v>
      </c>
      <c r="J85" s="55" t="s">
        <v>91</v>
      </c>
      <c r="K85" s="67" t="s">
        <v>104</v>
      </c>
      <c r="L85" s="109" t="s">
        <v>18</v>
      </c>
      <c r="M85" s="63" t="s">
        <v>26</v>
      </c>
      <c r="N85" s="94" t="s">
        <v>85</v>
      </c>
      <c r="O85" s="54" t="s">
        <v>86</v>
      </c>
      <c r="P85" s="54" t="s">
        <v>101</v>
      </c>
      <c r="Q85" s="63" t="s">
        <v>26</v>
      </c>
      <c r="R85" s="94" t="s">
        <v>85</v>
      </c>
      <c r="S85" s="54" t="s">
        <v>86</v>
      </c>
      <c r="T85" s="54" t="s">
        <v>101</v>
      </c>
      <c r="U85" s="63" t="s">
        <v>26</v>
      </c>
      <c r="V85" s="94" t="s">
        <v>85</v>
      </c>
      <c r="W85" s="54" t="s">
        <v>86</v>
      </c>
      <c r="X85" s="54" t="s">
        <v>101</v>
      </c>
    </row>
    <row r="86" spans="1:24" x14ac:dyDescent="0.25">
      <c r="A86" s="7" t="s">
        <v>11</v>
      </c>
      <c r="B86" s="50">
        <f>B76*B$84</f>
        <v>1866240</v>
      </c>
      <c r="C86" s="50">
        <f t="shared" ref="C86:G86" si="40">C76*C$84</f>
        <v>1166400</v>
      </c>
      <c r="D86" s="50">
        <f t="shared" si="40"/>
        <v>0</v>
      </c>
      <c r="E86" s="50">
        <f t="shared" si="40"/>
        <v>0</v>
      </c>
      <c r="F86" s="50">
        <f t="shared" si="40"/>
        <v>0</v>
      </c>
      <c r="G86" s="50">
        <f t="shared" si="40"/>
        <v>0</v>
      </c>
      <c r="H86" s="64">
        <f>SUM(B86:G86)</f>
        <v>3032640</v>
      </c>
      <c r="I86" s="64">
        <f>IF(H86&lt;=$L$8,$I$8+$J$8*H86,IF(H86&lt;=$L$9,$I$9+$J$9*H86,IF(H86&lt;=$L$10,$I$10+$J$10*H86,$I$11+$J$11*H86)))*K76</f>
        <v>1045548.8</v>
      </c>
      <c r="J86" s="51">
        <f>$I$12*K76+$J$12*H86</f>
        <v>975385.60000000009</v>
      </c>
      <c r="K86" s="64">
        <f>F8*K76</f>
        <v>400000</v>
      </c>
      <c r="L86" s="95">
        <f>H86*C8</f>
        <v>606528</v>
      </c>
      <c r="M86" s="64">
        <f>MIN(H86,$D$5)</f>
        <v>3032640</v>
      </c>
      <c r="N86" s="95">
        <f>$B8*$K76+$C8*M86</f>
        <v>906528</v>
      </c>
      <c r="O86" s="51">
        <f>$D8*$K76+$E8*M86</f>
        <v>1106528</v>
      </c>
      <c r="P86" s="51">
        <f>IF(M86&lt;=$B$5,N86,O86)</f>
        <v>1106528</v>
      </c>
      <c r="Q86" s="64">
        <f>MIN(H86-M86,$D$5)</f>
        <v>0</v>
      </c>
      <c r="R86" s="95">
        <f>$B8*$Q76+$C8*Q86</f>
        <v>0</v>
      </c>
      <c r="S86" s="51">
        <f>$D8*$Q76+$E8*Q86</f>
        <v>0</v>
      </c>
      <c r="T86" s="51">
        <f>IF(Q86&lt;=$B$5,R86,S86)</f>
        <v>0</v>
      </c>
      <c r="U86" s="64">
        <f>MIN(H86-M86-Q86,$D$5)</f>
        <v>0</v>
      </c>
      <c r="V86" s="95">
        <f>$B8*$U76+$C8*U86</f>
        <v>0</v>
      </c>
      <c r="W86" s="51">
        <f>$D8*$U76+$E8*U86</f>
        <v>0</v>
      </c>
      <c r="X86" s="51">
        <f>IF(U86&lt;=$B$5,V86,W86)</f>
        <v>0</v>
      </c>
    </row>
    <row r="87" spans="1:24" x14ac:dyDescent="0.25">
      <c r="A87" s="7" t="s">
        <v>13</v>
      </c>
      <c r="B87" s="50">
        <f t="shared" ref="B87:G87" si="41">B77*B$84</f>
        <v>0</v>
      </c>
      <c r="C87" s="50">
        <f t="shared" si="41"/>
        <v>0</v>
      </c>
      <c r="D87" s="50">
        <f t="shared" si="41"/>
        <v>0</v>
      </c>
      <c r="E87" s="50">
        <f t="shared" si="41"/>
        <v>0</v>
      </c>
      <c r="F87" s="50">
        <f t="shared" si="41"/>
        <v>0</v>
      </c>
      <c r="G87" s="50">
        <f t="shared" si="41"/>
        <v>0</v>
      </c>
      <c r="H87" s="64">
        <f t="shared" ref="H87:H90" si="42">SUM(B87:G87)</f>
        <v>0</v>
      </c>
      <c r="I87" s="64">
        <f>IF(H87&lt;=$L$8,$I$8+$J$8*H87,IF(H87&lt;=$L$9,$I$9+$J$9*H87,IF(H87&lt;=$L$10,$I$10+$J$10*H87,$I$11+$J$11*H87)))*K77</f>
        <v>0</v>
      </c>
      <c r="J87" s="51">
        <f>$I$12*K77+$J$12*H87</f>
        <v>0</v>
      </c>
      <c r="K87" s="64">
        <f>F9*K77</f>
        <v>0</v>
      </c>
      <c r="L87" s="95">
        <f t="shared" ref="L87:L90" si="43">H87*C9</f>
        <v>0</v>
      </c>
      <c r="M87" s="64">
        <f>MIN(H87,$D$5)</f>
        <v>0</v>
      </c>
      <c r="N87" s="95">
        <f>$B9*$K77+$C9*M87</f>
        <v>0</v>
      </c>
      <c r="O87" s="51">
        <f>$D9*$K77+$E9*M87</f>
        <v>0</v>
      </c>
      <c r="P87" s="51">
        <f t="shared" ref="P87:P90" si="44">IF(M87&lt;=$B$5,N87,O87)</f>
        <v>0</v>
      </c>
      <c r="Q87" s="64">
        <f>MIN(H87-M87,$D$5)</f>
        <v>0</v>
      </c>
      <c r="R87" s="95">
        <f>$B9*$Q77+$C9*Q87</f>
        <v>0</v>
      </c>
      <c r="S87" s="51">
        <f>$D9*$Q77+$E9*Q87</f>
        <v>0</v>
      </c>
      <c r="T87" s="51">
        <f t="shared" ref="T87:T90" si="45">IF(Q87&lt;=$B$5,R87,S87)</f>
        <v>0</v>
      </c>
      <c r="U87" s="64">
        <f>MIN(H87-M87-Q87,$D$5)</f>
        <v>0</v>
      </c>
      <c r="V87" s="95">
        <f>$B9*$U77+$C9*U87</f>
        <v>0</v>
      </c>
      <c r="W87" s="51">
        <f>$D9*$U77+$E9*U87</f>
        <v>0</v>
      </c>
      <c r="X87" s="51">
        <f t="shared" ref="X87:X90" si="46">IF(U87&lt;=$B$5,V87,W87)</f>
        <v>0</v>
      </c>
    </row>
    <row r="88" spans="1:24" x14ac:dyDescent="0.25">
      <c r="A88" s="12" t="s">
        <v>1</v>
      </c>
      <c r="B88" s="50">
        <f t="shared" ref="B88:G88" si="47">B78*B$84</f>
        <v>0</v>
      </c>
      <c r="C88" s="50">
        <f t="shared" si="47"/>
        <v>0</v>
      </c>
      <c r="D88" s="50">
        <f t="shared" si="47"/>
        <v>0</v>
      </c>
      <c r="E88" s="50">
        <f t="shared" si="47"/>
        <v>0</v>
      </c>
      <c r="F88" s="50">
        <f t="shared" si="47"/>
        <v>0</v>
      </c>
      <c r="G88" s="50">
        <f t="shared" si="47"/>
        <v>0</v>
      </c>
      <c r="H88" s="64">
        <f t="shared" si="42"/>
        <v>0</v>
      </c>
      <c r="I88" s="64">
        <f>IF(H88&lt;=$L$8,$I$8+$J$8*H88,IF(H88&lt;=$L$9,$I$9+$J$9*H88,IF(H88&lt;=$L$10,$I$10+$J$10*H88,$I$11+$J$11*H88)))*K78</f>
        <v>0</v>
      </c>
      <c r="J88" s="51">
        <f>$I$12*K78+$J$12*H88</f>
        <v>0</v>
      </c>
      <c r="K88" s="64">
        <f>F10*K78</f>
        <v>0</v>
      </c>
      <c r="L88" s="95">
        <f t="shared" si="43"/>
        <v>0</v>
      </c>
      <c r="M88" s="64">
        <f>MIN(H88,$D$5)</f>
        <v>0</v>
      </c>
      <c r="N88" s="95">
        <f>$B10*$K78+$C10*M88</f>
        <v>0</v>
      </c>
      <c r="O88" s="51">
        <f>$D10*$K78+$E10*M88</f>
        <v>0</v>
      </c>
      <c r="P88" s="51">
        <f t="shared" si="44"/>
        <v>0</v>
      </c>
      <c r="Q88" s="64">
        <f>MIN(H88-M88,$D$5)</f>
        <v>0</v>
      </c>
      <c r="R88" s="95">
        <f>$B10*$Q78+$C10*Q88</f>
        <v>0</v>
      </c>
      <c r="S88" s="51">
        <f>$D10*$Q78+$E10*Q88</f>
        <v>0</v>
      </c>
      <c r="T88" s="51">
        <f t="shared" si="45"/>
        <v>0</v>
      </c>
      <c r="U88" s="64">
        <f>MIN(H88-M88-Q88,$D$5)</f>
        <v>0</v>
      </c>
      <c r="V88" s="95">
        <f>$B10*$U78+$C10*U88</f>
        <v>0</v>
      </c>
      <c r="W88" s="51">
        <f>$D10*$U78+$E10*U88</f>
        <v>0</v>
      </c>
      <c r="X88" s="51">
        <f t="shared" si="46"/>
        <v>0</v>
      </c>
    </row>
    <row r="89" spans="1:24" x14ac:dyDescent="0.25">
      <c r="A89" s="7" t="s">
        <v>0</v>
      </c>
      <c r="B89" s="50">
        <f t="shared" ref="B89:G89" si="48">B79*B$84</f>
        <v>0</v>
      </c>
      <c r="C89" s="50">
        <f t="shared" si="48"/>
        <v>0</v>
      </c>
      <c r="D89" s="50">
        <f t="shared" si="48"/>
        <v>933120</v>
      </c>
      <c r="E89" s="50">
        <f t="shared" si="48"/>
        <v>1283040</v>
      </c>
      <c r="F89" s="50">
        <f t="shared" si="48"/>
        <v>2041200</v>
      </c>
      <c r="G89" s="50">
        <f t="shared" si="48"/>
        <v>1020600</v>
      </c>
      <c r="H89" s="64">
        <f t="shared" si="42"/>
        <v>5277960</v>
      </c>
      <c r="I89" s="64">
        <f>IF(H89&lt;=$L$8,$I$8+$J$8*H89,IF(H89&lt;=$L$9,$I$9+$J$9*H89,IF(H89&lt;=$L$10,$I$10+$J$10*H89,$I$11+$J$11*H89)))*K79</f>
        <v>1379968.6800000002</v>
      </c>
      <c r="J89" s="51">
        <f>$I$12*K79+$J$12*H89</f>
        <v>1345863.4</v>
      </c>
      <c r="K89" s="64">
        <f>F11*K79</f>
        <v>297500</v>
      </c>
      <c r="L89" s="95">
        <f t="shared" si="43"/>
        <v>1055592</v>
      </c>
      <c r="M89" s="64">
        <f>MIN(H89,$D$5)</f>
        <v>4000000</v>
      </c>
      <c r="N89" s="95">
        <f>$B11*$K79+$C11*M89</f>
        <v>1020000</v>
      </c>
      <c r="O89" s="51">
        <f>$D11*$K79+$E11*M89</f>
        <v>1175000</v>
      </c>
      <c r="P89" s="51">
        <f t="shared" si="44"/>
        <v>1175000</v>
      </c>
      <c r="Q89" s="64">
        <f>MIN(H89-M89,$D$5)</f>
        <v>1277960</v>
      </c>
      <c r="R89" s="95">
        <f>$B11*$Q79+$C11*Q89</f>
        <v>475592</v>
      </c>
      <c r="S89" s="51">
        <f>$D11*$Q79+$E11*Q89</f>
        <v>630592</v>
      </c>
      <c r="T89" s="51">
        <f t="shared" si="45"/>
        <v>475592</v>
      </c>
      <c r="U89" s="64">
        <f>MIN(H89-M89-Q89,$D$5)</f>
        <v>0</v>
      </c>
      <c r="V89" s="95">
        <f>$B11*$U79+$C11*U89</f>
        <v>0</v>
      </c>
      <c r="W89" s="51">
        <f>$D11*$U79+$E11*U89</f>
        <v>0</v>
      </c>
      <c r="X89" s="51">
        <f t="shared" si="46"/>
        <v>0</v>
      </c>
    </row>
    <row r="90" spans="1:24" x14ac:dyDescent="0.25">
      <c r="A90" s="7" t="s">
        <v>14</v>
      </c>
      <c r="B90" s="50">
        <f t="shared" ref="B90:G90" si="49">B80*B$84</f>
        <v>0</v>
      </c>
      <c r="C90" s="50">
        <f t="shared" si="49"/>
        <v>0</v>
      </c>
      <c r="D90" s="50">
        <f t="shared" si="49"/>
        <v>0</v>
      </c>
      <c r="E90" s="50">
        <f t="shared" si="49"/>
        <v>0</v>
      </c>
      <c r="F90" s="50">
        <f t="shared" si="49"/>
        <v>0</v>
      </c>
      <c r="G90" s="50">
        <f t="shared" si="49"/>
        <v>0</v>
      </c>
      <c r="H90" s="64">
        <f t="shared" si="42"/>
        <v>0</v>
      </c>
      <c r="I90" s="64">
        <f>IF(H90&lt;=$L$8,$I$8+$J$8*H90,IF(H90&lt;=$L$9,$I$9+$J$9*H90,IF(H90&lt;=$L$10,$I$10+$J$10*H90,$I$11+$J$11*H90)))*K80</f>
        <v>0</v>
      </c>
      <c r="J90" s="51">
        <f>$I$12*K80+$J$12*H90</f>
        <v>0</v>
      </c>
      <c r="K90" s="96">
        <f>F12*K80</f>
        <v>0</v>
      </c>
      <c r="L90" s="95">
        <f t="shared" si="43"/>
        <v>0</v>
      </c>
      <c r="M90" s="64">
        <f>MIN(H90,$D$5)</f>
        <v>0</v>
      </c>
      <c r="N90" s="95">
        <f>$B12*$K80+$C12*M90</f>
        <v>0</v>
      </c>
      <c r="O90" s="51">
        <f>$D12*$K80+$E12*M90</f>
        <v>0</v>
      </c>
      <c r="P90" s="51">
        <f t="shared" si="44"/>
        <v>0</v>
      </c>
      <c r="Q90" s="64">
        <f>MIN(H90-M90,$D$5)</f>
        <v>0</v>
      </c>
      <c r="R90" s="95">
        <f>$B12*$Q80+$C12*Q90</f>
        <v>0</v>
      </c>
      <c r="S90" s="51">
        <f>$D12*$Q80+$E12*Q90</f>
        <v>0</v>
      </c>
      <c r="T90" s="51">
        <f t="shared" si="45"/>
        <v>0</v>
      </c>
      <c r="U90" s="64">
        <f>MIN(H90-M90-Q90,$D$5)</f>
        <v>0</v>
      </c>
      <c r="V90" s="95">
        <f>$B12*$U80+$C12*U90</f>
        <v>0</v>
      </c>
      <c r="W90" s="51">
        <f>$D12*$U80+$E12*U90</f>
        <v>0</v>
      </c>
      <c r="X90" s="51">
        <f t="shared" si="46"/>
        <v>0</v>
      </c>
    </row>
    <row r="91" spans="1:24" x14ac:dyDescent="0.25">
      <c r="A91" s="114" t="s">
        <v>9</v>
      </c>
      <c r="B91" s="57">
        <f>SUM(B86:B90)</f>
        <v>1866240</v>
      </c>
      <c r="C91" s="57">
        <f t="shared" ref="C91" si="50">SUM(C86:C90)</f>
        <v>1166400</v>
      </c>
      <c r="D91" s="57">
        <f t="shared" ref="D91" si="51">SUM(D86:D90)</f>
        <v>933120</v>
      </c>
      <c r="E91" s="57">
        <f t="shared" ref="E91" si="52">SUM(E86:E90)</f>
        <v>1283040</v>
      </c>
      <c r="F91" s="57">
        <f t="shared" ref="F91" si="53">SUM(F86:F90)</f>
        <v>2041200</v>
      </c>
      <c r="G91" s="57">
        <f t="shared" ref="G91" si="54">SUM(G86:G90)</f>
        <v>1020600</v>
      </c>
      <c r="H91" s="65"/>
      <c r="I91" s="68"/>
      <c r="J91" s="58"/>
      <c r="K91" s="68"/>
      <c r="L91" s="58"/>
      <c r="M91" s="68"/>
      <c r="N91" s="58"/>
      <c r="O91" s="59"/>
      <c r="P91" s="59"/>
      <c r="Q91" s="68"/>
      <c r="R91" s="58"/>
      <c r="S91" s="59"/>
      <c r="T91" s="59"/>
      <c r="U91" s="68"/>
      <c r="V91" s="58"/>
      <c r="W91" s="59"/>
      <c r="X91" s="59"/>
    </row>
    <row r="92" spans="1:24" x14ac:dyDescent="0.25">
      <c r="A92" s="115" t="s">
        <v>88</v>
      </c>
      <c r="B92" s="56"/>
      <c r="C92" s="56"/>
      <c r="D92" s="56"/>
      <c r="E92" s="56"/>
      <c r="F92" s="56"/>
      <c r="G92" s="56"/>
      <c r="H92" s="66">
        <f t="shared" ref="H92:L92" si="55">SUM(H86:H90)</f>
        <v>8310600</v>
      </c>
      <c r="I92" s="69">
        <f t="shared" si="55"/>
        <v>2425517.4800000004</v>
      </c>
      <c r="J92" s="60">
        <f t="shared" si="55"/>
        <v>2321249</v>
      </c>
      <c r="K92" s="97">
        <f t="shared" si="55"/>
        <v>697500</v>
      </c>
      <c r="L92" s="60">
        <f t="shared" si="55"/>
        <v>1662120</v>
      </c>
      <c r="M92" s="65">
        <f>SUM(M86:M90)</f>
        <v>7032640</v>
      </c>
      <c r="N92" s="60">
        <f>SUM(N86:N90)</f>
        <v>1926528</v>
      </c>
      <c r="O92" s="60">
        <f>SUM(O86:O90)</f>
        <v>2281528</v>
      </c>
      <c r="P92" s="60">
        <f>SUM(P86:P90)</f>
        <v>2281528</v>
      </c>
      <c r="Q92" s="65">
        <f t="shared" ref="Q92" si="56">SUM(Q86:Q90)</f>
        <v>1277960</v>
      </c>
      <c r="R92" s="60">
        <f>SUM(R86:R90)</f>
        <v>475592</v>
      </c>
      <c r="S92" s="60">
        <f>SUM(S86:S90)</f>
        <v>630592</v>
      </c>
      <c r="T92" s="60">
        <f>SUM(T86:T90)</f>
        <v>475592</v>
      </c>
      <c r="U92" s="65">
        <f t="shared" ref="U92" si="57">SUM(U86:U90)</f>
        <v>0</v>
      </c>
      <c r="V92" s="60">
        <f>SUM(V86:V90)</f>
        <v>0</v>
      </c>
      <c r="W92" s="60">
        <f>SUM(W86:W90)</f>
        <v>0</v>
      </c>
      <c r="X92" s="60">
        <f>SUM(X86:X90)</f>
        <v>0</v>
      </c>
    </row>
    <row r="93" spans="1:24" ht="30" customHeight="1" x14ac:dyDescent="0.25">
      <c r="A93" s="118" t="s">
        <v>84</v>
      </c>
      <c r="B93" s="61">
        <f t="shared" ref="B93:G93" si="58">SUMPRODUCT(B68:B72,B86:B90)/4</f>
        <v>933120</v>
      </c>
      <c r="C93" s="61">
        <f t="shared" si="58"/>
        <v>729000</v>
      </c>
      <c r="D93" s="61">
        <f t="shared" si="58"/>
        <v>699840</v>
      </c>
      <c r="E93" s="61">
        <f t="shared" si="58"/>
        <v>801900</v>
      </c>
      <c r="F93" s="61">
        <f t="shared" si="58"/>
        <v>1530900</v>
      </c>
      <c r="G93" s="61">
        <f t="shared" si="58"/>
        <v>637875</v>
      </c>
      <c r="H93" s="62">
        <f>SUM(B93:G93)</f>
        <v>5332635</v>
      </c>
    </row>
    <row r="94" spans="1:24" x14ac:dyDescent="0.25">
      <c r="A94" s="118" t="s">
        <v>10</v>
      </c>
      <c r="B94" s="61">
        <f t="shared" ref="B94:G94" si="59">B91/4*3</f>
        <v>1399680</v>
      </c>
      <c r="C94" s="61">
        <f t="shared" si="59"/>
        <v>874800</v>
      </c>
      <c r="D94" s="61">
        <f t="shared" si="59"/>
        <v>699840</v>
      </c>
      <c r="E94" s="61">
        <f t="shared" si="59"/>
        <v>962280</v>
      </c>
      <c r="F94" s="61">
        <f t="shared" si="59"/>
        <v>1530900</v>
      </c>
      <c r="G94" s="61">
        <f t="shared" si="59"/>
        <v>765450</v>
      </c>
      <c r="H94" s="62">
        <f>SUM(B94:G94)</f>
        <v>6232950</v>
      </c>
    </row>
    <row r="95" spans="1:24" x14ac:dyDescent="0.25">
      <c r="B95" s="11"/>
      <c r="F95" s="9"/>
      <c r="H95" s="6"/>
    </row>
    <row r="96" spans="1:24" ht="15.75" x14ac:dyDescent="0.25">
      <c r="A96" s="35" t="s">
        <v>64</v>
      </c>
      <c r="D96" s="5"/>
      <c r="E96" s="5"/>
      <c r="F96" s="5"/>
      <c r="G96" s="5"/>
      <c r="H96" s="5"/>
    </row>
    <row r="97" spans="1:12" x14ac:dyDescent="0.25">
      <c r="A97" s="90"/>
      <c r="B97" s="38" t="s">
        <v>96</v>
      </c>
      <c r="C97" s="99">
        <f>H92</f>
        <v>8310600</v>
      </c>
      <c r="D97" s="5"/>
      <c r="E97" s="5"/>
      <c r="F97" s="5"/>
      <c r="G97" s="5"/>
      <c r="H97" s="5"/>
      <c r="J97" s="13" t="s">
        <v>102</v>
      </c>
      <c r="K97" s="98">
        <f>P92+T92+X92</f>
        <v>2757120</v>
      </c>
    </row>
    <row r="98" spans="1:12" x14ac:dyDescent="0.25">
      <c r="A98" s="90"/>
      <c r="B98" s="38" t="s">
        <v>27</v>
      </c>
      <c r="C98" s="91">
        <f>H94</f>
        <v>6232950</v>
      </c>
      <c r="D98" s="5"/>
      <c r="E98" s="5"/>
      <c r="F98" s="5"/>
      <c r="G98" s="5"/>
      <c r="H98" s="5"/>
      <c r="J98" s="13" t="s">
        <v>105</v>
      </c>
      <c r="K98" s="98">
        <f>K92+L92</f>
        <v>2359620</v>
      </c>
    </row>
    <row r="99" spans="1:12" x14ac:dyDescent="0.25">
      <c r="A99" s="90"/>
      <c r="B99" s="38" t="s">
        <v>28</v>
      </c>
      <c r="C99" s="91">
        <f>I92</f>
        <v>2425517.4800000004</v>
      </c>
      <c r="F99" s="5"/>
      <c r="G99" s="5"/>
      <c r="H99" s="5"/>
      <c r="I99" s="120"/>
      <c r="J99" s="121"/>
      <c r="K99" s="121"/>
      <c r="L99" s="121"/>
    </row>
    <row r="100" spans="1:12" x14ac:dyDescent="0.25">
      <c r="A100" s="90"/>
      <c r="B100" s="38" t="s">
        <v>29</v>
      </c>
      <c r="C100" s="91">
        <f>K97</f>
        <v>2757120</v>
      </c>
      <c r="F100" s="5"/>
      <c r="G100" s="5"/>
      <c r="H100" s="5"/>
      <c r="I100" s="120"/>
      <c r="J100" s="122" t="s">
        <v>87</v>
      </c>
      <c r="K100" s="123">
        <f>H93-H94+J92+K92+L92</f>
        <v>3780554</v>
      </c>
      <c r="L100" s="121"/>
    </row>
    <row r="101" spans="1:12" x14ac:dyDescent="0.25">
      <c r="A101" s="90"/>
      <c r="B101" s="38" t="s">
        <v>65</v>
      </c>
      <c r="C101" s="91">
        <f>H93</f>
        <v>5332635</v>
      </c>
      <c r="F101" s="5"/>
      <c r="G101" s="5"/>
      <c r="H101" s="5"/>
      <c r="I101" s="120"/>
      <c r="J101" s="121"/>
      <c r="K101" s="121"/>
      <c r="L101" s="121"/>
    </row>
    <row r="102" spans="1:12" x14ac:dyDescent="0.25">
      <c r="A102" s="90"/>
      <c r="B102" s="38"/>
      <c r="C102" s="91"/>
      <c r="F102" s="5"/>
      <c r="G102" s="5"/>
      <c r="H102" s="5"/>
      <c r="I102" s="5"/>
      <c r="J102" s="13" t="s">
        <v>89</v>
      </c>
      <c r="K102" s="53">
        <f>H93-H94+I92+K97</f>
        <v>4282322.4800000004</v>
      </c>
    </row>
    <row r="103" spans="1:12" x14ac:dyDescent="0.25">
      <c r="A103" s="29"/>
      <c r="B103" s="92" t="s">
        <v>55</v>
      </c>
      <c r="C103" s="93">
        <f>C99+C100+C101-C98</f>
        <v>4282322.4800000004</v>
      </c>
      <c r="F103" s="5"/>
      <c r="G103" s="5"/>
      <c r="H103" s="5"/>
      <c r="I103" s="5"/>
      <c r="J103" s="10" t="s">
        <v>103</v>
      </c>
      <c r="K103" s="104">
        <f>VLOOKUP(I83,A57:B60,2,0)</f>
        <v>4598852.8000000007</v>
      </c>
    </row>
    <row r="104" spans="1:12" x14ac:dyDescent="0.25">
      <c r="F104" s="5"/>
      <c r="G104" s="5"/>
      <c r="H104" s="5"/>
      <c r="I104" s="5"/>
      <c r="J104" s="5"/>
    </row>
    <row r="105" spans="1:12" x14ac:dyDescent="0.25">
      <c r="D105" s="5"/>
      <c r="E105" s="5"/>
      <c r="F105" s="5"/>
      <c r="G105" s="5"/>
      <c r="H105" s="5"/>
      <c r="I105" s="5"/>
      <c r="J105" s="5"/>
    </row>
    <row r="106" spans="1:12" x14ac:dyDescent="0.25">
      <c r="A106" s="5"/>
      <c r="D106" s="5"/>
      <c r="E106" s="5"/>
      <c r="F106" s="5"/>
      <c r="G106" s="5"/>
      <c r="H106" s="5"/>
      <c r="I106" s="5"/>
      <c r="J106" s="5"/>
    </row>
  </sheetData>
  <dataConsolidate/>
  <phoneticPr fontId="2" type="noConversion"/>
  <conditionalFormatting sqref="B76:G80">
    <cfRule type="iconSet" priority="22">
      <iconSet>
        <cfvo type="percent" val="0"/>
        <cfvo type="percent" val="33"/>
        <cfvo type="percent" val="67"/>
      </iconSet>
    </cfRule>
  </conditionalFormatting>
  <conditionalFormatting sqref="B81:G81">
    <cfRule type="iconSet" priority="21">
      <iconSet iconSet="3Flags">
        <cfvo type="percent" val="0"/>
        <cfvo type="percent" val="33"/>
        <cfvo type="percent" val="67"/>
      </iconSet>
    </cfRule>
  </conditionalFormatting>
  <conditionalFormatting sqref="B86:G90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{B403DE06-EC2F-438B-A510-8F03AA6B1101}</x14:id>
        </ext>
      </extLst>
    </cfRule>
  </conditionalFormatting>
  <conditionalFormatting sqref="K76:K80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M76:M80 Q76:Q80 U76:U80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68:G72">
    <cfRule type="expression" dxfId="0" priority="1">
      <formula>$L$66&gt;1</formula>
    </cfRule>
  </conditionalFormatting>
  <dataValidations count="2">
    <dataValidation type="list" allowBlank="1" showInputMessage="1" showErrorMessage="1" sqref="I83">
      <formula1>"2007,2008,2009,2010"</formula1>
    </dataValidation>
    <dataValidation type="list" allowBlank="1" showInputMessage="1" showErrorMessage="1" sqref="L66">
      <formula1>"1,2"</formula1>
    </dataValidation>
  </dataValidations>
  <pageMargins left="0.75" right="0.75" top="1" bottom="1" header="0.5" footer="0.5"/>
  <pageSetup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03DE06-EC2F-438B-A510-8F03AA6B1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B86:G90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2018-05-12T05:02:10Z</dcterms:created>
  <dcterms:modified xsi:type="dcterms:W3CDTF">2018-05-14T02:28:02Z</dcterms:modified>
</cp:coreProperties>
</file>