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90" windowWidth="15180" windowHeight="11835" activeTab="1"/>
  </bookViews>
  <sheets>
    <sheet name="COMPOSICAO" sheetId="3" r:id="rId1"/>
    <sheet name="DECAIMENTO" sheetId="17" r:id="rId2"/>
    <sheet name="COMPOSICAO IPEN" sheetId="15" r:id="rId3"/>
    <sheet name="Plan3" sheetId="16" r:id="rId4"/>
  </sheets>
  <calcPr calcId="145621"/>
</workbook>
</file>

<file path=xl/calcChain.xml><?xml version="1.0" encoding="utf-8"?>
<calcChain xmlns="http://schemas.openxmlformats.org/spreadsheetml/2006/main">
  <c r="B8" i="3" l="1"/>
  <c r="D5" i="17"/>
  <c r="D6" i="17"/>
  <c r="D7" i="17"/>
  <c r="D8" i="17" s="1"/>
  <c r="D9" i="17" s="1"/>
  <c r="D10" i="17" s="1"/>
  <c r="D11" i="17" s="1"/>
  <c r="D12" i="17" s="1"/>
  <c r="D4" i="17"/>
  <c r="F3" i="17"/>
  <c r="E4" i="17"/>
  <c r="E5" i="17"/>
  <c r="E6" i="17"/>
  <c r="E7" i="17"/>
  <c r="E8" i="17"/>
  <c r="E9" i="17"/>
  <c r="E10" i="17"/>
  <c r="E11" i="17"/>
  <c r="E12" i="17"/>
  <c r="E3" i="17"/>
  <c r="B7" i="17" l="1"/>
  <c r="F11" i="17" l="1"/>
  <c r="F5" i="17"/>
  <c r="B9" i="17"/>
  <c r="F6" i="17"/>
  <c r="F8" i="17"/>
  <c r="F9" i="17"/>
  <c r="F10" i="17"/>
  <c r="F7" i="17"/>
  <c r="F12" i="17"/>
  <c r="F4" i="17"/>
  <c r="M7" i="3" l="1"/>
  <c r="M9" i="3" s="1"/>
  <c r="G13" i="15"/>
  <c r="G12" i="15"/>
  <c r="E8" i="15"/>
  <c r="F23" i="15"/>
  <c r="E3" i="15"/>
  <c r="E7" i="15"/>
  <c r="E29" i="15"/>
  <c r="F2" i="15"/>
  <c r="E22" i="15"/>
  <c r="C5" i="3"/>
  <c r="E9" i="3"/>
  <c r="H9" i="3" s="1"/>
  <c r="E10" i="3"/>
  <c r="G10" i="3" s="1"/>
  <c r="F11" i="3" l="1"/>
  <c r="F4" i="3" s="1"/>
  <c r="E11" i="3"/>
  <c r="G11" i="3"/>
  <c r="H11" i="3"/>
  <c r="I11" i="3" s="1"/>
  <c r="J11" i="3" l="1"/>
  <c r="E25" i="15"/>
  <c r="F14" i="15"/>
  <c r="E23" i="15"/>
  <c r="H4" i="3"/>
  <c r="H5" i="3" s="1"/>
  <c r="E21" i="15"/>
  <c r="E28" i="15" s="1"/>
  <c r="H7" i="3" l="1"/>
  <c r="H8" i="3"/>
  <c r="E26" i="15"/>
  <c r="E27" i="15" s="1"/>
  <c r="E30" i="15"/>
  <c r="E24" i="15"/>
  <c r="I4" i="3" l="1"/>
  <c r="G4" i="3" l="1"/>
  <c r="G5" i="3" s="1"/>
  <c r="F5" i="3"/>
  <c r="E4" i="3"/>
  <c r="E5" i="3" s="1"/>
  <c r="I5" i="3"/>
  <c r="E6" i="3" l="1"/>
  <c r="J6" i="3" s="1"/>
  <c r="E8" i="3"/>
  <c r="E7" i="3"/>
  <c r="F7" i="3"/>
  <c r="F8" i="3"/>
  <c r="G8" i="3"/>
  <c r="G7" i="3"/>
  <c r="J3" i="3"/>
  <c r="I7" i="3"/>
  <c r="I8" i="3"/>
  <c r="J5" i="3"/>
  <c r="J8" i="3" l="1"/>
  <c r="J7" i="3"/>
</calcChain>
</file>

<file path=xl/comments1.xml><?xml version="1.0" encoding="utf-8"?>
<comments xmlns="http://schemas.openxmlformats.org/spreadsheetml/2006/main">
  <authors>
    <author>Daniel de A M. Campolina</author>
  </authors>
  <commentList>
    <comment ref="F14" authorId="0">
      <text>
        <r>
          <rPr>
            <b/>
            <sz val="9"/>
            <color indexed="81"/>
            <rFont val="Tahoma"/>
            <charset val="1"/>
          </rPr>
          <t>devido a isso no final da menos do que 4.8 g/cm3 de U no meat, mesmo tendo escolhido 4.8 como entrada</t>
        </r>
      </text>
    </comment>
    <comment ref="E21" authorId="0">
      <text>
        <r>
          <rPr>
            <b/>
            <sz val="9"/>
            <color indexed="81"/>
            <rFont val="Tahoma"/>
            <charset val="1"/>
          </rPr>
          <t>FRAÇAO DE MASSA DE URANIO NO U3SI2 (12.2G/CM3)</t>
        </r>
      </text>
    </comment>
    <comment ref="E22" authorId="0">
      <text>
        <r>
          <rPr>
            <b/>
            <sz val="9"/>
            <color indexed="81"/>
            <rFont val="Tahoma"/>
            <charset val="1"/>
          </rPr>
          <t>g/cm3 de U no meat (diferente do que entro no input!)</t>
        </r>
      </text>
    </comment>
  </commentList>
</comments>
</file>

<file path=xl/sharedStrings.xml><?xml version="1.0" encoding="utf-8"?>
<sst xmlns="http://schemas.openxmlformats.org/spreadsheetml/2006/main" count="163" uniqueCount="125">
  <si>
    <t>%massa</t>
  </si>
  <si>
    <t>-</t>
  </si>
  <si>
    <t>Tipo de combustível</t>
  </si>
  <si>
    <t>80,50mm x 80,50mm</t>
  </si>
  <si>
    <t>Número de placas combustíveis</t>
  </si>
  <si>
    <t>Dimensões da seção transversal do EC</t>
  </si>
  <si>
    <t>Comprimento ativo</t>
  </si>
  <si>
    <t>615mm</t>
  </si>
  <si>
    <t>Largura ativa</t>
  </si>
  <si>
    <t>65mm</t>
  </si>
  <si>
    <t>Espessura da placa combustível</t>
  </si>
  <si>
    <t>COMBUSTÍVEL NUCLEAR</t>
  </si>
  <si>
    <t>ELEMENTO COMBUSTÍVEL (EC)</t>
  </si>
  <si>
    <t>PÓ DE U3Si2</t>
  </si>
  <si>
    <t>Densidade do U3Si2</t>
  </si>
  <si>
    <t>dispersão de U3Si2 em matriz de Al</t>
  </si>
  <si>
    <t>REVESTIMENTO (cladding)</t>
  </si>
  <si>
    <t>Material do revestimento</t>
  </si>
  <si>
    <t>Densidade do Al</t>
  </si>
  <si>
    <t>U234</t>
  </si>
  <si>
    <t>Densidade do aço borado</t>
  </si>
  <si>
    <t>g/cm3</t>
  </si>
  <si>
    <t>1,35mm (placas internas)</t>
  </si>
  <si>
    <t>1,50 (placas externas)</t>
  </si>
  <si>
    <r>
      <t xml:space="preserve">Espessura do </t>
    </r>
    <r>
      <rPr>
        <i/>
        <sz val="10"/>
        <color theme="1"/>
        <rFont val="Times New Roman"/>
        <family val="1"/>
      </rPr>
      <t>meat</t>
    </r>
    <r>
      <rPr>
        <sz val="10"/>
        <color theme="1"/>
        <rFont val="Times New Roman"/>
        <family val="1"/>
      </rPr>
      <t xml:space="preserve"> combustível</t>
    </r>
  </si>
  <si>
    <t>0,61mm</t>
  </si>
  <si>
    <t>NÚCLEO ATIVO (meat)</t>
  </si>
  <si>
    <r>
      <t>12,2 g/cm</t>
    </r>
    <r>
      <rPr>
        <vertAlign val="superscript"/>
        <sz val="10"/>
        <color theme="1"/>
        <rFont val="Times New Roman"/>
        <family val="1"/>
      </rPr>
      <t>3</t>
    </r>
  </si>
  <si>
    <t>Composição isotópica</t>
  </si>
  <si>
    <t>(teor do isótopo U235 no pó)</t>
  </si>
  <si>
    <t>liga de Al (6061)</t>
  </si>
  <si>
    <r>
      <t>2,699 g/cm</t>
    </r>
    <r>
      <rPr>
        <vertAlign val="superscript"/>
        <sz val="10"/>
        <color theme="1"/>
        <rFont val="Times New Roman"/>
        <family val="1"/>
      </rPr>
      <t>3</t>
    </r>
  </si>
  <si>
    <t>PLACAS DE AÇO BORADO</t>
  </si>
  <si>
    <r>
      <t>7,647g/cm</t>
    </r>
    <r>
      <rPr>
        <vertAlign val="superscript"/>
        <sz val="10"/>
        <color theme="1"/>
        <rFont val="Times New Roman"/>
        <family val="1"/>
      </rPr>
      <t>3</t>
    </r>
  </si>
  <si>
    <t>Espessura da placa</t>
  </si>
  <si>
    <t>2,5mm</t>
  </si>
  <si>
    <t>PLACAS DE CÁDMIO</t>
  </si>
  <si>
    <t>Densidade do Cádmio</t>
  </si>
  <si>
    <r>
      <t>8,64g/cm</t>
    </r>
    <r>
      <rPr>
        <vertAlign val="superscript"/>
        <sz val="10"/>
        <color theme="1"/>
        <rFont val="Times New Roman"/>
        <family val="1"/>
      </rPr>
      <t>3</t>
    </r>
  </si>
  <si>
    <t>Espessura da  placa</t>
  </si>
  <si>
    <t>AÇO INOXIDÁVEL (SS304L)</t>
  </si>
  <si>
    <t>Densidade do aço</t>
  </si>
  <si>
    <r>
      <t>7,9g/cm</t>
    </r>
    <r>
      <rPr>
        <vertAlign val="superscript"/>
        <sz val="10"/>
        <color theme="1"/>
        <rFont val="Times New Roman"/>
        <family val="1"/>
      </rPr>
      <t>3</t>
    </r>
  </si>
  <si>
    <t>U-234</t>
  </si>
  <si>
    <t>U-238</t>
  </si>
  <si>
    <t>Si</t>
  </si>
  <si>
    <t>Al</t>
  </si>
  <si>
    <t>Elemento</t>
  </si>
  <si>
    <t>Peso Atômico</t>
  </si>
  <si>
    <t>(g)</t>
  </si>
  <si>
    <t>Densidade</t>
  </si>
  <si>
    <t>O</t>
  </si>
  <si>
    <t>H</t>
  </si>
  <si>
    <t>Ag-nat.</t>
  </si>
  <si>
    <t>In-nat.</t>
  </si>
  <si>
    <t>Cd-nat.</t>
  </si>
  <si>
    <t>Be</t>
  </si>
  <si>
    <r>
      <t>Abundância</t>
    </r>
    <r>
      <rPr>
        <b/>
        <vertAlign val="superscript"/>
        <sz val="10"/>
        <rFont val="Arial"/>
        <family val="2"/>
      </rPr>
      <t>*</t>
    </r>
  </si>
  <si>
    <r>
      <t>(g/cm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</si>
  <si>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235</t>
    </r>
    <r>
      <rPr>
        <sz val="10"/>
        <rFont val="Arial"/>
        <family val="2"/>
      </rPr>
      <t>U</t>
    </r>
  </si>
  <si>
    <r>
      <t>238</t>
    </r>
    <r>
      <rPr>
        <sz val="10"/>
        <rFont val="Arial"/>
        <family val="2"/>
      </rPr>
      <t>U</t>
    </r>
  </si>
  <si>
    <r>
      <t>107</t>
    </r>
    <r>
      <rPr>
        <sz val="10"/>
        <rFont val="Arial"/>
        <family val="2"/>
      </rPr>
      <t>Ag</t>
    </r>
  </si>
  <si>
    <r>
      <t>109</t>
    </r>
    <r>
      <rPr>
        <sz val="10"/>
        <rFont val="Arial"/>
        <family val="2"/>
      </rPr>
      <t>Ag</t>
    </r>
  </si>
  <si>
    <r>
      <t>113</t>
    </r>
    <r>
      <rPr>
        <sz val="10"/>
        <rFont val="Arial"/>
        <family val="2"/>
      </rPr>
      <t>In</t>
    </r>
  </si>
  <si>
    <r>
      <t>115</t>
    </r>
    <r>
      <rPr>
        <sz val="10"/>
        <rFont val="Arial"/>
        <family val="2"/>
      </rPr>
      <t>In</t>
    </r>
  </si>
  <si>
    <r>
      <t>g/cm</t>
    </r>
    <r>
      <rPr>
        <b/>
        <vertAlign val="superscript"/>
        <sz val="10"/>
        <rFont val="Arial"/>
        <family val="2"/>
      </rPr>
      <t>3</t>
    </r>
  </si>
  <si>
    <t>Nova composição revisao Edson Fev2012</t>
  </si>
  <si>
    <t>U-235
20%</t>
  </si>
  <si>
    <t>* Pior caso conforme documento geraçao seçao de choque</t>
  </si>
  <si>
    <t xml:space="preserve">(*): elementos naturais.
</t>
  </si>
  <si>
    <t>Meat</t>
  </si>
  <si>
    <t>Urânio</t>
  </si>
  <si>
    <t>Teor Si*</t>
  </si>
  <si>
    <t>&lt;N</t>
  </si>
  <si>
    <t>FU</t>
  </si>
  <si>
    <t>DUEF</t>
  </si>
  <si>
    <t>E24</t>
  </si>
  <si>
    <t>C234</t>
  </si>
  <si>
    <t>C235</t>
  </si>
  <si>
    <t>C238</t>
  </si>
  <si>
    <t>CSI</t>
  </si>
  <si>
    <t>CAL</t>
  </si>
  <si>
    <t>CALH</t>
  </si>
  <si>
    <t>XMU</t>
  </si>
  <si>
    <t>CONCENTRACAO</t>
  </si>
  <si>
    <t>ENRIQUECIMENTO</t>
  </si>
  <si>
    <t>% Aluminio</t>
  </si>
  <si>
    <t>Avogrado</t>
  </si>
  <si>
    <t>Densidade do Al (g/cm3)</t>
  </si>
  <si>
    <t>Teor de Si</t>
  </si>
  <si>
    <t>Densidade do meat</t>
  </si>
  <si>
    <t>Largura Ativa</t>
  </si>
  <si>
    <t>?</t>
  </si>
  <si>
    <t>Peso atomico Si</t>
  </si>
  <si>
    <t>Peso atomico U234</t>
  </si>
  <si>
    <t>Peso atomico U235</t>
  </si>
  <si>
    <t>Peso atomico U238</t>
  </si>
  <si>
    <t>Peso atomicoAl</t>
  </si>
  <si>
    <t>átomos
/barn.cm</t>
  </si>
  <si>
    <t>%peso Al</t>
  </si>
  <si>
    <t>Gramas</t>
  </si>
  <si>
    <t>Espessura meat</t>
  </si>
  <si>
    <t>Numero de EC</t>
  </si>
  <si>
    <t>Volume ativo 1 EC</t>
  </si>
  <si>
    <t>cm3</t>
  </si>
  <si>
    <t>Total</t>
  </si>
  <si>
    <t>Volume total</t>
  </si>
  <si>
    <t>g</t>
  </si>
  <si>
    <t xml:space="preserve">g </t>
  </si>
  <si>
    <t xml:space="preserve">cm </t>
  </si>
  <si>
    <t>cm</t>
  </si>
  <si>
    <t>1EC</t>
  </si>
  <si>
    <t>MTU</t>
  </si>
  <si>
    <t>Decaimento origenarp</t>
  </si>
  <si>
    <t>Dias</t>
  </si>
  <si>
    <t>Burnup
(MWd/ton)</t>
  </si>
  <si>
    <t>Passo (dias)</t>
  </si>
  <si>
    <t>Massa de Metal pesado (Ton)</t>
  </si>
  <si>
    <t>Burnup target (MWd/ton)</t>
  </si>
  <si>
    <t>Potencia linear (W/cm)</t>
  </si>
  <si>
    <t>Potencia  (MW)</t>
  </si>
  <si>
    <t>Altura das 3 varetas (cm)</t>
  </si>
  <si>
    <t>Total irradiação (dias)</t>
  </si>
  <si>
    <t>Potência
21 EC  (MW)</t>
  </si>
  <si>
    <t xml:space="preserve"> 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</si>
</sst>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E+00"/>
    <numFmt numFmtId="165" formatCode="0.0%"/>
    <numFmt numFmtId="166" formatCode="0.000%"/>
    <numFmt numFmtId="167" formatCode="0.00000E+00"/>
    <numFmt numFmtId="168" formatCode="0.0"/>
    <numFmt numFmtId="178" formatCode="0.000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vertAlign val="superscript"/>
      <sz val="10"/>
      <color theme="1"/>
      <name val="Times New Roman"/>
      <family val="1"/>
    </font>
    <font>
      <b/>
      <sz val="10"/>
      <color rgb="FFFF0000"/>
      <name val="Arial"/>
      <family val="2"/>
    </font>
    <font>
      <vertAlign val="superscript"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</font>
    <font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b/>
      <sz val="10"/>
      <color theme="3" tint="0.39997558519241921"/>
      <name val="Arial"/>
      <family val="2"/>
    </font>
    <font>
      <b/>
      <sz val="10"/>
      <color theme="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9" fontId="14" fillId="0" borderId="0" applyFont="0" applyFill="0" applyBorder="0" applyAlignment="0" applyProtection="0"/>
    <xf numFmtId="0" fontId="2" fillId="0" borderId="0"/>
  </cellStyleXfs>
  <cellXfs count="163">
    <xf numFmtId="0" fontId="0" fillId="0" borderId="0" xfId="0"/>
    <xf numFmtId="0" fontId="6" fillId="0" borderId="0" xfId="0" applyFont="1"/>
    <xf numFmtId="0" fontId="7" fillId="3" borderId="1" xfId="0" applyFont="1" applyFill="1" applyBorder="1" applyAlignment="1">
      <alignment horizontal="left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left" vertical="center" wrapText="1"/>
    </xf>
    <xf numFmtId="0" fontId="0" fillId="3" borderId="6" xfId="0" applyFill="1" applyBorder="1" applyAlignment="1">
      <alignment horizontal="center" vertical="center"/>
    </xf>
    <xf numFmtId="0" fontId="8" fillId="3" borderId="6" xfId="0" applyFont="1" applyFill="1" applyBorder="1" applyAlignment="1">
      <alignment vertical="center"/>
    </xf>
    <xf numFmtId="0" fontId="8" fillId="3" borderId="4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 vertical="center"/>
    </xf>
    <xf numFmtId="0" fontId="6" fillId="0" borderId="0" xfId="0" applyFont="1" applyAlignment="1">
      <alignment vertical="top" wrapText="1"/>
    </xf>
    <xf numFmtId="10" fontId="6" fillId="0" borderId="0" xfId="0" applyNumberFormat="1" applyFont="1" applyBorder="1"/>
    <xf numFmtId="0" fontId="5" fillId="0" borderId="5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12" fillId="0" borderId="24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6" fillId="0" borderId="24" xfId="0" applyFont="1" applyBorder="1" applyAlignment="1">
      <alignment horizontal="center" wrapText="1"/>
    </xf>
    <xf numFmtId="0" fontId="6" fillId="0" borderId="24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0" fontId="6" fillId="4" borderId="7" xfId="0" applyFont="1" applyFill="1" applyBorder="1" applyAlignment="1">
      <alignment horizontal="center" wrapText="1"/>
    </xf>
    <xf numFmtId="0" fontId="6" fillId="6" borderId="7" xfId="0" applyFont="1" applyFill="1" applyBorder="1" applyAlignment="1">
      <alignment horizontal="center" vertical="top" wrapText="1"/>
    </xf>
    <xf numFmtId="0" fontId="6" fillId="6" borderId="7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1" fontId="6" fillId="0" borderId="0" xfId="0" applyNumberFormat="1" applyFont="1"/>
    <xf numFmtId="10" fontId="6" fillId="0" borderId="0" xfId="0" applyNumberFormat="1" applyFont="1"/>
    <xf numFmtId="10" fontId="6" fillId="0" borderId="0" xfId="0" applyNumberFormat="1" applyFont="1" applyAlignment="1">
      <alignment horizontal="center" vertical="center"/>
    </xf>
    <xf numFmtId="11" fontId="6" fillId="0" borderId="0" xfId="0" applyNumberFormat="1" applyFont="1" applyAlignment="1">
      <alignment horizontal="center" vertical="center"/>
    </xf>
    <xf numFmtId="10" fontId="6" fillId="0" borderId="19" xfId="0" applyNumberFormat="1" applyFont="1" applyBorder="1" applyAlignment="1">
      <alignment horizontal="center" vertical="center"/>
    </xf>
    <xf numFmtId="10" fontId="6" fillId="0" borderId="26" xfId="0" applyNumberFormat="1" applyFont="1" applyBorder="1"/>
    <xf numFmtId="10" fontId="6" fillId="0" borderId="27" xfId="0" applyNumberFormat="1" applyFont="1" applyBorder="1" applyAlignment="1">
      <alignment horizontal="center" vertical="center"/>
    </xf>
    <xf numFmtId="10" fontId="6" fillId="0" borderId="28" xfId="0" applyNumberFormat="1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5" fillId="0" borderId="22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/>
    </xf>
    <xf numFmtId="10" fontId="6" fillId="0" borderId="0" xfId="0" applyNumberFormat="1" applyFont="1" applyBorder="1" applyAlignment="1">
      <alignment horizontal="center" vertical="center"/>
    </xf>
    <xf numFmtId="0" fontId="0" fillId="0" borderId="0" xfId="0" applyBorder="1" applyAlignment="1"/>
    <xf numFmtId="0" fontId="6" fillId="0" borderId="0" xfId="0" applyFont="1" applyBorder="1" applyAlignment="1">
      <alignment horizontal="center" vertical="center"/>
    </xf>
    <xf numFmtId="10" fontId="6" fillId="0" borderId="29" xfId="0" applyNumberFormat="1" applyFont="1" applyBorder="1" applyAlignment="1">
      <alignment horizontal="center" vertical="center"/>
    </xf>
    <xf numFmtId="164" fontId="6" fillId="6" borderId="14" xfId="0" applyNumberFormat="1" applyFont="1" applyFill="1" applyBorder="1" applyAlignment="1">
      <alignment horizontal="center" vertical="center" wrapText="1"/>
    </xf>
    <xf numFmtId="164" fontId="6" fillId="6" borderId="11" xfId="0" applyNumberFormat="1" applyFont="1" applyFill="1" applyBorder="1" applyAlignment="1">
      <alignment horizontal="center" vertical="center" wrapText="1"/>
    </xf>
    <xf numFmtId="10" fontId="6" fillId="0" borderId="14" xfId="0" applyNumberFormat="1" applyFont="1" applyBorder="1" applyAlignment="1">
      <alignment horizontal="center" vertical="center"/>
    </xf>
    <xf numFmtId="10" fontId="6" fillId="0" borderId="11" xfId="0" applyNumberFormat="1" applyFont="1" applyBorder="1" applyAlignment="1">
      <alignment horizontal="center" vertical="center"/>
    </xf>
    <xf numFmtId="10" fontId="6" fillId="0" borderId="30" xfId="0" applyNumberFormat="1" applyFont="1" applyBorder="1" applyAlignment="1">
      <alignment horizontal="center" vertical="center"/>
    </xf>
    <xf numFmtId="165" fontId="6" fillId="0" borderId="0" xfId="0" applyNumberFormat="1" applyFont="1"/>
    <xf numFmtId="0" fontId="8" fillId="3" borderId="3" xfId="0" applyFont="1" applyFill="1" applyBorder="1" applyAlignment="1">
      <alignment horizontal="left" vertical="center"/>
    </xf>
    <xf numFmtId="0" fontId="5" fillId="0" borderId="9" xfId="0" applyFont="1" applyBorder="1" applyAlignment="1">
      <alignment horizontal="center" vertical="center" wrapText="1"/>
    </xf>
    <xf numFmtId="10" fontId="5" fillId="0" borderId="8" xfId="0" applyNumberFormat="1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2" fontId="6" fillId="3" borderId="32" xfId="0" applyNumberFormat="1" applyFont="1" applyFill="1" applyBorder="1" applyAlignment="1">
      <alignment horizontal="center" vertical="center" wrapText="1"/>
    </xf>
    <xf numFmtId="2" fontId="6" fillId="3" borderId="25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0" xfId="0" applyFont="1" applyBorder="1" applyAlignment="1">
      <alignment vertical="center" wrapText="1"/>
    </xf>
    <xf numFmtId="0" fontId="5" fillId="0" borderId="22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10" fontId="5" fillId="0" borderId="0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66" fontId="15" fillId="0" borderId="0" xfId="2" applyNumberFormat="1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1" fillId="0" borderId="0" xfId="0" applyFon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2" borderId="13" xfId="0" applyNumberFormat="1" applyFill="1" applyBorder="1" applyAlignment="1">
      <alignment horizontal="center" vertical="center"/>
    </xf>
    <xf numFmtId="167" fontId="0" fillId="2" borderId="9" xfId="0" applyNumberForma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9" fontId="0" fillId="0" borderId="9" xfId="2" applyFont="1" applyBorder="1" applyAlignment="1">
      <alignment horizontal="center" vertical="center"/>
    </xf>
    <xf numFmtId="167" fontId="0" fillId="0" borderId="9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6" fontId="0" fillId="0" borderId="14" xfId="2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1" fontId="0" fillId="2" borderId="17" xfId="0" applyNumberFormat="1" applyFill="1" applyBorder="1" applyAlignment="1">
      <alignment horizontal="center" vertical="center"/>
    </xf>
    <xf numFmtId="167" fontId="0" fillId="2" borderId="0" xfId="0" applyNumberForma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9" fontId="0" fillId="0" borderId="0" xfId="2" applyFont="1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1" fontId="0" fillId="2" borderId="15" xfId="0" applyNumberFormat="1" applyFill="1" applyBorder="1" applyAlignment="1">
      <alignment horizontal="center" vertical="center"/>
    </xf>
    <xf numFmtId="167" fontId="0" fillId="2" borderId="8" xfId="0" applyNumberFormat="1" applyFill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9" fontId="0" fillId="0" borderId="8" xfId="2" applyFont="1" applyBorder="1" applyAlignment="1">
      <alignment horizontal="center" vertical="center"/>
    </xf>
    <xf numFmtId="167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1" fontId="0" fillId="2" borderId="0" xfId="0" applyNumberFormat="1" applyFill="1" applyAlignment="1">
      <alignment horizontal="center" vertical="center"/>
    </xf>
    <xf numFmtId="167" fontId="0" fillId="2" borderId="0" xfId="0" applyNumberFormat="1" applyFill="1" applyAlignment="1">
      <alignment horizontal="center" vertical="center"/>
    </xf>
    <xf numFmtId="9" fontId="0" fillId="0" borderId="0" xfId="2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8" fontId="0" fillId="0" borderId="3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8" fontId="0" fillId="0" borderId="4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0" borderId="21" xfId="0" applyFont="1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6" fillId="0" borderId="21" xfId="0" applyFont="1" applyFill="1" applyBorder="1" applyAlignment="1">
      <alignment horizontal="left" vertical="center"/>
    </xf>
    <xf numFmtId="2" fontId="6" fillId="3" borderId="23" xfId="0" applyNumberFormat="1" applyFont="1" applyFill="1" applyBorder="1" applyAlignment="1">
      <alignment horizontal="center" vertical="center" wrapText="1"/>
    </xf>
    <xf numFmtId="2" fontId="6" fillId="3" borderId="1" xfId="0" applyNumberFormat="1" applyFont="1" applyFill="1" applyBorder="1" applyAlignment="1">
      <alignment horizontal="center" vertical="center" wrapText="1"/>
    </xf>
    <xf numFmtId="2" fontId="6" fillId="3" borderId="2" xfId="0" applyNumberFormat="1" applyFont="1" applyFill="1" applyBorder="1" applyAlignment="1">
      <alignment horizontal="center" vertical="center" wrapText="1"/>
    </xf>
    <xf numFmtId="2" fontId="6" fillId="3" borderId="5" xfId="0" applyNumberFormat="1" applyFont="1" applyFill="1" applyBorder="1" applyAlignment="1">
      <alignment horizontal="center" vertical="center" wrapText="1"/>
    </xf>
    <xf numFmtId="10" fontId="18" fillId="0" borderId="0" xfId="0" applyNumberFormat="1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16" fillId="7" borderId="0" xfId="3" applyFont="1" applyFill="1" applyAlignment="1">
      <alignment horizontal="center" vertical="center"/>
    </xf>
    <xf numFmtId="0" fontId="2" fillId="7" borderId="0" xfId="3" applyFill="1" applyAlignment="1">
      <alignment horizontal="center" vertical="center"/>
    </xf>
    <xf numFmtId="0" fontId="2" fillId="0" borderId="0" xfId="3" applyAlignment="1">
      <alignment horizontal="center" vertical="center"/>
    </xf>
    <xf numFmtId="0" fontId="2" fillId="0" borderId="0" xfId="3" applyAlignment="1">
      <alignment horizontal="center" vertical="center" wrapText="1"/>
    </xf>
    <xf numFmtId="0" fontId="2" fillId="7" borderId="0" xfId="3" applyFill="1"/>
    <xf numFmtId="168" fontId="2" fillId="7" borderId="0" xfId="3" applyNumberFormat="1" applyFill="1" applyAlignment="1">
      <alignment horizontal="center" vertical="center"/>
    </xf>
    <xf numFmtId="168" fontId="2" fillId="0" borderId="0" xfId="3" applyNumberFormat="1" applyAlignment="1">
      <alignment horizontal="center" vertical="center"/>
    </xf>
    <xf numFmtId="0" fontId="2" fillId="0" borderId="0" xfId="3"/>
    <xf numFmtId="11" fontId="2" fillId="8" borderId="0" xfId="3" applyNumberFormat="1" applyFill="1" applyAlignment="1">
      <alignment horizontal="center" vertical="center"/>
    </xf>
    <xf numFmtId="0" fontId="16" fillId="7" borderId="0" xfId="3" applyFont="1" applyFill="1"/>
    <xf numFmtId="168" fontId="16" fillId="7" borderId="0" xfId="3" applyNumberFormat="1" applyFont="1" applyFill="1" applyAlignment="1">
      <alignment horizontal="center" vertical="center"/>
    </xf>
    <xf numFmtId="0" fontId="16" fillId="8" borderId="0" xfId="3" applyFont="1" applyFill="1" applyAlignment="1">
      <alignment horizontal="center"/>
    </xf>
    <xf numFmtId="0" fontId="2" fillId="8" borderId="0" xfId="3" applyFill="1" applyAlignment="1">
      <alignment horizontal="center" vertical="center"/>
    </xf>
    <xf numFmtId="0" fontId="2" fillId="8" borderId="0" xfId="3" applyFill="1"/>
    <xf numFmtId="168" fontId="2" fillId="8" borderId="0" xfId="3" applyNumberFormat="1" applyFill="1" applyAlignment="1">
      <alignment horizontal="center" vertical="center"/>
    </xf>
    <xf numFmtId="0" fontId="16" fillId="8" borderId="0" xfId="3" applyFont="1" applyFill="1"/>
    <xf numFmtId="168" fontId="16" fillId="8" borderId="0" xfId="3" applyNumberFormat="1" applyFont="1" applyFill="1" applyAlignment="1">
      <alignment horizontal="center" vertical="center"/>
    </xf>
    <xf numFmtId="10" fontId="6" fillId="0" borderId="15" xfId="0" applyNumberFormat="1" applyFont="1" applyBorder="1" applyAlignment="1">
      <alignment horizontal="center" vertical="center"/>
    </xf>
    <xf numFmtId="10" fontId="6" fillId="0" borderId="8" xfId="0" applyNumberFormat="1" applyFont="1" applyBorder="1" applyAlignment="1">
      <alignment horizontal="center" vertical="center"/>
    </xf>
    <xf numFmtId="10" fontId="6" fillId="0" borderId="16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vertical="top" wrapText="1"/>
    </xf>
    <xf numFmtId="0" fontId="6" fillId="0" borderId="0" xfId="0" applyFont="1" applyFill="1" applyBorder="1" applyAlignment="1">
      <alignment horizontal="left" vertical="center" wrapText="1"/>
    </xf>
    <xf numFmtId="2" fontId="6" fillId="3" borderId="34" xfId="0" applyNumberFormat="1" applyFont="1" applyFill="1" applyBorder="1" applyAlignment="1">
      <alignment horizontal="center" vertical="center" wrapText="1"/>
    </xf>
    <xf numFmtId="2" fontId="6" fillId="3" borderId="2" xfId="0" applyNumberFormat="1" applyFont="1" applyFill="1" applyBorder="1" applyAlignment="1">
      <alignment horizontal="center" vertical="center" wrapText="1"/>
    </xf>
    <xf numFmtId="2" fontId="6" fillId="3" borderId="5" xfId="0" applyNumberFormat="1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left" vertical="center"/>
    </xf>
    <xf numFmtId="9" fontId="8" fillId="3" borderId="6" xfId="0" applyNumberFormat="1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 wrapText="1"/>
    </xf>
    <xf numFmtId="0" fontId="5" fillId="0" borderId="24" xfId="0" applyFont="1" applyBorder="1" applyAlignment="1">
      <alignment horizont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1" fillId="0" borderId="0" xfId="3" applyFont="1" applyAlignment="1">
      <alignment horizontal="center" vertical="center" wrapText="1"/>
    </xf>
    <xf numFmtId="178" fontId="2" fillId="0" borderId="0" xfId="3" applyNumberFormat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0" fillId="2" borderId="21" xfId="0" applyFill="1" applyBorder="1" applyAlignment="1">
      <alignment horizontal="left" vertical="center"/>
    </xf>
    <xf numFmtId="168" fontId="18" fillId="3" borderId="33" xfId="0" applyNumberFormat="1" applyFont="1" applyFill="1" applyBorder="1" applyAlignment="1">
      <alignment horizontal="center" vertical="center" wrapText="1"/>
    </xf>
    <xf numFmtId="168" fontId="18" fillId="3" borderId="32" xfId="0" applyNumberFormat="1" applyFont="1" applyFill="1" applyBorder="1" applyAlignment="1">
      <alignment horizontal="center" vertical="center" wrapText="1"/>
    </xf>
    <xf numFmtId="168" fontId="18" fillId="3" borderId="25" xfId="0" applyNumberFormat="1" applyFont="1" applyFill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3" xfId="3"/>
    <cellStyle name="Porcentagem" xfId="2" builtinId="5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104775</xdr:colOff>
          <xdr:row>9</xdr:row>
          <xdr:rowOff>152400</xdr:rowOff>
        </xdr:from>
        <xdr:to>
          <xdr:col>13</xdr:col>
          <xdr:colOff>447675</xdr:colOff>
          <xdr:row>13</xdr:row>
          <xdr:rowOff>47625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409575</xdr:colOff>
          <xdr:row>40</xdr:row>
          <xdr:rowOff>66675</xdr:rowOff>
        </xdr:from>
        <xdr:to>
          <xdr:col>10</xdr:col>
          <xdr:colOff>257175</xdr:colOff>
          <xdr:row>43</xdr:row>
          <xdr:rowOff>161925</xdr:rowOff>
        </xdr:to>
        <xdr:sp macro="" textlink="">
          <xdr:nvSpPr>
            <xdr:cNvPr id="14337" name="Object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5"/>
  <sheetViews>
    <sheetView zoomScaleNormal="100" workbookViewId="0">
      <selection activeCell="I25" sqref="H25:I25"/>
    </sheetView>
  </sheetViews>
  <sheetFormatPr defaultRowHeight="12.75" x14ac:dyDescent="0.2"/>
  <cols>
    <col min="1" max="1" width="5.28515625" style="1" customWidth="1"/>
    <col min="2" max="4" width="9.140625" style="1"/>
    <col min="5" max="5" width="12.42578125" style="1" bestFit="1" customWidth="1"/>
    <col min="6" max="6" width="11.42578125" style="1" bestFit="1" customWidth="1"/>
    <col min="7" max="7" width="11.140625" style="1" customWidth="1"/>
    <col min="8" max="8" width="15.85546875" style="1" customWidth="1"/>
    <col min="9" max="9" width="12" style="1" bestFit="1" customWidth="1"/>
    <col min="10" max="10" width="10.85546875" style="1" bestFit="1" customWidth="1"/>
    <col min="11" max="11" width="7.28515625" style="1" customWidth="1"/>
    <col min="12" max="12" width="18.85546875" style="1" customWidth="1"/>
    <col min="13" max="13" width="28.140625" style="1" customWidth="1"/>
    <col min="14" max="16384" width="9.140625" style="1"/>
  </cols>
  <sheetData>
    <row r="1" spans="1:14" s="38" customFormat="1" ht="13.5" thickBot="1" x14ac:dyDescent="0.25">
      <c r="A1" s="1"/>
      <c r="B1" s="1"/>
      <c r="C1" s="1" t="s">
        <v>66</v>
      </c>
      <c r="D1" s="1"/>
      <c r="E1" s="1"/>
      <c r="F1" s="1"/>
      <c r="G1" s="1"/>
      <c r="H1" s="1"/>
      <c r="I1" s="1"/>
      <c r="J1" s="1"/>
      <c r="L1" s="1"/>
      <c r="M1" s="1"/>
      <c r="N1" s="1"/>
    </row>
    <row r="2" spans="1:14" ht="15" thickBot="1" x14ac:dyDescent="0.25">
      <c r="B2" s="60"/>
      <c r="C2" s="61" t="s">
        <v>65</v>
      </c>
      <c r="D2" s="53"/>
      <c r="E2" s="66"/>
      <c r="F2" s="66"/>
      <c r="G2" s="66"/>
      <c r="H2" s="66"/>
      <c r="I2" s="67"/>
      <c r="J2" s="1" t="s">
        <v>99</v>
      </c>
    </row>
    <row r="3" spans="1:14" ht="26.25" thickBot="1" x14ac:dyDescent="0.25">
      <c r="B3" s="62" t="s">
        <v>71</v>
      </c>
      <c r="C3" s="63">
        <v>4.8</v>
      </c>
      <c r="D3" s="40"/>
      <c r="E3" s="39" t="s">
        <v>43</v>
      </c>
      <c r="F3" s="26" t="s">
        <v>67</v>
      </c>
      <c r="G3" s="25" t="s">
        <v>44</v>
      </c>
      <c r="H3" s="25" t="s">
        <v>45</v>
      </c>
      <c r="I3" s="25" t="s">
        <v>46</v>
      </c>
      <c r="J3" s="33">
        <f>I5/SUM(E5:I5)</f>
        <v>0.20330826244021705</v>
      </c>
      <c r="L3" s="114" t="s">
        <v>102</v>
      </c>
      <c r="M3" s="159">
        <v>21</v>
      </c>
      <c r="N3" s="115"/>
    </row>
    <row r="4" spans="1:14" ht="26.25" thickBot="1" x14ac:dyDescent="0.25">
      <c r="B4" s="64" t="s">
        <v>70</v>
      </c>
      <c r="C4" s="65">
        <v>6.5</v>
      </c>
      <c r="D4" s="40" t="s">
        <v>98</v>
      </c>
      <c r="E4" s="46">
        <f>$C$4*E11*(0.602214/D36)</f>
        <v>2.4207061020140781E-5</v>
      </c>
      <c r="F4" s="47">
        <f>$C$4*F11*(0.602214/D21)</f>
        <v>2.4289031623454171E-3</v>
      </c>
      <c r="G4" s="47">
        <f>$C$4*G11*(0.602214/D22)</f>
        <v>9.7208784244896089E-3</v>
      </c>
      <c r="H4" s="47">
        <f>$C$4*H11*(0.602214/D34)</f>
        <v>8.1156365192044666E-3</v>
      </c>
      <c r="I4" s="47">
        <f>$C$4*I11*(0.602214/D33)</f>
        <v>2.9495322080745092E-2</v>
      </c>
      <c r="J4" s="1" t="s">
        <v>73</v>
      </c>
      <c r="L4" s="114" t="s">
        <v>91</v>
      </c>
      <c r="M4" s="115">
        <v>6.5</v>
      </c>
      <c r="N4" s="115" t="s">
        <v>110</v>
      </c>
    </row>
    <row r="5" spans="1:14" ht="15" thickBot="1" x14ac:dyDescent="0.25">
      <c r="B5" s="41" t="s">
        <v>72</v>
      </c>
      <c r="C5" s="54">
        <f>1-0.92691</f>
        <v>7.3089999999999988E-2</v>
      </c>
      <c r="D5" s="57" t="s">
        <v>65</v>
      </c>
      <c r="E5" s="58">
        <f>(E4*D36)/0.602214</f>
        <v>9.407689538118786E-3</v>
      </c>
      <c r="F5" s="58">
        <f>(F4*D21)/0.602214</f>
        <v>0.94799999999999995</v>
      </c>
      <c r="G5" s="58">
        <f>(G4*D22)/0.602214</f>
        <v>3.8425923104618809</v>
      </c>
      <c r="H5" s="58">
        <f>(H4*D34)/0.602214</f>
        <v>0.37849629413858965</v>
      </c>
      <c r="I5" s="59">
        <f>(I4*D33)/0.602214</f>
        <v>1.321503705861411</v>
      </c>
      <c r="J5" s="28">
        <f>SUM(E5:I5)</f>
        <v>6.5000000000000009</v>
      </c>
      <c r="L5" s="114" t="s">
        <v>6</v>
      </c>
      <c r="M5" s="115">
        <v>61.5</v>
      </c>
      <c r="N5" s="115" t="s">
        <v>110</v>
      </c>
    </row>
    <row r="6" spans="1:14" ht="15" thickBot="1" x14ac:dyDescent="0.25">
      <c r="B6" s="68"/>
      <c r="C6" s="69"/>
      <c r="D6" s="57" t="s">
        <v>65</v>
      </c>
      <c r="E6" s="146">
        <f>SUM(E5:G5)</f>
        <v>4.8</v>
      </c>
      <c r="F6" s="147"/>
      <c r="G6" s="148"/>
      <c r="H6" s="117"/>
      <c r="I6" s="117"/>
      <c r="J6" s="28">
        <f>SUM(E6:I6)</f>
        <v>4.8</v>
      </c>
      <c r="L6" s="114" t="s">
        <v>101</v>
      </c>
      <c r="M6" s="115">
        <v>6.0999999999999999E-2</v>
      </c>
      <c r="N6" s="115" t="s">
        <v>109</v>
      </c>
    </row>
    <row r="7" spans="1:14" ht="13.5" thickBot="1" x14ac:dyDescent="0.25">
      <c r="B7" s="68"/>
      <c r="C7" s="69" t="s">
        <v>111</v>
      </c>
      <c r="D7" s="70" t="s">
        <v>108</v>
      </c>
      <c r="E7" s="118">
        <f>E5*$M$7</f>
        <v>4.8174873067574833</v>
      </c>
      <c r="F7" s="119">
        <f t="shared" ref="F7:I7" si="0">F5*$M$7</f>
        <v>485.45160299999998</v>
      </c>
      <c r="G7" s="119">
        <f t="shared" si="0"/>
        <v>1967.7137096932422</v>
      </c>
      <c r="H7" s="119">
        <f t="shared" si="0"/>
        <v>193.82028767841544</v>
      </c>
      <c r="I7" s="120">
        <f t="shared" si="0"/>
        <v>676.71528732158481</v>
      </c>
      <c r="J7" s="28">
        <f>SUM(E7:I7)</f>
        <v>3328.5183749999997</v>
      </c>
      <c r="L7" s="114" t="s">
        <v>103</v>
      </c>
      <c r="M7" s="115">
        <f>M4*M5*M6*21</f>
        <v>512.07974999999999</v>
      </c>
      <c r="N7" s="115" t="s">
        <v>104</v>
      </c>
    </row>
    <row r="8" spans="1:14" ht="13.5" thickBot="1" x14ac:dyDescent="0.25">
      <c r="B8" s="158">
        <f>M3</f>
        <v>21</v>
      </c>
      <c r="C8" s="121" t="s">
        <v>124</v>
      </c>
      <c r="D8" s="122" t="s">
        <v>107</v>
      </c>
      <c r="E8" s="160">
        <f>E5*$M$9</f>
        <v>101.16723344190716</v>
      </c>
      <c r="F8" s="161">
        <f t="shared" ref="F8:I8" si="1">F5*$M$9</f>
        <v>10194.483662999999</v>
      </c>
      <c r="G8" s="161">
        <f t="shared" si="1"/>
        <v>41321.987903558089</v>
      </c>
      <c r="H8" s="161">
        <f t="shared" si="1"/>
        <v>4070.2260412467244</v>
      </c>
      <c r="I8" s="162">
        <f t="shared" si="1"/>
        <v>14211.021033753283</v>
      </c>
      <c r="J8" s="28">
        <f>SUM(E8:I8)</f>
        <v>69898.885874999993</v>
      </c>
      <c r="L8" s="114"/>
      <c r="M8" s="115"/>
      <c r="N8" s="115"/>
    </row>
    <row r="9" spans="1:14" x14ac:dyDescent="0.2">
      <c r="C9" s="153" t="s">
        <v>0</v>
      </c>
      <c r="D9" s="56"/>
      <c r="E9" s="141">
        <f>C3/C4</f>
        <v>0.73846153846153839</v>
      </c>
      <c r="F9" s="142"/>
      <c r="G9" s="143"/>
      <c r="H9" s="141">
        <f>1-E9</f>
        <v>0.26153846153846161</v>
      </c>
      <c r="I9" s="143"/>
      <c r="J9" s="29"/>
      <c r="L9" s="116" t="s">
        <v>106</v>
      </c>
      <c r="M9" s="115">
        <f>M7*M3</f>
        <v>10753.67475</v>
      </c>
      <c r="N9" s="115" t="s">
        <v>104</v>
      </c>
    </row>
    <row r="10" spans="1:14" ht="15" customHeight="1" thickBot="1" x14ac:dyDescent="0.25">
      <c r="C10" s="154"/>
      <c r="D10" s="55"/>
      <c r="E10" s="48">
        <f>0.01*0.007731*(19.75^1.0837)</f>
        <v>1.9599353204414137E-3</v>
      </c>
      <c r="F10" s="49">
        <v>0.19750000000000001</v>
      </c>
      <c r="G10" s="49">
        <f>1-F10-E10</f>
        <v>0.80054006467955863</v>
      </c>
      <c r="H10" s="32"/>
      <c r="I10" s="50"/>
      <c r="J10" s="13"/>
    </row>
    <row r="11" spans="1:14" ht="13.5" thickBot="1" x14ac:dyDescent="0.25">
      <c r="C11" s="155"/>
      <c r="D11" s="55"/>
      <c r="E11" s="45">
        <f>E10*E9</f>
        <v>1.4473368520182745E-3</v>
      </c>
      <c r="F11" s="34">
        <f>F10*E9</f>
        <v>0.14584615384615385</v>
      </c>
      <c r="G11" s="34">
        <f>G10*E9</f>
        <v>0.59116804776336629</v>
      </c>
      <c r="H11" s="34">
        <f>(E9/(1-C5))-E9</f>
        <v>5.8230199098244562E-2</v>
      </c>
      <c r="I11" s="35">
        <f>H9-H11</f>
        <v>0.20330826244021705</v>
      </c>
      <c r="J11" s="33">
        <f>SUM(E11:I11)</f>
        <v>1</v>
      </c>
      <c r="K11" s="30"/>
    </row>
    <row r="12" spans="1:14" x14ac:dyDescent="0.2">
      <c r="C12" s="145" t="s">
        <v>68</v>
      </c>
      <c r="D12" s="145"/>
      <c r="E12" s="145"/>
      <c r="F12" s="145"/>
      <c r="G12" s="145"/>
      <c r="H12" s="145"/>
      <c r="I12" s="145"/>
      <c r="J12" s="145"/>
    </row>
    <row r="13" spans="1:14" x14ac:dyDescent="0.2">
      <c r="C13" s="43"/>
      <c r="D13" s="43"/>
      <c r="E13" s="42"/>
      <c r="F13" s="42"/>
      <c r="G13" s="42"/>
      <c r="H13" s="42"/>
      <c r="I13" s="42"/>
      <c r="J13" s="13"/>
    </row>
    <row r="14" spans="1:14" x14ac:dyDescent="0.2">
      <c r="C14" s="123" t="s">
        <v>112</v>
      </c>
      <c r="D14" s="43"/>
      <c r="E14" s="42"/>
      <c r="F14" s="42"/>
      <c r="G14" s="42"/>
      <c r="H14" s="42"/>
      <c r="I14" s="42"/>
      <c r="J14" s="13"/>
    </row>
    <row r="15" spans="1:14" ht="13.5" thickBot="1" x14ac:dyDescent="0.25">
      <c r="C15" s="43"/>
      <c r="D15" s="43"/>
      <c r="E15" s="42"/>
      <c r="F15" s="42"/>
      <c r="G15" s="42"/>
      <c r="H15" s="42"/>
      <c r="I15" s="42"/>
      <c r="J15" s="13"/>
    </row>
    <row r="16" spans="1:14" x14ac:dyDescent="0.2">
      <c r="C16" s="43"/>
      <c r="D16" s="43"/>
      <c r="E16" s="42"/>
      <c r="F16" s="42"/>
      <c r="G16" s="42"/>
      <c r="H16" s="42"/>
      <c r="I16" s="42"/>
      <c r="J16" s="13"/>
      <c r="L16" s="2" t="s">
        <v>11</v>
      </c>
      <c r="M16" s="3"/>
    </row>
    <row r="17" spans="3:13" x14ac:dyDescent="0.2">
      <c r="C17" s="43"/>
      <c r="D17" s="43"/>
      <c r="E17" s="42"/>
      <c r="F17" s="42"/>
      <c r="G17" s="42"/>
      <c r="H17" s="42"/>
      <c r="I17" s="42"/>
      <c r="J17" s="13"/>
      <c r="L17" s="52" t="s">
        <v>2</v>
      </c>
      <c r="M17" s="4" t="s">
        <v>15</v>
      </c>
    </row>
    <row r="18" spans="3:13" ht="13.5" thickBot="1" x14ac:dyDescent="0.25">
      <c r="L18" s="5" t="s">
        <v>12</v>
      </c>
      <c r="M18" s="4"/>
    </row>
    <row r="19" spans="3:13" ht="25.5" x14ac:dyDescent="0.2">
      <c r="C19" s="151" t="s">
        <v>47</v>
      </c>
      <c r="D19" s="14" t="s">
        <v>48</v>
      </c>
      <c r="E19" s="14" t="s">
        <v>50</v>
      </c>
      <c r="F19" s="151" t="s">
        <v>57</v>
      </c>
      <c r="L19" s="52" t="s">
        <v>5</v>
      </c>
      <c r="M19" s="4" t="s">
        <v>3</v>
      </c>
    </row>
    <row r="20" spans="3:13" ht="15" thickBot="1" x14ac:dyDescent="0.25">
      <c r="C20" s="152"/>
      <c r="D20" s="15" t="s">
        <v>49</v>
      </c>
      <c r="E20" s="15" t="s">
        <v>58</v>
      </c>
      <c r="F20" s="152"/>
      <c r="L20" s="52" t="s">
        <v>4</v>
      </c>
      <c r="M20" s="4">
        <v>21</v>
      </c>
    </row>
    <row r="21" spans="3:13" ht="15" thickBot="1" x14ac:dyDescent="0.25">
      <c r="C21" s="16" t="s">
        <v>59</v>
      </c>
      <c r="D21" s="17">
        <v>235.04390000000001</v>
      </c>
      <c r="E21" s="17" t="s">
        <v>1</v>
      </c>
      <c r="F21" s="24" t="s">
        <v>1</v>
      </c>
      <c r="L21" s="52" t="s">
        <v>6</v>
      </c>
      <c r="M21" s="4" t="s">
        <v>7</v>
      </c>
    </row>
    <row r="22" spans="3:13" ht="15" thickBot="1" x14ac:dyDescent="0.25">
      <c r="C22" s="16" t="s">
        <v>60</v>
      </c>
      <c r="D22" s="17">
        <v>238.05080000000001</v>
      </c>
      <c r="E22" s="17" t="s">
        <v>1</v>
      </c>
      <c r="F22" s="24" t="s">
        <v>1</v>
      </c>
      <c r="L22" s="52" t="s">
        <v>8</v>
      </c>
      <c r="M22" s="4" t="s">
        <v>9</v>
      </c>
    </row>
    <row r="23" spans="3:13" ht="15" customHeight="1" thickBot="1" x14ac:dyDescent="0.25">
      <c r="C23" s="18" t="s">
        <v>51</v>
      </c>
      <c r="D23" s="17">
        <v>15.9994</v>
      </c>
      <c r="E23" s="17" t="s">
        <v>1</v>
      </c>
      <c r="F23" s="17" t="s">
        <v>1</v>
      </c>
      <c r="L23" s="149" t="s">
        <v>10</v>
      </c>
      <c r="M23" s="6" t="s">
        <v>22</v>
      </c>
    </row>
    <row r="24" spans="3:13" ht="13.5" thickBot="1" x14ac:dyDescent="0.25">
      <c r="C24" s="18" t="s">
        <v>52</v>
      </c>
      <c r="D24" s="17">
        <v>1.00979</v>
      </c>
      <c r="E24" s="17" t="s">
        <v>1</v>
      </c>
      <c r="F24" s="17" t="s">
        <v>1</v>
      </c>
      <c r="L24" s="149"/>
      <c r="M24" s="6" t="s">
        <v>23</v>
      </c>
    </row>
    <row r="25" spans="3:13" ht="13.5" thickBot="1" x14ac:dyDescent="0.25">
      <c r="C25" s="18" t="s">
        <v>53</v>
      </c>
      <c r="D25" s="17">
        <v>107.87</v>
      </c>
      <c r="E25" s="17">
        <v>10.49</v>
      </c>
      <c r="F25" s="17" t="s">
        <v>1</v>
      </c>
      <c r="L25" s="52" t="s">
        <v>24</v>
      </c>
      <c r="M25" s="4" t="s">
        <v>25</v>
      </c>
    </row>
    <row r="26" spans="3:13" ht="15" thickBot="1" x14ac:dyDescent="0.25">
      <c r="C26" s="16" t="s">
        <v>61</v>
      </c>
      <c r="D26" s="17">
        <v>106.9051</v>
      </c>
      <c r="E26" s="17" t="s">
        <v>1</v>
      </c>
      <c r="F26" s="21">
        <v>51.83</v>
      </c>
      <c r="L26" s="5" t="s">
        <v>26</v>
      </c>
      <c r="M26" s="4"/>
    </row>
    <row r="27" spans="3:13" ht="16.5" thickBot="1" x14ac:dyDescent="0.25">
      <c r="C27" s="16" t="s">
        <v>62</v>
      </c>
      <c r="D27" s="17">
        <v>108.90479999999999</v>
      </c>
      <c r="E27" s="17" t="s">
        <v>1</v>
      </c>
      <c r="F27" s="21">
        <v>48.17</v>
      </c>
      <c r="L27" s="52" t="s">
        <v>14</v>
      </c>
      <c r="M27" s="4" t="s">
        <v>27</v>
      </c>
    </row>
    <row r="28" spans="3:13" ht="13.5" thickBot="1" x14ac:dyDescent="0.25">
      <c r="C28" s="18" t="s">
        <v>54</v>
      </c>
      <c r="D28" s="17">
        <v>114.82</v>
      </c>
      <c r="E28" s="17">
        <v>7.31</v>
      </c>
      <c r="F28" s="17" t="s">
        <v>1</v>
      </c>
      <c r="L28" s="5" t="s">
        <v>13</v>
      </c>
      <c r="M28" s="4"/>
    </row>
    <row r="29" spans="3:13" ht="15" thickBot="1" x14ac:dyDescent="0.25">
      <c r="C29" s="16" t="s">
        <v>63</v>
      </c>
      <c r="D29" s="17">
        <v>112.9041</v>
      </c>
      <c r="E29" s="17" t="s">
        <v>1</v>
      </c>
      <c r="F29" s="22">
        <v>4.28</v>
      </c>
      <c r="L29" s="7" t="s">
        <v>28</v>
      </c>
      <c r="M29" s="150">
        <v>0.2</v>
      </c>
    </row>
    <row r="30" spans="3:13" ht="12.75" customHeight="1" thickBot="1" x14ac:dyDescent="0.25">
      <c r="C30" s="16" t="s">
        <v>64</v>
      </c>
      <c r="D30" s="17">
        <v>114.90389999999999</v>
      </c>
      <c r="E30" s="17" t="s">
        <v>1</v>
      </c>
      <c r="F30" s="22">
        <v>95.72</v>
      </c>
      <c r="L30" s="7" t="s">
        <v>29</v>
      </c>
      <c r="M30" s="150"/>
    </row>
    <row r="31" spans="3:13" ht="13.5" thickBot="1" x14ac:dyDescent="0.25">
      <c r="C31" s="18" t="s">
        <v>55</v>
      </c>
      <c r="D31" s="17">
        <v>112.4</v>
      </c>
      <c r="E31" s="17">
        <v>8.65</v>
      </c>
      <c r="F31" s="17" t="s">
        <v>1</v>
      </c>
      <c r="L31" s="5" t="s">
        <v>16</v>
      </c>
      <c r="M31" s="4"/>
    </row>
    <row r="32" spans="3:13" ht="13.5" thickBot="1" x14ac:dyDescent="0.25">
      <c r="C32" s="18" t="s">
        <v>56</v>
      </c>
      <c r="D32" s="17">
        <v>9.0122</v>
      </c>
      <c r="E32" s="17">
        <v>1.85</v>
      </c>
      <c r="F32" s="17" t="s">
        <v>1</v>
      </c>
      <c r="L32" s="52" t="s">
        <v>17</v>
      </c>
      <c r="M32" s="4" t="s">
        <v>30</v>
      </c>
    </row>
    <row r="33" spans="3:13" ht="12.75" customHeight="1" thickBot="1" x14ac:dyDescent="0.25">
      <c r="C33" s="19" t="s">
        <v>46</v>
      </c>
      <c r="D33" s="20">
        <v>26.9815</v>
      </c>
      <c r="E33" s="20">
        <v>2.6989999999999998</v>
      </c>
      <c r="F33" s="23"/>
      <c r="L33" s="52" t="s">
        <v>18</v>
      </c>
      <c r="M33" s="4" t="s">
        <v>31</v>
      </c>
    </row>
    <row r="34" spans="3:13" ht="13.5" thickBot="1" x14ac:dyDescent="0.25">
      <c r="C34" s="19" t="s">
        <v>45</v>
      </c>
      <c r="D34" s="20">
        <v>28.085999999999999</v>
      </c>
      <c r="E34" s="20">
        <v>2.33</v>
      </c>
      <c r="F34" s="23" t="s">
        <v>1</v>
      </c>
      <c r="L34" s="5" t="s">
        <v>32</v>
      </c>
      <c r="M34" s="8"/>
    </row>
    <row r="35" spans="3:13" ht="16.5" thickBot="1" x14ac:dyDescent="0.25">
      <c r="C35" s="144" t="s">
        <v>69</v>
      </c>
      <c r="D35" s="144"/>
      <c r="E35" s="144"/>
      <c r="F35" s="144"/>
      <c r="K35" s="51"/>
      <c r="L35" s="52" t="s">
        <v>20</v>
      </c>
      <c r="M35" s="4" t="s">
        <v>33</v>
      </c>
    </row>
    <row r="36" spans="3:13" ht="13.5" thickBot="1" x14ac:dyDescent="0.25">
      <c r="C36" s="37" t="s">
        <v>19</v>
      </c>
      <c r="D36" s="36">
        <v>234.04089999999999</v>
      </c>
      <c r="E36" s="12"/>
      <c r="F36" s="12"/>
      <c r="K36" s="51"/>
      <c r="L36" s="52" t="s">
        <v>34</v>
      </c>
      <c r="M36" s="4" t="s">
        <v>35</v>
      </c>
    </row>
    <row r="37" spans="3:13" x14ac:dyDescent="0.2">
      <c r="K37" s="51"/>
      <c r="L37" s="5" t="s">
        <v>36</v>
      </c>
      <c r="M37" s="8"/>
    </row>
    <row r="38" spans="3:13" ht="15.75" x14ac:dyDescent="0.2">
      <c r="L38" s="52" t="s">
        <v>37</v>
      </c>
      <c r="M38" s="4" t="s">
        <v>38</v>
      </c>
    </row>
    <row r="39" spans="3:13" x14ac:dyDescent="0.2">
      <c r="L39" s="52" t="s">
        <v>39</v>
      </c>
      <c r="M39" s="4" t="s">
        <v>35</v>
      </c>
    </row>
    <row r="40" spans="3:13" x14ac:dyDescent="0.2">
      <c r="L40" s="5" t="s">
        <v>40</v>
      </c>
      <c r="M40" s="9"/>
    </row>
    <row r="41" spans="3:13" ht="15.75" x14ac:dyDescent="0.2">
      <c r="L41" s="52" t="s">
        <v>41</v>
      </c>
      <c r="M41" s="4" t="s">
        <v>42</v>
      </c>
    </row>
    <row r="42" spans="3:13" ht="13.5" thickBot="1" x14ac:dyDescent="0.25">
      <c r="L42" s="10" t="s">
        <v>39</v>
      </c>
      <c r="M42" s="11" t="s">
        <v>35</v>
      </c>
    </row>
    <row r="55" ht="27" customHeight="1" x14ac:dyDescent="0.2"/>
  </sheetData>
  <mergeCells count="10">
    <mergeCell ref="L23:L24"/>
    <mergeCell ref="M29:M30"/>
    <mergeCell ref="C19:C20"/>
    <mergeCell ref="F19:F20"/>
    <mergeCell ref="C9:C11"/>
    <mergeCell ref="E9:G9"/>
    <mergeCell ref="H9:I9"/>
    <mergeCell ref="C35:F35"/>
    <mergeCell ref="C12:J12"/>
    <mergeCell ref="E6:G6"/>
  </mergeCells>
  <phoneticPr fontId="4" type="noConversion"/>
  <pageMargins left="0.78740157499999996" right="0.78740157499999996" top="0.984251969" bottom="0.984251969" header="0.49212598499999999" footer="0.49212598499999999"/>
  <pageSetup paperSize="9" orientation="portrait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026" r:id="rId4">
          <objectPr defaultSize="0" autoPict="0" r:id="rId5">
            <anchor moveWithCells="1">
              <from>
                <xdr:col>11</xdr:col>
                <xdr:colOff>104775</xdr:colOff>
                <xdr:row>9</xdr:row>
                <xdr:rowOff>152400</xdr:rowOff>
              </from>
              <to>
                <xdr:col>13</xdr:col>
                <xdr:colOff>447675</xdr:colOff>
                <xdr:row>13</xdr:row>
                <xdr:rowOff>47625</xdr:rowOff>
              </to>
            </anchor>
          </objectPr>
        </oleObject>
      </mc:Choice>
      <mc:Fallback>
        <oleObject progId="Equation.3" shapeId="1026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3"/>
  <sheetViews>
    <sheetView tabSelected="1" zoomScale="130" zoomScaleNormal="130" workbookViewId="0">
      <selection activeCell="E3" sqref="E3"/>
    </sheetView>
  </sheetViews>
  <sheetFormatPr defaultRowHeight="15" x14ac:dyDescent="0.25"/>
  <cols>
    <col min="1" max="1" width="29.42578125" style="131" customWidth="1"/>
    <col min="2" max="2" width="13.85546875" style="126" bestFit="1" customWidth="1"/>
    <col min="3" max="3" width="9.140625" style="126"/>
    <col min="4" max="4" width="10.5703125" style="126" bestFit="1" customWidth="1"/>
    <col min="5" max="5" width="14.7109375" style="126" customWidth="1"/>
    <col min="6" max="6" width="18.42578125" style="126" customWidth="1"/>
    <col min="7" max="16384" width="9.140625" style="131"/>
  </cols>
  <sheetData>
    <row r="2" spans="1:6" s="126" customFormat="1" ht="30.75" customHeight="1" x14ac:dyDescent="0.2">
      <c r="A2" s="124" t="s">
        <v>113</v>
      </c>
      <c r="B2" s="125"/>
      <c r="D2" s="126" t="s">
        <v>114</v>
      </c>
      <c r="E2" s="156" t="s">
        <v>123</v>
      </c>
      <c r="F2" s="127" t="s">
        <v>115</v>
      </c>
    </row>
    <row r="3" spans="1:6" x14ac:dyDescent="0.25">
      <c r="A3" s="128" t="s">
        <v>116</v>
      </c>
      <c r="B3" s="129">
        <v>2.8</v>
      </c>
      <c r="C3" s="126">
        <v>1</v>
      </c>
      <c r="D3" s="130">
        <v>2.8</v>
      </c>
      <c r="E3" s="157">
        <f>30*21/23</f>
        <v>27.391304347826086</v>
      </c>
      <c r="F3" s="130">
        <f>(D3*E3)/$B$4</f>
        <v>160990.03395027926</v>
      </c>
    </row>
    <row r="4" spans="1:6" x14ac:dyDescent="0.25">
      <c r="A4" s="128" t="s">
        <v>117</v>
      </c>
      <c r="B4" s="132">
        <v>4.7639999999999998E-4</v>
      </c>
      <c r="C4" s="126">
        <v>2</v>
      </c>
      <c r="D4" s="130">
        <f>D3+$B$3</f>
        <v>5.6</v>
      </c>
      <c r="E4" s="157">
        <f t="shared" ref="E4:E12" si="0">30*21/23</f>
        <v>27.391304347826086</v>
      </c>
      <c r="F4" s="130">
        <f>(D4*E4)/$B$4</f>
        <v>321980.06790055853</v>
      </c>
    </row>
    <row r="5" spans="1:6" x14ac:dyDescent="0.25">
      <c r="A5" s="128" t="s">
        <v>118</v>
      </c>
      <c r="B5" s="125">
        <v>20000</v>
      </c>
      <c r="C5" s="126">
        <v>3</v>
      </c>
      <c r="D5" s="130">
        <f t="shared" ref="D5:D12" si="1">D4+$B$3</f>
        <v>8.3999999999999986</v>
      </c>
      <c r="E5" s="157">
        <f t="shared" si="0"/>
        <v>27.391304347826086</v>
      </c>
      <c r="F5" s="130">
        <f>(D5*E5)/$B$4</f>
        <v>482970.10185083776</v>
      </c>
    </row>
    <row r="6" spans="1:6" x14ac:dyDescent="0.25">
      <c r="A6" s="128" t="s">
        <v>119</v>
      </c>
      <c r="B6" s="125">
        <v>350</v>
      </c>
      <c r="C6" s="126">
        <v>4</v>
      </c>
      <c r="D6" s="130">
        <f t="shared" si="1"/>
        <v>11.2</v>
      </c>
      <c r="E6" s="157">
        <f t="shared" si="0"/>
        <v>27.391304347826086</v>
      </c>
      <c r="F6" s="130">
        <f>(D6*E6)/$B$4</f>
        <v>643960.13580111705</v>
      </c>
    </row>
    <row r="7" spans="1:6" x14ac:dyDescent="0.25">
      <c r="A7" s="128" t="s">
        <v>120</v>
      </c>
      <c r="B7" s="125">
        <f>B6*B8*0.000001</f>
        <v>1.1025E-2</v>
      </c>
      <c r="C7" s="126">
        <v>5</v>
      </c>
      <c r="D7" s="130">
        <f t="shared" si="1"/>
        <v>14</v>
      </c>
      <c r="E7" s="157">
        <f t="shared" si="0"/>
        <v>27.391304347826086</v>
      </c>
      <c r="F7" s="130">
        <f>(D7*E7)/$B$4</f>
        <v>804950.16975139629</v>
      </c>
    </row>
    <row r="8" spans="1:6" x14ac:dyDescent="0.25">
      <c r="A8" s="128" t="s">
        <v>121</v>
      </c>
      <c r="B8" s="125">
        <v>31.5</v>
      </c>
      <c r="C8" s="126">
        <v>6</v>
      </c>
      <c r="D8" s="130">
        <f t="shared" si="1"/>
        <v>16.8</v>
      </c>
      <c r="E8" s="157">
        <f t="shared" si="0"/>
        <v>27.391304347826086</v>
      </c>
      <c r="F8" s="130">
        <f>(D8*E8)/$B$4</f>
        <v>965940.20370167564</v>
      </c>
    </row>
    <row r="9" spans="1:6" x14ac:dyDescent="0.25">
      <c r="A9" s="133" t="s">
        <v>122</v>
      </c>
      <c r="B9" s="134">
        <f>(B5*B4)/B7</f>
        <v>864.21768707482977</v>
      </c>
      <c r="C9" s="126">
        <v>7</v>
      </c>
      <c r="D9" s="130">
        <f t="shared" si="1"/>
        <v>19.600000000000001</v>
      </c>
      <c r="E9" s="157">
        <f t="shared" si="0"/>
        <v>27.391304347826086</v>
      </c>
      <c r="F9" s="130">
        <f>(D9*E9)/$B$4</f>
        <v>1126930.2376519551</v>
      </c>
    </row>
    <row r="10" spans="1:6" x14ac:dyDescent="0.25">
      <c r="A10" s="128"/>
      <c r="B10" s="125"/>
      <c r="C10" s="126">
        <v>8</v>
      </c>
      <c r="D10" s="130">
        <f t="shared" si="1"/>
        <v>22.400000000000002</v>
      </c>
      <c r="E10" s="157">
        <f t="shared" si="0"/>
        <v>27.391304347826086</v>
      </c>
      <c r="F10" s="130">
        <f>(D10*E10)/$B$4</f>
        <v>1287920.2716022343</v>
      </c>
    </row>
    <row r="11" spans="1:6" x14ac:dyDescent="0.25">
      <c r="A11" s="128"/>
      <c r="B11" s="125"/>
      <c r="C11" s="126">
        <v>9</v>
      </c>
      <c r="D11" s="130">
        <f t="shared" si="1"/>
        <v>25.200000000000003</v>
      </c>
      <c r="E11" s="157">
        <f t="shared" si="0"/>
        <v>27.391304347826086</v>
      </c>
      <c r="F11" s="130">
        <f>(D11*E11)/$B$4</f>
        <v>1448910.3055525136</v>
      </c>
    </row>
    <row r="12" spans="1:6" x14ac:dyDescent="0.25">
      <c r="A12" s="128"/>
      <c r="B12" s="125"/>
      <c r="C12" s="126">
        <v>10</v>
      </c>
      <c r="D12" s="130">
        <f t="shared" si="1"/>
        <v>28.000000000000004</v>
      </c>
      <c r="E12" s="157">
        <f t="shared" si="0"/>
        <v>27.391304347826086</v>
      </c>
      <c r="F12" s="130">
        <f>(D12*E12)/$B$4</f>
        <v>1609900.3395027928</v>
      </c>
    </row>
    <row r="13" spans="1:6" x14ac:dyDescent="0.25">
      <c r="A13" s="135"/>
      <c r="B13" s="136"/>
      <c r="E13" s="127"/>
      <c r="F13" s="127"/>
    </row>
    <row r="14" spans="1:6" x14ac:dyDescent="0.25">
      <c r="A14" s="137"/>
      <c r="B14" s="138"/>
      <c r="D14" s="130"/>
      <c r="F14" s="130"/>
    </row>
    <row r="15" spans="1:6" x14ac:dyDescent="0.25">
      <c r="A15" s="137"/>
      <c r="B15" s="132"/>
      <c r="D15" s="130"/>
      <c r="F15" s="130"/>
    </row>
    <row r="16" spans="1:6" x14ac:dyDescent="0.25">
      <c r="A16" s="137"/>
      <c r="B16" s="136"/>
      <c r="D16" s="130"/>
      <c r="F16" s="130"/>
    </row>
    <row r="17" spans="1:6" x14ac:dyDescent="0.25">
      <c r="A17" s="137"/>
      <c r="B17" s="136"/>
      <c r="D17" s="130"/>
      <c r="F17" s="130"/>
    </row>
    <row r="18" spans="1:6" x14ac:dyDescent="0.25">
      <c r="A18" s="137"/>
      <c r="B18" s="136"/>
      <c r="D18" s="130"/>
      <c r="F18" s="130"/>
    </row>
    <row r="19" spans="1:6" x14ac:dyDescent="0.25">
      <c r="A19" s="137"/>
      <c r="B19" s="136"/>
      <c r="D19" s="130"/>
      <c r="F19" s="130"/>
    </row>
    <row r="20" spans="1:6" x14ac:dyDescent="0.25">
      <c r="A20" s="139"/>
      <c r="B20" s="140"/>
      <c r="D20" s="130"/>
      <c r="F20" s="130"/>
    </row>
    <row r="21" spans="1:6" x14ac:dyDescent="0.25">
      <c r="D21" s="130"/>
      <c r="F21" s="130"/>
    </row>
    <row r="22" spans="1:6" x14ac:dyDescent="0.25">
      <c r="D22" s="130"/>
      <c r="F22" s="130"/>
    </row>
    <row r="23" spans="1:6" x14ac:dyDescent="0.25">
      <c r="D23" s="130"/>
      <c r="F23" s="130"/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L40"/>
  <sheetViews>
    <sheetView zoomScale="115" zoomScaleNormal="115" workbookViewId="0">
      <selection activeCell="F24" sqref="F24"/>
    </sheetView>
  </sheetViews>
  <sheetFormatPr defaultRowHeight="12.75" x14ac:dyDescent="0.2"/>
  <cols>
    <col min="1" max="3" width="9.140625" style="71"/>
    <col min="4" max="4" width="21.85546875" style="71" bestFit="1" customWidth="1"/>
    <col min="5" max="5" width="12" style="71" customWidth="1"/>
    <col min="6" max="6" width="10.42578125" style="71" bestFit="1" customWidth="1"/>
    <col min="7" max="7" width="10" style="71" customWidth="1"/>
    <col min="8" max="8" width="12" style="71" bestFit="1" customWidth="1"/>
    <col min="9" max="10" width="11" style="71" bestFit="1" customWidth="1"/>
    <col min="11" max="12" width="10.42578125" style="71" bestFit="1" customWidth="1"/>
    <col min="13" max="16384" width="9.140625" style="71"/>
  </cols>
  <sheetData>
    <row r="2" spans="4:8" x14ac:dyDescent="0.2">
      <c r="D2" s="27" t="s">
        <v>92</v>
      </c>
      <c r="E2" s="71">
        <v>5.9799999999999999E-2</v>
      </c>
      <c r="F2" s="72">
        <f>1-E2</f>
        <v>0.94020000000000004</v>
      </c>
    </row>
    <row r="3" spans="4:8" x14ac:dyDescent="0.2">
      <c r="D3" s="27" t="s">
        <v>102</v>
      </c>
      <c r="E3" s="71">
        <f>21*23</f>
        <v>483</v>
      </c>
    </row>
    <row r="4" spans="4:8" x14ac:dyDescent="0.2">
      <c r="D4" s="27" t="s">
        <v>91</v>
      </c>
      <c r="E4" s="71">
        <v>6.5</v>
      </c>
    </row>
    <row r="5" spans="4:8" x14ac:dyDescent="0.2">
      <c r="D5" s="27" t="s">
        <v>6</v>
      </c>
      <c r="E5" s="71">
        <v>61.5</v>
      </c>
    </row>
    <row r="6" spans="4:8" ht="13.5" thickBot="1" x14ac:dyDescent="0.25">
      <c r="D6" s="27" t="s">
        <v>101</v>
      </c>
      <c r="E6" s="71">
        <v>6.0999999999999999E-2</v>
      </c>
    </row>
    <row r="7" spans="4:8" ht="13.5" thickBot="1" x14ac:dyDescent="0.25">
      <c r="D7" s="73" t="s">
        <v>103</v>
      </c>
      <c r="E7" s="74">
        <f>E4*E5*E6</f>
        <v>24.38475</v>
      </c>
      <c r="F7" s="71" t="s">
        <v>104</v>
      </c>
    </row>
    <row r="8" spans="4:8" x14ac:dyDescent="0.2">
      <c r="D8" s="75" t="s">
        <v>106</v>
      </c>
      <c r="E8" s="76">
        <f>E7*E3</f>
        <v>11777.83425</v>
      </c>
      <c r="F8" s="71" t="s">
        <v>104</v>
      </c>
    </row>
    <row r="9" spans="4:8" x14ac:dyDescent="0.2">
      <c r="D9" s="44"/>
      <c r="E9" s="76"/>
    </row>
    <row r="10" spans="4:8" ht="13.5" thickBot="1" x14ac:dyDescent="0.25">
      <c r="D10" s="44"/>
      <c r="E10" s="76"/>
    </row>
    <row r="11" spans="4:8" x14ac:dyDescent="0.2">
      <c r="D11" s="44"/>
      <c r="E11" s="76"/>
      <c r="G11" s="108" t="s">
        <v>105</v>
      </c>
      <c r="H11" s="109"/>
    </row>
    <row r="12" spans="4:8" x14ac:dyDescent="0.2">
      <c r="D12" s="27" t="s">
        <v>90</v>
      </c>
      <c r="E12" s="71">
        <v>6.5</v>
      </c>
      <c r="F12" s="71" t="s">
        <v>21</v>
      </c>
      <c r="G12" s="110">
        <f>E12*$E$8</f>
        <v>76555.922625000007</v>
      </c>
      <c r="H12" s="111" t="s">
        <v>107</v>
      </c>
    </row>
    <row r="13" spans="4:8" ht="13.5" thickBot="1" x14ac:dyDescent="0.25">
      <c r="D13" s="71" t="s">
        <v>14</v>
      </c>
      <c r="E13" s="71">
        <v>12.2</v>
      </c>
      <c r="F13" s="71" t="s">
        <v>21</v>
      </c>
      <c r="G13" s="112">
        <f>E13*$E$8</f>
        <v>143689.57785</v>
      </c>
      <c r="H13" s="113" t="s">
        <v>107</v>
      </c>
    </row>
    <row r="14" spans="4:8" x14ac:dyDescent="0.2">
      <c r="D14" s="77" t="s">
        <v>89</v>
      </c>
      <c r="E14" s="77">
        <v>0.92691000000000001</v>
      </c>
      <c r="F14" s="78">
        <f>1-E14</f>
        <v>7.3089999999999988E-2</v>
      </c>
      <c r="G14" s="27"/>
    </row>
    <row r="15" spans="4:8" x14ac:dyDescent="0.2">
      <c r="D15" s="71" t="s">
        <v>88</v>
      </c>
      <c r="E15" s="71">
        <v>2.7</v>
      </c>
    </row>
    <row r="16" spans="4:8" x14ac:dyDescent="0.2">
      <c r="D16" s="71" t="s">
        <v>87</v>
      </c>
      <c r="E16" s="71">
        <v>0.60221000000000002</v>
      </c>
    </row>
    <row r="17" spans="4:12" x14ac:dyDescent="0.2">
      <c r="D17" s="71" t="s">
        <v>86</v>
      </c>
      <c r="E17" s="79">
        <v>0.4</v>
      </c>
    </row>
    <row r="18" spans="4:12" x14ac:dyDescent="0.2">
      <c r="D18" s="71" t="s">
        <v>85</v>
      </c>
      <c r="E18" s="80">
        <v>0.19750000000000001</v>
      </c>
    </row>
    <row r="19" spans="4:12" x14ac:dyDescent="0.2">
      <c r="D19" s="71" t="s">
        <v>84</v>
      </c>
      <c r="E19" s="71">
        <v>4.8</v>
      </c>
    </row>
    <row r="21" spans="4:12" x14ac:dyDescent="0.2">
      <c r="D21" s="81" t="s">
        <v>74</v>
      </c>
      <c r="E21" s="81">
        <f>E19*E17/4.8</f>
        <v>0.4</v>
      </c>
      <c r="F21" s="27"/>
    </row>
    <row r="22" spans="4:12" x14ac:dyDescent="0.2">
      <c r="D22" s="71" t="s">
        <v>75</v>
      </c>
      <c r="E22" s="81">
        <f>E21*E13*E14</f>
        <v>4.5233207999999996</v>
      </c>
      <c r="F22" s="71" t="s">
        <v>100</v>
      </c>
    </row>
    <row r="23" spans="4:12" x14ac:dyDescent="0.2">
      <c r="D23" s="82" t="s">
        <v>76</v>
      </c>
      <c r="E23" s="71">
        <f>0.01*0.007731*((E18*100)^1.0837)</f>
        <v>1.9599353204414137E-3</v>
      </c>
      <c r="F23" s="71">
        <f>0.01*0.007731*((F18*100)^1.0837)</f>
        <v>0</v>
      </c>
      <c r="I23" s="27"/>
    </row>
    <row r="24" spans="4:12" x14ac:dyDescent="0.2">
      <c r="D24" s="83" t="s">
        <v>77</v>
      </c>
      <c r="E24" s="84">
        <f>$E$23*$E$22*$E$16/$E$32</f>
        <v>2.2811578193255707E-5</v>
      </c>
      <c r="F24" s="85"/>
      <c r="G24" s="86"/>
      <c r="H24" s="87"/>
      <c r="I24" s="88"/>
      <c r="J24" s="89"/>
      <c r="K24" s="72"/>
      <c r="L24" s="90"/>
    </row>
    <row r="25" spans="4:12" x14ac:dyDescent="0.2">
      <c r="D25" s="91" t="s">
        <v>78</v>
      </c>
      <c r="E25" s="92">
        <f>E18*E22*E16/E33</f>
        <v>2.2888823374960167E-3</v>
      </c>
      <c r="F25" s="93"/>
      <c r="G25" s="94"/>
      <c r="H25" s="95"/>
      <c r="I25" s="76"/>
      <c r="J25" s="96"/>
    </row>
    <row r="26" spans="4:12" x14ac:dyDescent="0.2">
      <c r="D26" s="97" t="s">
        <v>79</v>
      </c>
      <c r="E26" s="98">
        <f>(1-(E18)-E23)*E22*E16/E34</f>
        <v>9.1604915649560921E-3</v>
      </c>
      <c r="F26" s="99"/>
      <c r="G26" s="100"/>
      <c r="H26" s="101"/>
      <c r="I26" s="102"/>
      <c r="J26" s="103"/>
    </row>
    <row r="27" spans="4:12" x14ac:dyDescent="0.2">
      <c r="D27" s="104" t="s">
        <v>80</v>
      </c>
      <c r="E27" s="105">
        <f>2*(E25+E26)/3</f>
        <v>7.6329159349680722E-3</v>
      </c>
      <c r="F27" s="90"/>
      <c r="G27" s="106"/>
      <c r="H27" s="101"/>
    </row>
    <row r="28" spans="4:12" x14ac:dyDescent="0.2">
      <c r="D28" s="104" t="s">
        <v>81</v>
      </c>
      <c r="E28" s="105">
        <f>(1-E21)*E15*E16/E35</f>
        <v>3.6157374497340772E-2</v>
      </c>
      <c r="F28" s="90"/>
      <c r="G28" s="106"/>
      <c r="H28" s="107"/>
    </row>
    <row r="29" spans="4:12" x14ac:dyDescent="0.2">
      <c r="D29" s="104" t="s">
        <v>82</v>
      </c>
      <c r="E29" s="105">
        <f>E28/E2</f>
        <v>0.60463836952074868</v>
      </c>
    </row>
    <row r="30" spans="4:12" x14ac:dyDescent="0.2">
      <c r="D30" s="82" t="s">
        <v>83</v>
      </c>
      <c r="E30" s="71">
        <f>E22*0.061*E4*E5*E3</f>
        <v>53274.922641977399</v>
      </c>
    </row>
    <row r="31" spans="4:12" x14ac:dyDescent="0.2">
      <c r="D31" s="82"/>
    </row>
    <row r="32" spans="4:12" x14ac:dyDescent="0.2">
      <c r="D32" s="31" t="s">
        <v>94</v>
      </c>
      <c r="E32" s="71">
        <v>234.04089999999999</v>
      </c>
    </row>
    <row r="33" spans="3:5" x14ac:dyDescent="0.2">
      <c r="D33" s="31" t="s">
        <v>95</v>
      </c>
      <c r="E33" s="71">
        <v>235.04390000000001</v>
      </c>
    </row>
    <row r="34" spans="3:5" x14ac:dyDescent="0.2">
      <c r="D34" s="31" t="s">
        <v>96</v>
      </c>
      <c r="E34" s="71">
        <v>238.05080000000001</v>
      </c>
    </row>
    <row r="35" spans="3:5" x14ac:dyDescent="0.2">
      <c r="D35" s="31" t="s">
        <v>97</v>
      </c>
      <c r="E35" s="71">
        <v>26.9815</v>
      </c>
    </row>
    <row r="36" spans="3:5" x14ac:dyDescent="0.2">
      <c r="D36" s="31" t="s">
        <v>93</v>
      </c>
      <c r="E36" s="71">
        <v>28.085999999999999</v>
      </c>
    </row>
    <row r="37" spans="3:5" x14ac:dyDescent="0.2">
      <c r="D37" s="82"/>
    </row>
    <row r="38" spans="3:5" x14ac:dyDescent="0.2">
      <c r="D38" s="82"/>
    </row>
    <row r="39" spans="3:5" x14ac:dyDescent="0.2">
      <c r="D39" s="82"/>
    </row>
    <row r="40" spans="3:5" x14ac:dyDescent="0.2">
      <c r="C40" s="27"/>
      <c r="D40" s="82"/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Equation.3" shapeId="14337" r:id="rId4">
          <objectPr defaultSize="0" autoPict="0" r:id="rId5">
            <anchor moveWithCells="1">
              <from>
                <xdr:col>5</xdr:col>
                <xdr:colOff>409575</xdr:colOff>
                <xdr:row>40</xdr:row>
                <xdr:rowOff>66675</xdr:rowOff>
              </from>
              <to>
                <xdr:col>10</xdr:col>
                <xdr:colOff>257175</xdr:colOff>
                <xdr:row>43</xdr:row>
                <xdr:rowOff>161925</xdr:rowOff>
              </to>
            </anchor>
          </objectPr>
        </oleObject>
      </mc:Choice>
      <mc:Fallback>
        <oleObject progId="Equation.3" shapeId="14337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COMPOSICAO</vt:lpstr>
      <vt:lpstr>DECAIMENTO</vt:lpstr>
      <vt:lpstr>COMPOSICAO IPEN</vt:lpstr>
      <vt:lpstr>Plan3</vt:lpstr>
    </vt:vector>
  </TitlesOfParts>
  <Company>Cdt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Ceginus</dc:creator>
  <cp:lastModifiedBy>Daniel de A M. Campolina</cp:lastModifiedBy>
  <cp:lastPrinted>2011-06-06T16:51:14Z</cp:lastPrinted>
  <dcterms:created xsi:type="dcterms:W3CDTF">2011-01-28T11:56:42Z</dcterms:created>
  <dcterms:modified xsi:type="dcterms:W3CDTF">2016-10-27T16:21:35Z</dcterms:modified>
</cp:coreProperties>
</file>